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3 2025\Colorado Crest Apartments\01. Att 40\"/>
    </mc:Choice>
  </mc:AlternateContent>
  <xr:revisionPtr revIDLastSave="0" documentId="13_ncr:1_{A1B12281-7630-4DE3-B14D-9C9705D51999}" xr6:coauthVersionLast="47" xr6:coauthVersionMax="47" xr10:uidLastSave="{00000000-0000-0000-0000-000000000000}"/>
  <bookViews>
    <workbookView xWindow="-110" yWindow="-110" windowWidth="19420" windowHeight="10420" firstSheet="7"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0" i="4" l="1"/>
  <c r="E99" i="4"/>
  <c r="E45" i="4"/>
  <c r="S99" i="4"/>
  <c r="AB50" i="15"/>
  <c r="AO640" i="3" l="1"/>
  <c r="W859" i="3"/>
  <c r="AB72" i="15" l="1"/>
  <c r="W846" i="3" l="1"/>
  <c r="W861" i="3"/>
  <c r="W854" i="3"/>
  <c r="S94" i="4" l="1"/>
  <c r="C30" i="4"/>
  <c r="E32" i="4"/>
  <c r="E33" i="4"/>
  <c r="E35" i="4"/>
  <c r="F31" i="4"/>
  <c r="E31" i="4" s="1"/>
  <c r="F30" i="4"/>
  <c r="H30" i="4"/>
  <c r="E34" i="4"/>
  <c r="E29" i="4"/>
  <c r="E84" i="4"/>
  <c r="E85" i="4"/>
  <c r="E86" i="4"/>
  <c r="E88" i="4"/>
  <c r="E89" i="4"/>
  <c r="E90" i="4"/>
  <c r="E91" i="4"/>
  <c r="E92" i="4"/>
  <c r="E95" i="4"/>
  <c r="E83" i="4"/>
  <c r="E80" i="4"/>
  <c r="E79" i="4"/>
  <c r="E75" i="4"/>
  <c r="E65" i="4"/>
  <c r="E61" i="4"/>
  <c r="E58" i="4"/>
  <c r="E46" i="4"/>
  <c r="E47" i="4"/>
  <c r="E48" i="4"/>
  <c r="E49" i="4"/>
  <c r="E50" i="4"/>
  <c r="E52" i="4"/>
  <c r="E53" i="4"/>
  <c r="E43" i="4"/>
  <c r="E40" i="4"/>
  <c r="E10" i="4"/>
  <c r="E5" i="4"/>
  <c r="E4" i="4"/>
  <c r="C94" i="4"/>
  <c r="E94" i="4" s="1"/>
  <c r="C93" i="4"/>
  <c r="E93" i="4" s="1"/>
  <c r="C69" i="4"/>
  <c r="E69" i="4" s="1"/>
  <c r="E30" i="4" l="1"/>
  <c r="AG448" i="3"/>
  <c r="AG443" i="3" l="1"/>
  <c r="AG442" i="3"/>
  <c r="T627" i="3" l="1"/>
  <c r="Q627" i="3"/>
  <c r="Y831" i="3"/>
  <c r="U831" i="3"/>
  <c r="Q831"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T45" i="21"/>
  <c r="S45" i="21"/>
  <c r="U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8" i="7"/>
  <c r="E27" i="7"/>
  <c r="G27" i="7" s="1"/>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F70" i="13" l="1"/>
  <c r="D35" i="11"/>
  <c r="F81" i="13"/>
  <c r="C81" i="13"/>
  <c r="C62" i="13"/>
  <c r="F96" i="13"/>
  <c r="C70" i="13"/>
  <c r="F38" i="13"/>
  <c r="C96" i="13"/>
  <c r="F54" i="13"/>
  <c r="C38" i="13"/>
  <c r="C8" i="13"/>
  <c r="C12" i="13" s="1"/>
  <c r="C54" i="13"/>
  <c r="BE23" i="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9"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C63" i="13"/>
  <c r="C97" i="13" s="1"/>
  <c r="C105" i="13"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E5"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G45" i="7"/>
  <c r="G49" i="7"/>
  <c r="K6" i="7"/>
  <c r="I7" i="7"/>
  <c r="I11" i="7" s="1"/>
  <c r="I37" i="7" s="1"/>
  <c r="G26" i="21"/>
  <c r="F29" i="21"/>
  <c r="G29" i="21"/>
  <c r="O22" i="7"/>
  <c r="O35" i="7" s="1"/>
  <c r="Q15" i="7"/>
  <c r="O9" i="7"/>
  <c r="Q8" i="7"/>
  <c r="E48" i="7" l="1"/>
  <c r="E60" i="7"/>
  <c r="T11" i="15"/>
  <c r="T23" i="15" s="1"/>
  <c r="T26" i="15" s="1"/>
  <c r="T28" i="15" s="1"/>
  <c r="Y11" i="15"/>
  <c r="Y23" i="15" s="1"/>
  <c r="Y26" i="15" s="1"/>
  <c r="Y28" i="15" s="1"/>
  <c r="Y64" i="15" s="1"/>
  <c r="Y68" i="15" s="1"/>
  <c r="Y69" i="15" s="1"/>
  <c r="U58" i="7"/>
  <c r="W53" i="7"/>
  <c r="AJ1053" i="3"/>
  <c r="AA1057" i="3" s="1"/>
  <c r="G1058" i="3" s="1"/>
  <c r="AP552" i="20"/>
  <c r="AP554" i="20" s="1"/>
  <c r="K5" i="7"/>
  <c r="E47" i="7"/>
  <c r="O4" i="7"/>
  <c r="M5" i="7"/>
  <c r="I45" i="7"/>
  <c r="I49" i="7"/>
  <c r="M6" i="7"/>
  <c r="K7" i="7"/>
  <c r="G60" i="7"/>
  <c r="G62" i="7" s="1"/>
  <c r="G66" i="7" s="1"/>
  <c r="G47" i="7"/>
  <c r="G48" i="7"/>
  <c r="Q22" i="7"/>
  <c r="Q35" i="7" s="1"/>
  <c r="S15" i="7"/>
  <c r="G79" i="21"/>
  <c r="G31" i="21"/>
  <c r="G33" i="21" s="1"/>
  <c r="E9" i="21" s="1"/>
  <c r="G88" i="21"/>
  <c r="G90" i="21" s="1"/>
  <c r="E16" i="21" s="1"/>
  <c r="G111" i="21"/>
  <c r="G96" i="21"/>
  <c r="Q9" i="7"/>
  <c r="S8" i="7"/>
  <c r="E62" i="7" l="1"/>
  <c r="E66" i="7" s="1"/>
  <c r="G67" i="7"/>
  <c r="G68" i="7"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62" i="7" s="1"/>
  <c r="I66" i="7" s="1"/>
  <c r="I47" i="7"/>
  <c r="G101" i="21"/>
  <c r="G113" i="21"/>
  <c r="G97" i="21"/>
  <c r="S22" i="7"/>
  <c r="S35" i="7" s="1"/>
  <c r="U15" i="7"/>
  <c r="U8" i="7"/>
  <c r="S9" i="7"/>
  <c r="I67" i="7" l="1"/>
  <c r="I68" i="7" s="1"/>
  <c r="E67" i="7"/>
  <c r="E68" i="7" s="1"/>
  <c r="AA53" i="7"/>
  <c r="Y58" i="7"/>
  <c r="AD38" i="15"/>
  <c r="AD40" i="15" s="1"/>
  <c r="Y41" i="15" s="1"/>
  <c r="AB56" i="15" s="1"/>
  <c r="G115" i="21"/>
  <c r="E17" i="21" s="1"/>
  <c r="E14" i="21" s="1"/>
  <c r="E18" i="21" s="1"/>
  <c r="K49" i="7"/>
  <c r="S4" i="7"/>
  <c r="Q5" i="7"/>
  <c r="O7" i="7"/>
  <c r="O11" i="7" s="1"/>
  <c r="O37" i="7" s="1"/>
  <c r="Q6" i="7"/>
  <c r="M45" i="7"/>
  <c r="M49" i="7"/>
  <c r="K47" i="7"/>
  <c r="K60" i="7"/>
  <c r="K62" i="7" s="1"/>
  <c r="K66" i="7" s="1"/>
  <c r="K48" i="7"/>
  <c r="U22" i="7"/>
  <c r="U35" i="7" s="1"/>
  <c r="W15" i="7"/>
  <c r="U9" i="7"/>
  <c r="W8" i="7"/>
  <c r="E69" i="7" l="1"/>
  <c r="G69" i="7" s="1"/>
  <c r="I69" i="7" s="1"/>
  <c r="K69" i="7" s="1"/>
  <c r="M69" i="7" s="1"/>
  <c r="O69" i="7" s="1"/>
  <c r="Q69" i="7" s="1"/>
  <c r="S69" i="7" s="1"/>
  <c r="U69" i="7" s="1"/>
  <c r="W69" i="7" s="1"/>
  <c r="Y69" i="7" s="1"/>
  <c r="AA69" i="7" s="1"/>
  <c r="K67" i="7"/>
  <c r="K68" i="7" s="1"/>
  <c r="AC53" i="7"/>
  <c r="AA58" i="7"/>
  <c r="M26" i="3"/>
  <c r="BE19" i="3" s="1"/>
  <c r="U4" i="7"/>
  <c r="S5" i="7"/>
  <c r="M48" i="7"/>
  <c r="M47" i="7"/>
  <c r="M60" i="7"/>
  <c r="M62" i="7" s="1"/>
  <c r="M66" i="7" s="1"/>
  <c r="O45" i="7"/>
  <c r="O49" i="7"/>
  <c r="Q7" i="7"/>
  <c r="Q11" i="7" s="1"/>
  <c r="Q37" i="7" s="1"/>
  <c r="S6" i="7"/>
  <c r="W22" i="7"/>
  <c r="W35" i="7" s="1"/>
  <c r="Y15" i="7"/>
  <c r="W9" i="7"/>
  <c r="Y8" i="7"/>
  <c r="K70" i="7" l="1"/>
  <c r="I70" i="7"/>
  <c r="I72" i="7" s="1"/>
  <c r="E70" i="7"/>
  <c r="E72" i="7" s="1"/>
  <c r="M67" i="7"/>
  <c r="M68" i="7" s="1"/>
  <c r="M70" i="7" s="1"/>
  <c r="AC69" i="7"/>
  <c r="AE53" i="7"/>
  <c r="AC58" i="7"/>
  <c r="AB57" i="15"/>
  <c r="P204" i="3"/>
  <c r="U5" i="7"/>
  <c r="W4" i="7"/>
  <c r="Q49" i="7"/>
  <c r="Q45" i="7"/>
  <c r="O47" i="7"/>
  <c r="O48" i="7"/>
  <c r="O60" i="7"/>
  <c r="O62" i="7" s="1"/>
  <c r="O66" i="7" s="1"/>
  <c r="K72" i="7"/>
  <c r="S7" i="7"/>
  <c r="S11" i="7" s="1"/>
  <c r="S37" i="7" s="1"/>
  <c r="U6" i="7"/>
  <c r="Y22" i="7"/>
  <c r="Y35" i="7" s="1"/>
  <c r="AA15" i="7"/>
  <c r="Y9" i="7"/>
  <c r="AA8" i="7"/>
  <c r="O67" i="7" l="1"/>
  <c r="O68" i="7" s="1"/>
  <c r="O70" i="7" s="1"/>
  <c r="AE69" i="7"/>
  <c r="AG53" i="7"/>
  <c r="AG58" i="7" s="1"/>
  <c r="AE58" i="7"/>
  <c r="AB59" i="15"/>
  <c r="AB77" i="15" s="1"/>
  <c r="M72" i="7"/>
  <c r="W5" i="7"/>
  <c r="Y4" i="7"/>
  <c r="U7" i="7"/>
  <c r="U11" i="7" s="1"/>
  <c r="U37" i="7" s="1"/>
  <c r="W6" i="7"/>
  <c r="Q60" i="7"/>
  <c r="Q62" i="7" s="1"/>
  <c r="Q66" i="7" s="1"/>
  <c r="Q48" i="7"/>
  <c r="Q47" i="7"/>
  <c r="S49" i="7"/>
  <c r="S45" i="7"/>
  <c r="AC15" i="7"/>
  <c r="AA22" i="7"/>
  <c r="AA35" i="7" s="1"/>
  <c r="AC8" i="7"/>
  <c r="AA9" i="7"/>
  <c r="Q67" i="7" l="1"/>
  <c r="Q68" i="7" s="1"/>
  <c r="Q70" i="7" s="1"/>
  <c r="AG69" i="7"/>
  <c r="AB78" i="15"/>
  <c r="AB79" i="15" s="1"/>
  <c r="AB81" i="15" s="1"/>
  <c r="J82" i="15" s="1"/>
  <c r="AA4" i="7"/>
  <c r="Y5" i="7"/>
  <c r="Y6" i="7"/>
  <c r="W7" i="7"/>
  <c r="W11" i="7" s="1"/>
  <c r="W37" i="7" s="1"/>
  <c r="U45" i="7"/>
  <c r="U49" i="7"/>
  <c r="S48" i="7"/>
  <c r="S47" i="7"/>
  <c r="S60" i="7"/>
  <c r="S62" i="7" s="1"/>
  <c r="S66" i="7" s="1"/>
  <c r="O72" i="7"/>
  <c r="AE15" i="7"/>
  <c r="AC22" i="7"/>
  <c r="AC35" i="7" s="1"/>
  <c r="AC9" i="7"/>
  <c r="AE8" i="7"/>
  <c r="S67" i="7" l="1"/>
  <c r="S68" i="7" s="1"/>
  <c r="S70" i="7" s="1"/>
  <c r="M27" i="3"/>
  <c r="BE20" i="3" s="1"/>
  <c r="I10" i="21"/>
  <c r="I11" i="21" s="1"/>
  <c r="AA5" i="7"/>
  <c r="AC4" i="7"/>
  <c r="U48" i="7"/>
  <c r="U60" i="7"/>
  <c r="U62" i="7" s="1"/>
  <c r="U66" i="7" s="1"/>
  <c r="U47" i="7"/>
  <c r="Q72" i="7"/>
  <c r="W49" i="7"/>
  <c r="W45" i="7"/>
  <c r="Y7" i="7"/>
  <c r="Y11" i="7" s="1"/>
  <c r="Y37" i="7" s="1"/>
  <c r="AA6" i="7"/>
  <c r="AE22" i="7"/>
  <c r="AE35" i="7" s="1"/>
  <c r="AG15" i="7"/>
  <c r="AG22" i="7" s="1"/>
  <c r="AG35" i="7" s="1"/>
  <c r="AE9" i="7"/>
  <c r="AG8" i="7"/>
  <c r="AG9" i="7" s="1"/>
  <c r="U67" i="7" l="1"/>
  <c r="U68" i="7" s="1"/>
  <c r="I18" i="21"/>
  <c r="H4" i="21" s="1"/>
  <c r="P205" i="3"/>
  <c r="S72" i="7"/>
  <c r="AC5" i="7"/>
  <c r="AE4" i="7"/>
  <c r="AC6" i="7"/>
  <c r="AA7" i="7"/>
  <c r="AA11" i="7" s="1"/>
  <c r="AA37" i="7" s="1"/>
  <c r="Y49" i="7"/>
  <c r="Y45" i="7"/>
  <c r="W60" i="7"/>
  <c r="W62" i="7" s="1"/>
  <c r="W66" i="7" s="1"/>
  <c r="W47" i="7"/>
  <c r="W48" i="7"/>
  <c r="U70" i="7" l="1"/>
  <c r="W67" i="7"/>
  <c r="W68" i="7" s="1"/>
  <c r="W70" i="7" s="1"/>
  <c r="AE5" i="7"/>
  <c r="AG4" i="7"/>
  <c r="AA45" i="7"/>
  <c r="AA49" i="7"/>
  <c r="U72" i="7"/>
  <c r="Y47" i="7"/>
  <c r="Y48" i="7"/>
  <c r="Y60" i="7"/>
  <c r="Y62" i="7" s="1"/>
  <c r="Y66" i="7" s="1"/>
  <c r="AE6" i="7"/>
  <c r="AC7" i="7"/>
  <c r="AC11" i="7" s="1"/>
  <c r="AC37" i="7" s="1"/>
  <c r="Y67" i="7" l="1"/>
  <c r="Y68" i="7" s="1"/>
  <c r="Y70" i="7" s="1"/>
  <c r="AG5" i="7"/>
  <c r="W72" i="7"/>
  <c r="AA60" i="7"/>
  <c r="AA62" i="7" s="1"/>
  <c r="AA66" i="7" s="1"/>
  <c r="AA47" i="7"/>
  <c r="AA48" i="7"/>
  <c r="AC45" i="7"/>
  <c r="AC49" i="7"/>
  <c r="AE7" i="7"/>
  <c r="AE11" i="7" s="1"/>
  <c r="AE37" i="7" s="1"/>
  <c r="AG6" i="7"/>
  <c r="AA67" i="7" l="1"/>
  <c r="AA68" i="7" s="1"/>
  <c r="AA70" i="7" s="1"/>
  <c r="Y72" i="7"/>
  <c r="AG7" i="7"/>
  <c r="AG11" i="7" s="1"/>
  <c r="AG37" i="7" s="1"/>
  <c r="AE49" i="7"/>
  <c r="AE45" i="7"/>
  <c r="AC60" i="7"/>
  <c r="AC62" i="7" s="1"/>
  <c r="AC66" i="7" s="1"/>
  <c r="AC48" i="7"/>
  <c r="AC47" i="7"/>
  <c r="AC67" i="7" l="1"/>
  <c r="AC68" i="7" s="1"/>
  <c r="AC70" i="7" s="1"/>
  <c r="AA72" i="7"/>
  <c r="AE47" i="7"/>
  <c r="AE60" i="7"/>
  <c r="AE62" i="7" s="1"/>
  <c r="AE66" i="7" s="1"/>
  <c r="AE48" i="7"/>
  <c r="AG49" i="7"/>
  <c r="AG45" i="7"/>
  <c r="AE67" i="7" l="1"/>
  <c r="AE68" i="7" s="1"/>
  <c r="AE70" i="7" s="1"/>
  <c r="AG48" i="7"/>
  <c r="AG60" i="7"/>
  <c r="AG62" i="7" s="1"/>
  <c r="AG66" i="7" s="1"/>
  <c r="AG47" i="7"/>
  <c r="AC72" i="7"/>
  <c r="AG67" i="7" l="1"/>
  <c r="AG68" i="7" s="1"/>
  <c r="AG70" i="7" s="1"/>
  <c r="AE72" i="7"/>
  <c r="AG72" i="7" l="1"/>
  <c r="BH753" i="3"/>
  <c r="AC753" i="3" s="1"/>
  <c r="BE42" i="3" s="1"/>
  <c r="E93" i="20" l="1"/>
  <c r="E94" i="20" s="1"/>
  <c r="E95" i="20" s="1"/>
  <c r="E103" i="20"/>
  <c r="E106" i="20" s="1"/>
  <c r="AP106" i="20" s="1"/>
  <c r="AK109" i="20" s="1"/>
  <c r="T806" i="20" s="1"/>
  <c r="AF806" i="20" s="1"/>
  <c r="BE73" i="3" l="1"/>
  <c r="AF821" i="20"/>
  <c r="BE70" i="3" s="1"/>
  <c r="H3" i="21"/>
  <c r="H5" i="21" l="1"/>
  <c r="BE83" i="3" s="1"/>
  <c r="G70" i="7"/>
  <c r="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<sst xmlns="http://schemas.openxmlformats.org/spreadsheetml/2006/main" count="5035" uniqueCount="2766">
  <si>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</si>
  <si>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</si>
  <si>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</si>
  <si>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</si>
  <si>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</si>
  <si>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</si>
  <si>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</si>
  <si>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</si>
  <si>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</si>
  <si>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</si>
  <si>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</si>
  <si>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</si>
  <si>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</si>
  <si>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</si>
  <si>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</si>
  <si>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</si>
  <si>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</si>
  <si>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</si>
  <si>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</si>
  <si>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</si>
  <si>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</si>
  <si>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</si>
  <si>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</si>
  <si>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</si>
  <si>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</si>
  <si>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</si>
  <si>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</si>
  <si>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</si>
  <si>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</si>
  <si>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</si>
  <si>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</si>
  <si>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</si>
  <si>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</si>
  <si>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</si>
  <si>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</si>
  <si>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</si>
  <si>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</si>
  <si>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</si>
  <si>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</si>
  <si>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</si>
  <si>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</si>
  <si>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</si>
  <si>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</si>
  <si>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</si>
  <si>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</si>
  <si>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</si>
  <si>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</si>
  <si>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</si>
  <si>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</si>
  <si>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</si>
  <si>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</si>
  <si>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</si>
  <si>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</si>
  <si>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</si>
  <si>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</si>
  <si>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</si>
  <si>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</si>
  <si>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</si>
  <si>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</si>
  <si>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</si>
  <si>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</si>
  <si>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</si>
  <si>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</si>
  <si>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</si>
  <si>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</si>
  <si>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</si>
  <si>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</si>
  <si>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</si>
  <si>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</si>
  <si>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</si>
  <si>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</si>
  <si>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</si>
  <si>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</si>
  <si>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</si>
  <si>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</si>
  <si>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</si>
  <si>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</si>
  <si>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</si>
  <si>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</si>
  <si>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</si>
  <si>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</si>
  <si>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</si>
  <si>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</si>
  <si>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</si>
  <si>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</si>
  <si>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</si>
  <si>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</si>
  <si>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</si>
  <si>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</si>
  <si>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</si>
  <si>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</si>
  <si>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</si>
  <si>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</si>
  <si>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</si>
  <si>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</si>
  <si>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</si>
  <si>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</si>
  <si>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</si>
  <si>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</si>
  <si>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</si>
  <si>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</si>
  <si>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</si>
  <si>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</si>
  <si>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</si>
  <si>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</si>
  <si>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</si>
  <si>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</si>
  <si>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</si>
  <si>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</si>
  <si>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</si>
  <si>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</si>
  <si>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</si>
  <si>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</si>
  <si>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</si>
  <si>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</si>
  <si>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</si>
  <si>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</si>
  <si>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</si>
  <si>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</si>
  <si>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</si>
  <si>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</si>
  <si>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</si>
  <si>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</si>
  <si>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</si>
  <si>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</si>
  <si>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</si>
  <si>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</si>
  <si>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</si>
  <si>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</si>
  <si>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</si>
  <si>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</si>
  <si>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</si>
  <si>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</si>
  <si>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</si>
  <si>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</si>
  <si>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</si>
  <si>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</si>
  <si>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</si>
  <si>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</si>
  <si>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</si>
  <si>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</si>
  <si>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</si>
  <si>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</si>
  <si>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</si>
  <si>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</si>
  <si>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</si>
  <si>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</si>
  <si>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</si>
  <si>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</si>
  <si>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</si>
  <si>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</si>
  <si>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</si>
  <si>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</si>
  <si>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</si>
  <si>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</si>
  <si>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</si>
  <si>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</si>
  <si>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</si>
  <si>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</si>
  <si>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</si>
  <si>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</si>
  <si>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</si>
  <si>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</si>
  <si>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</si>
  <si>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</si>
  <si>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</si>
  <si>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</si>
  <si>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</si>
  <si>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</si>
  <si>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</si>
  <si>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</si>
  <si>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</si>
  <si>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</si>
  <si>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</si>
  <si>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</si>
  <si>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</si>
  <si>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</si>
  <si>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</si>
  <si>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</si>
  <si>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</si>
  <si>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</si>
  <si>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</si>
  <si>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</si>
  <si>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</si>
  <si>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</si>
  <si>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</si>
  <si>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</si>
  <si>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</si>
  <si>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</si>
  <si>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</si>
  <si>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</si>
  <si>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</si>
  <si>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</si>
  <si>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</si>
  <si>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</si>
  <si>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</si>
  <si>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</si>
  <si>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</si>
  <si>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</si>
  <si>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</si>
  <si>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</si>
  <si>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</si>
  <si>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</si>
  <si>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</si>
  <si>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</si>
  <si>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</si>
  <si>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</si>
  <si>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</si>
  <si>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</si>
  <si>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</si>
  <si>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</si>
  <si>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</si>
  <si>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</si>
  <si>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</si>
  <si>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</si>
  <si>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</si>
  <si>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</si>
  <si>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</si>
  <si>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</si>
  <si>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</si>
  <si>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</si>
  <si>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</si>
  <si>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</si>
  <si>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</si>
  <si>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</si>
  <si>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</si>
  <si>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</si>
  <si>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</si>
  <si>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</si>
  <si>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</si>
  <si>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</si>
  <si>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</si>
  <si>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</si>
  <si>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</si>
  <si>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</si>
  <si>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</si>
  <si>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</si>
  <si>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</si>
  <si>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</si>
  <si>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</si>
  <si>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</si>
  <si>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</si>
  <si>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</si>
  <si>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</si>
  <si>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</si>
  <si>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</si>
  <si>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</si>
  <si>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</si>
  <si>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</si>
  <si>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</si>
  <si>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</si>
  <si>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</si>
  <si>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</si>
  <si>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</si>
  <si>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</si>
  <si>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</si>
  <si>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</si>
  <si>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</si>
  <si>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</si>
  <si>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</si>
  <si>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</si>
  <si>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</si>
  <si>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</si>
  <si>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</si>
  <si>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</si>
  <si>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</si>
  <si>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</si>
  <si>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</si>
  <si>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</si>
  <si>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</si>
  <si>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</si>
  <si>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</si>
  <si>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</si>
  <si>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</si>
  <si>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</si>
  <si>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</si>
  <si>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</si>
  <si>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</si>
  <si>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</si>
  <si>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</si>
  <si>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</si>
  <si>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</si>
  <si>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</si>
  <si>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</si>
  <si>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</si>
  <si>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</si>
  <si>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</si>
  <si>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</si>
  <si>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</si>
  <si>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</si>
  <si>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</si>
  <si>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</si>
  <si>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</si>
  <si>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</si>
  <si>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</si>
  <si>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</si>
  <si>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</si>
  <si>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</si>
  <si>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</si>
  <si>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</si>
  <si>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</si>
  <si>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</si>
  <si>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</si>
  <si>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</si>
  <si>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</si>
  <si>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</si>
  <si>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</si>
  <si>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</si>
  <si>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</si>
  <si>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</si>
  <si>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</si>
  <si>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</si>
  <si>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</si>
  <si>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</si>
  <si>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</si>
  <si>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</si>
  <si>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</si>
  <si>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</si>
  <si>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</si>
  <si>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</si>
  <si>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</si>
  <si>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</si>
  <si>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</si>
  <si>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</si>
  <si>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</si>
  <si>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</si>
  <si>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</si>
  <si>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</si>
  <si>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</si>
  <si>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</si>
  <si>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</si>
  <si>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</si>
  <si>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</si>
  <si>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</si>
  <si>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</si>
  <si>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</si>
  <si>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</si>
  <si>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</si>
  <si>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</si>
  <si>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</si>
  <si>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</si>
  <si>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</si>
  <si>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</si>
  <si>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</si>
  <si>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</si>
  <si>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</si>
  <si>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</si>
  <si>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</si>
  <si>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</si>
  <si>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</si>
  <si>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</si>
  <si>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</si>
  <si>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</si>
  <si>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</si>
  <si>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</si>
  <si>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</si>
  <si>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</si>
  <si>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</si>
  <si>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</si>
  <si>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</si>
  <si>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</si>
  <si>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</si>
  <si>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</si>
  <si>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</si>
  <si>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</si>
  <si>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</si>
  <si>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</si>
  <si>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</si>
  <si>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</si>
  <si>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</si>
  <si>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</si>
  <si>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</si>
  <si>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</si>
  <si>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</si>
  <si>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</si>
  <si>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</si>
  <si>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</si>
  <si>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</si>
  <si>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</si>
  <si>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</si>
  <si>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</si>
  <si>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</si>
  <si>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</si>
  <si>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</si>
  <si>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</si>
  <si>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</si>
  <si>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</si>
  <si>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</si>
  <si>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</si>
  <si>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</si>
  <si>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</si>
  <si>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</si>
  <si>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</si>
  <si>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</si>
  <si>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</si>
  <si>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</si>
  <si>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</si>
  <si>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</si>
  <si>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</si>
  <si>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</si>
  <si>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</si>
  <si>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</si>
  <si>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</si>
  <si>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</si>
  <si>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</si>
  <si>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</si>
  <si>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</si>
  <si>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</si>
  <si>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</si>
  <si>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</si>
  <si>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</si>
  <si>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</si>
  <si>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</si>
  <si>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</si>
  <si>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</si>
  <si>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</si>
  <si>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</si>
  <si>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</si>
  <si>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</si>
  <si>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</si>
  <si>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</si>
  <si>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</si>
  <si>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</si>
  <si>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</si>
  <si>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</si>
  <si>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</si>
  <si>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</si>
  <si>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</si>
  <si>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</si>
  <si>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</si>
  <si>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</si>
  <si>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</si>
  <si>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</si>
  <si>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</si>
  <si>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</si>
  <si>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</si>
  <si>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</si>
  <si>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</si>
  <si>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</si>
  <si>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</si>
  <si>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</si>
  <si>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</si>
  <si>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</si>
  <si>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</si>
  <si>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</si>
  <si>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</si>
  <si>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</si>
  <si>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</si>
  <si>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</si>
  <si>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</si>
  <si>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</si>
  <si>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</si>
  <si>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</si>
  <si>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</si>
  <si>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</si>
  <si>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</si>
  <si>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</si>
  <si>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</si>
  <si>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</si>
  <si>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</si>
  <si>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</si>
  <si>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</si>
  <si>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</si>
  <si>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</si>
  <si>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</si>
  <si>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</si>
  <si>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</si>
  <si>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</si>
  <si>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</si>
  <si>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</si>
  <si>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</si>
  <si>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</si>
  <si>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</si>
  <si>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</si>
  <si>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</si>
  <si>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</si>
  <si>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</si>
  <si>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</si>
  <si>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</si>
  <si>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</si>
  <si>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</si>
  <si>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</si>
  <si>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</si>
  <si>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</si>
  <si>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</si>
  <si>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</si>
  <si>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</si>
  <si>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</si>
  <si>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</si>
  <si>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</si>
  <si>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</si>
  <si>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</si>
  <si>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</si>
  <si>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</si>
  <si>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</si>
  <si>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</si>
  <si>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</si>
  <si>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</si>
  <si>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</si>
  <si>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</si>
  <si>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</si>
  <si>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</si>
  <si>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</si>
  <si>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</si>
  <si>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</si>
  <si>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</si>
  <si>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</si>
  <si>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</si>
  <si>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</si>
  <si>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</si>
  <si>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</si>
  <si>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</si>
  <si>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</si>
  <si>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</si>
  <si>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</si>
  <si>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</si>
  <si>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</si>
  <si>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</si>
  <si>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</si>
  <si>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</si>
  <si>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</si>
  <si>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</si>
  <si>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</si>
  <si>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</si>
  <si>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</si>
  <si>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</si>
  <si>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</si>
  <si>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</si>
  <si>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</si>
  <si>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</si>
  <si>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</si>
  <si>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</si>
  <si>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</si>
  <si>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</si>
  <si>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</si>
  <si>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</si>
  <si>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</si>
  <si>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</si>
  <si>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</si>
  <si>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</si>
  <si>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</si>
  <si>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</si>
  <si>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</si>
  <si>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</si>
  <si>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</si>
  <si>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</si>
  <si>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</si>
  <si>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</si>
  <si>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</si>
  <si>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</si>
  <si>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</si>
  <si>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</si>
  <si>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</si>
  <si>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</si>
  <si>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</si>
  <si>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</si>
  <si>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</si>
  <si>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</si>
  <si>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</si>
  <si>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</si>
  <si>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</si>
  <si>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</si>
  <si>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</si>
  <si>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</si>
  <si>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</si>
  <si>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</si>
  <si>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</si>
  <si>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</si>
  <si>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</si>
  <si>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</si>
  <si>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</si>
  <si>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</si>
  <si>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</si>
  <si>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</si>
  <si>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</si>
  <si>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</si>
  <si>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</si>
  <si>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</si>
  <si>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</si>
  <si>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</si>
  <si>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</si>
  <si>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</si>
  <si>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</si>
  <si>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</si>
  <si>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</si>
  <si>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</si>
  <si>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</si>
  <si>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</si>
  <si>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</si>
  <si>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</si>
  <si>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</si>
  <si>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</si>
  <si>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</si>
  <si>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</si>
  <si>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</si>
  <si>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</si>
  <si>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</si>
  <si>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</si>
  <si>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</si>
  <si>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</si>
  <si>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</si>
  <si>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</si>
  <si>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</si>
  <si>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</si>
  <si>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</si>
  <si>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</si>
  <si>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</si>
  <si>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</si>
  <si>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</si>
  <si>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</si>
  <si>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</si>
  <si>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</si>
  <si>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</si>
  <si>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</si>
  <si>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</si>
  <si>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</si>
  <si>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</si>
  <si>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</si>
  <si>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</si>
  <si>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</si>
  <si>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</si>
  <si>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</si>
  <si>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</si>
  <si>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</si>
  <si>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</si>
  <si>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</si>
  <si>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</si>
  <si>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</si>
  <si>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</si>
  <si>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</si>
  <si>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</si>
  <si>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</si>
  <si>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</si>
  <si>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</si>
  <si>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</si>
  <si>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</si>
  <si>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</si>
  <si>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</si>
  <si>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</si>
  <si>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</si>
  <si>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</si>
  <si>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</si>
  <si>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</si>
  <si>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</si>
  <si>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</si>
  <si>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</si>
  <si>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</si>
  <si>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</si>
  <si>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</si>
  <si>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</si>
  <si>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</si>
  <si>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</si>
  <si>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</si>
  <si>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</si>
  <si>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</si>
  <si>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</si>
  <si>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</si>
  <si>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</si>
  <si>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</si>
  <si>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</si>
  <si>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</si>
  <si>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</si>
  <si>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</si>
  <si>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</si>
  <si>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</si>
  <si>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</si>
  <si>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</si>
  <si>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</si>
  <si>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</si>
  <si>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</si>
  <si>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</si>
  <si>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</si>
  <si>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</si>
  <si>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</si>
  <si>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</si>
  <si>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</si>
  <si>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</si>
  <si>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</si>
  <si>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</si>
  <si>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</si>
  <si>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</si>
  <si>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</si>
  <si>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</si>
  <si>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</si>
  <si>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</si>
  <si>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</si>
  <si>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</si>
  <si>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</si>
  <si>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</si>
  <si>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</si>
  <si>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</si>
  <si>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</si>
  <si>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</si>
  <si>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</si>
  <si>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</si>
  <si>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</si>
  <si>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</si>
  <si>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</si>
  <si>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</si>
  <si>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</si>
  <si>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</si>
  <si>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</si>
  <si>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</si>
  <si>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</si>
  <si>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</si>
  <si>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</si>
  <si>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</si>
  <si>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</si>
  <si>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</si>
  <si>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</si>
  <si>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</si>
  <si>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</si>
  <si>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</si>
  <si>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</si>
  <si>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</si>
  <si>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</si>
  <si>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</si>
  <si>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</si>
  <si>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</si>
  <si>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</si>
  <si>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</si>
  <si>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</si>
  <si>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</si>
  <si>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</si>
  <si>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</si>
  <si>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</si>
  <si>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</si>
  <si>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</si>
  <si>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</si>
  <si>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</si>
  <si>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</si>
  <si>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</si>
  <si>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</si>
  <si>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</si>
  <si>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</si>
  <si>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</si>
  <si>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</si>
  <si>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</si>
  <si>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</si>
  <si>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</si>
  <si>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</si>
  <si>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</si>
  <si>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</si>
  <si>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</si>
  <si>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</si>
  <si>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</si>
  <si>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</si>
  <si>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</si>
  <si>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</si>
  <si>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</si>
  <si>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</si>
  <si>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</si>
  <si>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</si>
  <si>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</si>
  <si>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</si>
  <si>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</si>
  <si>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</si>
  <si>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</si>
  <si>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</si>
  <si>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</si>
  <si>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</si>
  <si>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</si>
  <si>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</si>
  <si>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</si>
  <si>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</si>
  <si>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</si>
  <si>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</si>
  <si>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</si>
  <si>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</si>
  <si>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</si>
  <si>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</si>
  <si>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</si>
  <si>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</si>
  <si>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</si>
  <si>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</si>
  <si>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</si>
  <si>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</si>
  <si>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</si>
  <si>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</si>
  <si>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</si>
  <si>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</si>
  <si>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</si>
  <si>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</si>
  <si>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</si>
  <si>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</si>
  <si>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</si>
  <si>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</si>
  <si>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</si>
  <si>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</si>
  <si>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</si>
  <si>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</si>
  <si>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</si>
  <si>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</si>
  <si>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</si>
  <si>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</si>
  <si>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</si>
  <si>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</si>
  <si>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</si>
  <si>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</si>
  <si>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</si>
  <si>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</si>
  <si>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</si>
  <si>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</si>
  <si>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</si>
  <si>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</si>
  <si>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</si>
  <si>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</si>
  <si>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</si>
  <si>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</si>
  <si>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</si>
  <si>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</si>
  <si>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</si>
  <si>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</si>
  <si>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</si>
  <si>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</si>
  <si>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</si>
  <si>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</si>
  <si>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</si>
  <si>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</si>
  <si>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</si>
  <si>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</si>
  <si>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</si>
  <si>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</si>
  <si>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</si>
  <si>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</si>
  <si>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</si>
  <si>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</si>
  <si>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</si>
  <si>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</si>
  <si>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</si>
  <si>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</si>
  <si>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</si>
  <si>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</si>
  <si>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</si>
  <si>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</si>
  <si>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</si>
  <si>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</si>
  <si>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</si>
  <si>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</si>
  <si>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</si>
  <si>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</si>
  <si>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</si>
  <si>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</si>
  <si>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</si>
  <si>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</si>
  <si>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</si>
  <si>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</si>
  <si>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</si>
  <si>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</si>
  <si>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</si>
  <si>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</si>
  <si>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</si>
  <si>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</si>
  <si>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</si>
  <si>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</si>
  <si>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</si>
  <si>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</si>
  <si>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</si>
  <si>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</si>
  <si>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</si>
  <si>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</si>
  <si>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</si>
  <si>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</si>
  <si>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</si>
  <si>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</si>
  <si>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</si>
  <si>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</si>
  <si>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</si>
  <si>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</si>
  <si>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</si>
  <si>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</si>
  <si>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</si>
  <si>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</si>
  <si>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</si>
  <si>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</si>
  <si>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</si>
  <si>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</si>
  <si>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</si>
  <si>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</si>
  <si>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</si>
  <si>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</si>
  <si>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</si>
  <si>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</si>
  <si>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</si>
  <si>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</si>
  <si>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</si>
  <si>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</si>
  <si>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</si>
  <si>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</si>
  <si>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</si>
  <si>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</si>
  <si>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</si>
  <si>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</si>
  <si>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</si>
  <si>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</si>
  <si>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</si>
  <si>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</si>
  <si>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</si>
  <si>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</si>
  <si>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</si>
  <si>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</si>
  <si>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</si>
  <si>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</si>
  <si>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</si>
  <si>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</si>
  <si>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</si>
  <si>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</si>
  <si>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</si>
  <si>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</si>
  <si>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</si>
  <si>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</si>
  <si>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</si>
  <si>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</si>
  <si>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</si>
  <si>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</si>
  <si>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</si>
  <si>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</si>
  <si>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</si>
  <si>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</si>
  <si>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</si>
  <si>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</si>
  <si>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</si>
  <si>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</si>
  <si>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</si>
  <si>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</si>
  <si>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</si>
  <si>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</si>
  <si>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</si>
  <si>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</si>
  <si>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</si>
  <si>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</si>
  <si>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</si>
  <si>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</si>
  <si>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</si>
  <si>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</si>
  <si>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</si>
  <si>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</si>
  <si>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</si>
  <si>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</si>
  <si>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</si>
  <si>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</si>
  <si>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</si>
  <si>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</si>
  <si>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</si>
  <si>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</si>
  <si>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</si>
  <si>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</si>
  <si>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</si>
  <si>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</si>
  <si>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</si>
  <si>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</si>
  <si>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</si>
  <si>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</si>
  <si>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</si>
  <si>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</si>
  <si>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</si>
  <si>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</si>
  <si>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</si>
  <si>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</si>
  <si>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</si>
  <si>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</si>
  <si>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</si>
  <si>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</si>
  <si>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</si>
  <si>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</si>
  <si>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</si>
  <si>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</si>
  <si>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</si>
  <si>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</si>
  <si>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</si>
  <si>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</si>
  <si>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</si>
  <si>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</si>
  <si>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</si>
  <si>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</si>
  <si>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</si>
  <si>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</si>
  <si>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</si>
  <si>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</si>
  <si>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</si>
  <si>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</si>
  <si>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</si>
  <si>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</si>
  <si>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</si>
  <si>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</si>
  <si>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</si>
  <si>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</si>
  <si>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</si>
  <si>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</si>
  <si>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</si>
  <si>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</si>
  <si>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</si>
  <si>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</si>
  <si>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</si>
  <si>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</si>
  <si>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</si>
  <si>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</si>
  <si>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</si>
  <si>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</si>
  <si>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</si>
  <si>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</si>
  <si>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</si>
  <si>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</si>
  <si>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</si>
  <si>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</si>
  <si>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</si>
  <si>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</si>
  <si>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</si>
  <si>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</si>
  <si>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</si>
  <si>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</si>
  <si>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</si>
  <si>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</si>
  <si>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</si>
  <si>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</si>
  <si>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</si>
  <si>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</si>
  <si>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</si>
  <si>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</si>
  <si>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</si>
  <si>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</si>
  <si>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</si>
  <si>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</si>
  <si>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</si>
  <si>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</si>
  <si>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</si>
  <si>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</si>
  <si>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</si>
  <si>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</si>
  <si>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</si>
  <si>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</si>
  <si>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</si>
  <si>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</si>
  <si>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</si>
  <si>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</si>
  <si>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</si>
  <si>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</si>
  <si>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</si>
  <si>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</si>
  <si>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</si>
  <si>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</si>
  <si>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</si>
  <si>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</si>
  <si>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</si>
  <si>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</si>
  <si>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</si>
  <si>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</si>
  <si>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</si>
  <si>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</si>
  <si>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</si>
  <si>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</si>
  <si>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</si>
  <si>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</si>
  <si>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</si>
  <si>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</si>
  <si>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</si>
  <si>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</si>
  <si>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</si>
  <si>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</si>
  <si>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</si>
  <si>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</si>
  <si>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</si>
  <si>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</si>
  <si>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</si>
  <si>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</si>
  <si>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</si>
  <si>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</si>
  <si>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</si>
  <si>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</si>
  <si>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</si>
  <si>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</si>
  <si>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</si>
  <si>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</si>
  <si>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</si>
  <si>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</si>
  <si>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</si>
  <si>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</si>
  <si>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</si>
  <si>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</si>
  <si>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</si>
  <si>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</si>
  <si>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</si>
  <si>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</si>
  <si>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</si>
  <si>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</si>
  <si>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</si>
  <si>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</si>
  <si>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</si>
  <si>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</si>
  <si>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</si>
  <si>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</si>
  <si>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</si>
  <si>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</si>
  <si>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</si>
  <si>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</si>
  <si>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</si>
  <si>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</si>
  <si>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</si>
  <si>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</si>
  <si>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</si>
  <si>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</si>
  <si>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</si>
  <si>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</si>
  <si>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</si>
  <si>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</si>
  <si>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</si>
  <si>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</si>
  <si>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</si>
  <si>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</si>
  <si>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</si>
  <si>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</si>
  <si>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</si>
  <si>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</si>
  <si>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</si>
  <si>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</si>
  <si>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</si>
  <si>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</si>
  <si>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</si>
  <si>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</si>
  <si>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</si>
  <si>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</si>
  <si>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</si>
  <si>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</si>
  <si>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</si>
  <si>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</si>
  <si>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</si>
  <si>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</si>
  <si>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</si>
  <si>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</si>
  <si>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</si>
  <si>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</si>
  <si>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</si>
  <si>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</si>
  <si>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</si>
  <si>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</si>
  <si>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</si>
  <si>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</si>
  <si>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</si>
  <si>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</si>
  <si>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</si>
  <si>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</si>
  <si>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</si>
  <si>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</si>
  <si>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</si>
  <si>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</si>
  <si>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</si>
  <si>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</si>
  <si>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</si>
  <si>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</si>
  <si>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</si>
  <si>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</si>
  <si>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</si>
  <si>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</si>
  <si>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</si>
  <si>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</si>
  <si>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</si>
  <si>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</si>
  <si>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</si>
  <si>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</si>
  <si>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</si>
  <si>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</si>
  <si>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</si>
  <si>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</si>
  <si>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</si>
  <si>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</si>
  <si>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</si>
  <si>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</si>
  <si>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</si>
  <si>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</si>
  <si>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</si>
  <si>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</si>
  <si>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</si>
  <si>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</si>
  <si>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</si>
  <si>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</si>
  <si>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</si>
  <si>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</si>
  <si>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</si>
  <si>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</si>
  <si>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</si>
  <si>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</si>
  <si>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</si>
  <si>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</si>
  <si>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</si>
  <si>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</si>
  <si>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</si>
  <si>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</si>
  <si>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</si>
  <si>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</si>
  <si>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</si>
  <si>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</si>
  <si>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</si>
  <si>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</si>
  <si>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</si>
  <si>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</si>
  <si>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</si>
  <si>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</si>
  <si>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</si>
  <si>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</si>
  <si>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</si>
  <si>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</si>
  <si>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</si>
  <si>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</si>
  <si>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</si>
  <si>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</si>
  <si>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</si>
  <si>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</si>
  <si>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</si>
  <si>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</si>
  <si>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</si>
  <si>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</si>
  <si>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</si>
  <si>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</si>
  <si>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</si>
  <si>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</si>
  <si>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</si>
  <si>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</si>
  <si>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</si>
  <si>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</si>
  <si>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</si>
  <si>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</si>
  <si>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</si>
  <si>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</si>
  <si>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</si>
  <si>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</si>
  <si>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</si>
  <si>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</si>
  <si>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</si>
  <si>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</si>
  <si>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</si>
  <si>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</si>
  <si>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</si>
  <si>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</si>
  <si>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</si>
  <si>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</si>
  <si>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</si>
  <si>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</si>
  <si>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</si>
  <si>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</si>
  <si>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</si>
  <si>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</si>
  <si>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</si>
  <si>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</si>
  <si>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</si>
  <si>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</si>
  <si>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</si>
  <si>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</si>
  <si>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</si>
  <si>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</si>
  <si>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</si>
  <si>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</si>
  <si>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</si>
  <si>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</si>
  <si>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</si>
  <si>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</si>
  <si>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</si>
  <si>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</si>
  <si>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</si>
  <si>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</si>
  <si>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</si>
  <si>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</si>
  <si>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</si>
  <si>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</si>
  <si>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</si>
  <si>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</si>
  <si>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</si>
  <si>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</si>
  <si>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</si>
  <si>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</si>
  <si>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</si>
  <si>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</si>
  <si>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</si>
  <si>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</si>
  <si>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</si>
  <si>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</si>
  <si>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</si>
  <si>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</si>
  <si>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</si>
  <si>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</si>
  <si>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</si>
  <si>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</si>
  <si>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</si>
  <si>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</si>
  <si>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</si>
  <si>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</si>
  <si>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</si>
  <si>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</si>
  <si>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</si>
  <si>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</si>
  <si>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</si>
  <si>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</si>
  <si>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</si>
  <si>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</si>
  <si>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</si>
  <si>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</si>
  <si>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</si>
  <si>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</si>
  <si>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</si>
  <si>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</si>
  <si>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</si>
  <si>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</si>
  <si>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</si>
  <si>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</si>
  <si>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</si>
  <si>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</si>
  <si>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</si>
  <si>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</si>
  <si>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</si>
  <si>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</si>
  <si>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</si>
  <si>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</si>
  <si>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</si>
  <si>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</si>
  <si>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</si>
  <si>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</si>
  <si>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</si>
  <si>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</si>
  <si>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</si>
  <si>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</si>
  <si>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</si>
  <si>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</si>
  <si>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</si>
  <si>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</si>
  <si>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</si>
  <si>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</si>
  <si>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</si>
  <si>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</si>
  <si>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</si>
  <si>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</si>
  <si>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</si>
  <si>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</si>
  <si>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</si>
  <si>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</si>
  <si>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</si>
  <si>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</si>
  <si>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</si>
  <si>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</si>
  <si>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</si>
  <si>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</si>
  <si>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</si>
  <si>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</si>
  <si>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</si>
  <si>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</si>
  <si>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</si>
  <si>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</si>
  <si>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</si>
  <si>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</si>
  <si>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</si>
  <si>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</si>
  <si>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</si>
  <si>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</si>
  <si>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</si>
  <si>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</si>
  <si>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</si>
  <si>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</si>
  <si>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</si>
  <si>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</si>
  <si>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</si>
  <si>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</si>
  <si>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</si>
  <si>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</si>
  <si>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</si>
  <si>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</si>
  <si>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</si>
  <si>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</si>
  <si>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</si>
  <si>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</si>
  <si>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</si>
  <si>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</si>
  <si>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</si>
  <si>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</si>
  <si>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</si>
  <si>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</si>
  <si>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</si>
  <si>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</si>
  <si>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</si>
  <si>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</si>
  <si>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</si>
  <si>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</si>
  <si>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</si>
  <si>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</si>
  <si>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</si>
  <si>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</si>
  <si>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</si>
  <si>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</si>
  <si>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</si>
  <si>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</si>
  <si>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</si>
  <si>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</si>
  <si>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</si>
  <si>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</si>
  <si>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</si>
  <si>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</si>
  <si>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</si>
  <si>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</si>
  <si>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</si>
  <si>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</si>
  <si>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</si>
  <si>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</si>
  <si>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</si>
  <si>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</si>
  <si>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</si>
  <si>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</si>
  <si>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</si>
  <si>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</si>
  <si>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</si>
  <si>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</si>
  <si>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</si>
  <si>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</si>
  <si>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</si>
  <si>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</si>
  <si>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</si>
  <si>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</si>
  <si>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</si>
  <si>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</si>
  <si>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</si>
  <si>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</si>
  <si>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</si>
  <si>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</si>
  <si>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</si>
  <si>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</si>
  <si>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</si>
  <si>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</si>
  <si>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</si>
  <si>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</si>
  <si>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</si>
  <si>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</si>
  <si>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</si>
  <si>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</si>
  <si>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</si>
  <si>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</si>
  <si>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</si>
  <si>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</si>
  <si>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</si>
  <si>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</si>
  <si>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</si>
  <si>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</si>
  <si>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</si>
  <si>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</si>
  <si>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</si>
  <si>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</si>
  <si>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</si>
  <si>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</si>
  <si>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</si>
  <si>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</si>
  <si>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</si>
  <si>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</si>
  <si>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</si>
  <si>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</si>
  <si>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</si>
  <si>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</si>
  <si>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</si>
  <si>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</si>
  <si>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</si>
  <si>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</si>
  <si>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</si>
  <si>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</si>
  <si>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</si>
  <si>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</si>
  <si>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</si>
  <si>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</si>
  <si>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</si>
  <si>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</si>
  <si>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</si>
  <si>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</si>
  <si>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</si>
  <si>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</si>
  <si>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</si>
  <si>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</si>
  <si>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</si>
  <si>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</si>
  <si>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</si>
  <si>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</si>
  <si>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</si>
  <si>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</si>
  <si>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</si>
  <si>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</si>
  <si>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</si>
  <si>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</si>
  <si>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</si>
  <si>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</si>
  <si>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</si>
  <si>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</si>
  <si>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</si>
  <si>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</si>
  <si>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</si>
  <si>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</si>
  <si>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</si>
  <si>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</si>
  <si>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</si>
  <si>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</si>
  <si>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</si>
  <si>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</si>
  <si>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</si>
  <si>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</si>
  <si>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</si>
  <si>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</si>
  <si>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</si>
  <si>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</si>
  <si>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</si>
  <si>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</si>
  <si>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</si>
  <si>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</si>
  <si>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</si>
  <si>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</si>
  <si>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</si>
  <si>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</si>
  <si>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</si>
  <si>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</si>
  <si>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</si>
  <si>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</si>
  <si>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</si>
  <si>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</si>
  <si>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</si>
  <si>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</si>
  <si>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</si>
  <si>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</si>
  <si>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</si>
  <si>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</si>
  <si>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</si>
  <si>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</si>
  <si>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</si>
  <si>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</si>
  <si>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</si>
  <si>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</si>
  <si>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</si>
  <si>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</si>
  <si>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</si>
  <si>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</si>
  <si>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</si>
  <si>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</si>
  <si>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</si>
  <si>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</si>
  <si>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</si>
  <si>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</si>
  <si>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</si>
  <si>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</si>
  <si>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</si>
  <si>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</si>
  <si>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</si>
  <si>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</si>
  <si>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</si>
  <si>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</si>
  <si>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</si>
  <si>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</si>
  <si>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</si>
  <si>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</si>
  <si>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</si>
  <si>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</si>
  <si>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</si>
  <si>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</si>
  <si>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</si>
  <si>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</si>
  <si>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</si>
  <si>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</si>
  <si>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</si>
  <si>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</si>
  <si>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</si>
  <si>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</si>
  <si>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</si>
  <si>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</si>
  <si>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</si>
  <si>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</si>
  <si>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</si>
  <si>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</si>
  <si>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</si>
  <si>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</si>
  <si>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</si>
  <si>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</si>
  <si>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</si>
  <si>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</si>
  <si>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</si>
  <si>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</si>
  <si>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</si>
  <si>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</si>
  <si>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</si>
  <si>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</si>
  <si>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</si>
  <si>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</si>
  <si>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</si>
  <si>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</si>
  <si>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</si>
  <si>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</si>
  <si>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</si>
  <si>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</si>
  <si>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</si>
  <si>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</si>
  <si>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</si>
  <si>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</si>
  <si>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</si>
  <si>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</si>
  <si>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</si>
  <si>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</si>
  <si>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</si>
  <si>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</si>
  <si>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</si>
  <si>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</si>
  <si>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</si>
  <si>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</si>
  <si>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</si>
  <si>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</si>
  <si>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</si>
  <si>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</si>
  <si>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</si>
  <si>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</si>
  <si>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</si>
  <si>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</si>
  <si>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</si>
  <si>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</si>
  <si>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</si>
  <si>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</si>
  <si>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</si>
  <si>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</si>
  <si>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</si>
  <si>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</si>
  <si>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</si>
  <si>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</si>
  <si>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</si>
  <si>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</si>
  <si>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</si>
  <si>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</si>
  <si>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</si>
  <si>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</si>
  <si>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</si>
  <si>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</si>
  <si>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</si>
  <si>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</si>
  <si>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</si>
  <si>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</si>
  <si>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</si>
  <si>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</si>
  <si>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</si>
  <si>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</si>
  <si>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</si>
  <si>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</si>
  <si>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</si>
  <si>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</si>
  <si>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</si>
  <si>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</si>
  <si>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</si>
  <si>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</si>
  <si>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</si>
  <si>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</si>
  <si>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</si>
  <si>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</si>
  <si>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</si>
  <si>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</si>
  <si>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</si>
  <si>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</si>
  <si>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</si>
  <si>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</si>
  <si>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</si>
  <si>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</si>
  <si>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</si>
  <si>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</si>
  <si>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</si>
  <si>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</si>
  <si>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</si>
  <si>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</si>
  <si>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</si>
  <si>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</si>
  <si>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</si>
  <si>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</si>
  <si>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</si>
  <si>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</si>
  <si>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</si>
  <si>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</si>
  <si>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</si>
  <si>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</si>
  <si>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</si>
  <si>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</si>
  <si>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</si>
  <si>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</si>
  <si>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</si>
  <si>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</si>
  <si>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</si>
  <si>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</si>
  <si>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</si>
  <si>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</si>
  <si>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</si>
  <si>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</si>
  <si>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</si>
  <si>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</si>
  <si>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</si>
  <si>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</si>
  <si>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</si>
  <si>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</si>
  <si>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</si>
  <si>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</si>
  <si>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</si>
  <si>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</si>
  <si>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</si>
  <si>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</si>
  <si>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</si>
  <si>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</si>
  <si>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</si>
  <si>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</si>
  <si>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</si>
  <si>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</si>
  <si>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</si>
  <si>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</si>
  <si>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</si>
  <si>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</si>
  <si>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</si>
  <si>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</si>
  <si>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</si>
  <si>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</si>
  <si>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</si>
  <si>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</si>
  <si>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</si>
  <si>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</si>
  <si>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</si>
  <si>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</si>
  <si>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</si>
  <si>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</si>
  <si>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</si>
  <si>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</si>
  <si>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</si>
  <si>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</si>
  <si>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</si>
  <si>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</si>
  <si>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</si>
  <si>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</si>
  <si>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</si>
  <si>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</si>
  <si>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</si>
  <si>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</si>
  <si>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</si>
  <si>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</si>
  <si>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</si>
  <si>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</si>
  <si>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</si>
  <si>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</si>
  <si>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</si>
  <si>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</si>
  <si>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</si>
  <si>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</si>
  <si>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</si>
  <si>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</si>
  <si>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</si>
  <si>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</si>
  <si>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</si>
  <si>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</si>
  <si>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</si>
  <si>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</si>
  <si>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</si>
  <si>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</si>
  <si>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</si>
  <si>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</si>
  <si>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</si>
  <si>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</si>
  <si>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</si>
  <si>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</si>
  <si>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</si>
  <si>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</si>
  <si>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</si>
  <si>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</si>
  <si>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</si>
  <si>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</si>
  <si>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</si>
  <si>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</si>
  <si>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</si>
  <si>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</si>
  <si>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</si>
  <si>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</si>
  <si>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</si>
  <si>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</si>
  <si>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</si>
  <si>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</si>
  <si>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</si>
  <si>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</si>
  <si>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</si>
  <si>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</si>
  <si>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</si>
  <si>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</si>
  <si>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</si>
  <si>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</si>
  <si>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</si>
  <si>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</si>
  <si>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</si>
  <si>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</si>
  <si>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</si>
  <si>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</si>
  <si>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</si>
  <si>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</si>
  <si>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</si>
  <si>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</si>
  <si>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</si>
  <si>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</si>
  <si>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</si>
  <si>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</si>
  <si>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</si>
  <si>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</si>
  <si>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</si>
  <si>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</si>
  <si>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</si>
  <si>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</si>
  <si>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</si>
  <si>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</si>
  <si>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</si>
  <si>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</si>
  <si>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</si>
  <si>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</si>
  <si>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</si>
  <si>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</si>
  <si>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</si>
  <si>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</si>
  <si>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</si>
  <si>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</si>
  <si>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</si>
  <si>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</si>
  <si>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</si>
  <si>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</si>
  <si>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</si>
  <si>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</si>
  <si>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</si>
  <si>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</si>
  <si>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</si>
  <si>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</si>
  <si>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</si>
  <si>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</si>
  <si>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</si>
  <si>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</si>
  <si>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</si>
  <si>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</si>
  <si>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</si>
  <si>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</si>
  <si>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</si>
  <si>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</si>
  <si>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</si>
  <si>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</si>
  <si>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</si>
  <si>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</si>
  <si>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</si>
  <si>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</si>
  <si>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</si>
  <si>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</si>
  <si>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</si>
  <si>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</si>
  <si>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</si>
  <si>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</si>
  <si>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</si>
  <si>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</si>
  <si>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</si>
  <si>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</si>
  <si>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</si>
  <si>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</si>
  <si>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</si>
  <si>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</si>
  <si>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</si>
  <si>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</si>
  <si>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</si>
  <si>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</si>
  <si>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</si>
  <si>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</si>
  <si>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</si>
  <si>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</si>
  <si>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</si>
  <si>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</si>
  <si>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</si>
  <si>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</si>
  <si>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</si>
  <si>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</si>
  <si>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</si>
  <si>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</si>
  <si>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</si>
  <si>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</si>
  <si>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</si>
  <si>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</si>
  <si>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</si>
  <si>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</si>
  <si>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</si>
  <si>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</si>
  <si>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</si>
  <si>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</si>
  <si>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</si>
  <si>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</si>
  <si>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</si>
  <si>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</si>
  <si>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</si>
  <si>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</si>
  <si>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</si>
  <si>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</si>
  <si>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</si>
  <si>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</si>
  <si>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</si>
  <si>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</si>
  <si>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</si>
  <si>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</si>
  <si>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</si>
  <si>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</si>
  <si>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</si>
  <si>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</si>
  <si>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</si>
  <si>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</si>
  <si>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</si>
  <si>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</si>
  <si>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</si>
  <si>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</si>
  <si>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</si>
  <si>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</si>
  <si>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</si>
  <si>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</si>
  <si>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</si>
  <si>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</si>
  <si>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</si>
  <si>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</si>
  <si>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</si>
  <si>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</si>
  <si>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</si>
  <si>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</si>
  <si>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</si>
  <si>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</si>
  <si>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</si>
  <si>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</si>
  <si>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</si>
  <si>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</si>
  <si>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</si>
  <si>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</si>
  <si>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</si>
  <si>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</si>
  <si>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</si>
  <si>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</si>
  <si>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</si>
  <si>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</si>
  <si>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</si>
  <si>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</si>
  <si>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</si>
  <si>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</si>
  <si>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</si>
  <si>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</si>
  <si>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</si>
  <si>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</si>
  <si>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</si>
  <si>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</si>
  <si>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</si>
  <si>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</si>
  <si>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</si>
  <si>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</si>
  <si>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</si>
  <si>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</si>
  <si>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</si>
  <si>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</si>
  <si>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</si>
  <si>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</si>
  <si>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</si>
  <si>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</si>
  <si>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</si>
  <si>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</si>
  <si>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</si>
  <si>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</si>
  <si>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</si>
  <si>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</si>
  <si>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</si>
  <si>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</si>
  <si>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</si>
  <si>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</si>
  <si>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</si>
  <si>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</si>
  <si>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</si>
  <si>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</si>
  <si>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</si>
  <si>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</si>
  <si>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</si>
  <si>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</si>
  <si>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</si>
  <si>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</si>
  <si>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</si>
  <si>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</si>
  <si>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</si>
  <si>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</si>
  <si>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</si>
  <si>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</si>
  <si>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</si>
  <si>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</si>
  <si>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</si>
  <si>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</si>
  <si>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</si>
  <si>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</si>
  <si>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</si>
  <si>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</si>
  <si>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</si>
  <si>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</si>
  <si>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</si>
  <si>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</si>
  <si>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</si>
  <si>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</si>
  <si>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</si>
  <si>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</si>
  <si>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</si>
  <si>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</si>
  <si>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</si>
  <si>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</si>
  <si>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</si>
  <si>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</si>
  <si>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</si>
  <si>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</si>
  <si>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</si>
  <si>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</si>
  <si>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</si>
  <si>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</si>
  <si>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</si>
  <si>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</si>
  <si>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</si>
  <si>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</si>
  <si>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</si>
  <si>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</si>
  <si>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</si>
  <si>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</si>
  <si>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</si>
  <si>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</si>
  <si>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</si>
  <si>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</si>
  <si>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</si>
  <si>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</si>
  <si>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</si>
  <si>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</si>
  <si>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</si>
  <si>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</si>
  <si>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</si>
  <si>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</si>
  <si>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</si>
  <si>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</si>
  <si>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</si>
  <si>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</si>
  <si>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</si>
  <si>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</si>
  <si>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</si>
  <si>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</si>
  <si>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</si>
  <si>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</si>
  <si>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</si>
  <si>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</si>
  <si>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</si>
  <si>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</si>
  <si>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</si>
  <si>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</si>
  <si>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</si>
  <si>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</si>
  <si>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</si>
  <si>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</si>
  <si>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</si>
  <si>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</si>
  <si>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</si>
  <si>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</si>
  <si>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</si>
  <si>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</si>
  <si>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</si>
  <si>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</si>
  <si>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</si>
  <si>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</si>
  <si>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</si>
  <si>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</si>
  <si>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</si>
  <si>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</si>
  <si>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</si>
  <si>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</si>
  <si>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</si>
  <si>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</si>
  <si>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</si>
  <si>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</si>
  <si>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</si>
  <si>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</si>
  <si>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</si>
  <si>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</si>
  <si>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</si>
  <si>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</si>
  <si>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</si>
  <si>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</si>
  <si>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</si>
  <si>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</si>
  <si>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</si>
  <si>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</si>
  <si>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</si>
  <si>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</si>
  <si>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</si>
  <si>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</si>
  <si>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</si>
  <si>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</si>
  <si>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</si>
  <si>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</si>
  <si>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</si>
  <si>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</si>
  <si>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</si>
  <si>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</si>
  <si>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</si>
  <si>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</si>
  <si>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</si>
  <si>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</si>
  <si>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</si>
  <si>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</si>
  <si>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</si>
  <si>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</si>
  <si>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</si>
  <si>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</si>
  <si>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</si>
  <si>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</si>
  <si>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</si>
  <si>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</si>
  <si>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</si>
  <si>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</si>
  <si>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</si>
  <si>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</si>
  <si>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</si>
  <si>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</si>
  <si>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</si>
  <si>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</si>
  <si>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</si>
  <si>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</si>
  <si>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</si>
  <si>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</si>
  <si>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</si>
  <si>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</si>
  <si>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</si>
  <si>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</si>
  <si>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</si>
  <si>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</si>
  <si>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</si>
  <si>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</si>
  <si>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</si>
  <si>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</si>
  <si>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</si>
  <si>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</si>
  <si>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</si>
  <si>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</si>
  <si>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</si>
  <si>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</si>
  <si>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</si>
  <si>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</si>
  <si>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</si>
  <si>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</si>
  <si>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</si>
  <si>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</si>
  <si>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</si>
  <si>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</si>
  <si>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</si>
  <si>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</si>
  <si>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</si>
  <si>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</si>
  <si>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</si>
  <si>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</si>
  <si>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</si>
  <si>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</si>
  <si>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</si>
  <si>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</si>
  <si>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</si>
  <si>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</si>
  <si>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</si>
  <si>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</si>
  <si>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</si>
  <si>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</si>
  <si>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</si>
  <si>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</si>
  <si>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</si>
  <si>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</si>
  <si>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</si>
  <si>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</si>
  <si>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</si>
  <si>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</si>
  <si>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</si>
  <si>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</si>
  <si>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</si>
  <si>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</si>
  <si>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</si>
  <si>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</si>
  <si>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</si>
  <si>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</si>
  <si>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</si>
  <si>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</si>
  <si>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</si>
  <si>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</si>
  <si>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</si>
  <si>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</si>
  <si>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</si>
  <si>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</si>
  <si>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</si>
  <si>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</si>
  <si>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</si>
  <si>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</si>
  <si>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</si>
  <si>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</si>
  <si>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</si>
  <si>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</si>
  <si>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</si>
  <si>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</si>
  <si>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</si>
  <si>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</si>
  <si>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</si>
  <si>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</si>
  <si>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</si>
  <si>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</si>
  <si>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</si>
  <si>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</si>
  <si>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</si>
  <si>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</si>
  <si>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</si>
  <si>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</si>
  <si>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</si>
  <si>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</si>
  <si>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</si>
  <si>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</si>
  <si>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</si>
  <si>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</si>
  <si>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</si>
  <si>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</si>
  <si>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</si>
  <si>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</si>
  <si>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</si>
  <si>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</si>
  <si>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</si>
  <si>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</si>
  <si>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</si>
  <si>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</si>
  <si>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</si>
  <si>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</si>
  <si>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</si>
  <si>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</si>
  <si>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</si>
  <si>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</si>
  <si>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</si>
  <si>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</si>
  <si>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</si>
  <si>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</si>
  <si>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</si>
  <si>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</si>
  <si>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</si>
  <si>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</si>
  <si>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</si>
  <si>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</si>
  <si>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</si>
  <si>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</si>
  <si>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</si>
  <si>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</si>
  <si>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</si>
  <si>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</si>
  <si>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</si>
  <si>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</si>
  <si>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</si>
  <si>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</si>
  <si>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</si>
  <si>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</si>
  <si>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</si>
  <si>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</si>
  <si>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</si>
  <si>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</si>
  <si>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</si>
  <si>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</si>
  <si>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</si>
  <si>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</si>
  <si>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</si>
  <si>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</si>
  <si>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</si>
  <si>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</si>
  <si>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</si>
  <si>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</si>
  <si>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</si>
  <si>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</si>
  <si>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</si>
  <si>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</si>
  <si>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</si>
  <si>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</si>
  <si>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</si>
  <si>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</si>
  <si>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</si>
  <si>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</si>
  <si>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</si>
  <si>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</si>
  <si>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</si>
  <si>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</si>
  <si>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</si>
  <si>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</si>
  <si>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</si>
  <si>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</si>
  <si>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</si>
  <si>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</si>
  <si>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</si>
  <si>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</si>
  <si>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</si>
  <si>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</si>
  <si>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</si>
  <si>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</si>
  <si>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</si>
  <si>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</si>
  <si>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</si>
  <si>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</si>
  <si>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</si>
  <si>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</si>
  <si>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</si>
  <si>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</si>
  <si>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</si>
  <si>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</si>
  <si>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</si>
  <si>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</si>
  <si>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</si>
  <si>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</si>
  <si>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</si>
  <si>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</si>
  <si>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</si>
  <si>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</si>
  <si>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</si>
  <si>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</si>
  <si>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</si>
  <si>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</si>
  <si>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</si>
  <si>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</si>
  <si>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</si>
  <si>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</si>
  <si>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</si>
  <si>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</si>
  <si>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</si>
  <si>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</si>
  <si>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</si>
  <si>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</si>
  <si>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</si>
  <si>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</si>
  <si>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</si>
  <si>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</si>
  <si>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</si>
  <si>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</si>
  <si>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</si>
  <si>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</si>
  <si>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</si>
  <si>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</si>
  <si>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</si>
  <si>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</si>
  <si>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</si>
  <si>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</si>
  <si>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</si>
  <si>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</si>
  <si>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</si>
  <si>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</si>
  <si>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</si>
  <si>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</si>
  <si>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</si>
  <si>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</si>
  <si>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</si>
  <si>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</si>
  <si>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</si>
  <si>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</si>
  <si>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</si>
  <si>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</si>
  <si>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</si>
  <si>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</si>
  <si>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</si>
  <si>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</si>
  <si>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</si>
  <si>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</si>
  <si>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</si>
  <si>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</si>
  <si>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</si>
  <si>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</si>
  <si>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</si>
  <si>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</si>
  <si>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</si>
  <si>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</si>
  <si>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</si>
  <si>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</si>
  <si>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</si>
  <si>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</si>
  <si>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</si>
  <si>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</si>
  <si>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</si>
  <si>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</si>
  <si>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</si>
  <si>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</si>
  <si>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</si>
  <si>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</si>
  <si>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</si>
  <si>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</si>
  <si>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</si>
  <si>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</si>
  <si>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</si>
  <si>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</si>
  <si>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</si>
  <si>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</si>
  <si>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</si>
  <si>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</si>
  <si>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</si>
  <si>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</si>
  <si>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</si>
  <si>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</si>
  <si>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</si>
  <si>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</si>
  <si>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</si>
  <si>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</si>
  <si>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</si>
  <si>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</si>
  <si>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</si>
  <si>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</si>
  <si>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</si>
  <si>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</si>
  <si>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</si>
  <si>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</si>
  <si>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</si>
  <si>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</si>
  <si>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</si>
  <si>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</si>
  <si>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</si>
  <si>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</si>
  <si>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</si>
  <si>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</si>
  <si>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</si>
  <si>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</si>
  <si>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</si>
  <si>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</si>
  <si>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</si>
  <si>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</si>
  <si>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</si>
  <si>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</si>
  <si>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</si>
  <si>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</si>
  <si>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</si>
  <si>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</si>
  <si>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</si>
  <si>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</si>
  <si>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</si>
  <si>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</si>
  <si>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</si>
  <si>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</si>
  <si>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</si>
  <si>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</si>
  <si>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</si>
  <si>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</si>
  <si>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</si>
  <si>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</si>
  <si>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</si>
  <si>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</si>
  <si>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</si>
  <si>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</si>
  <si>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</si>
  <si>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</si>
  <si>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</si>
  <si>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</si>
  <si>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</si>
  <si>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</si>
  <si>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</si>
  <si>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</si>
  <si>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</si>
  <si>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</si>
  <si>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</si>
  <si>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</si>
  <si>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</si>
  <si>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</si>
  <si>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</si>
  <si>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</si>
  <si>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</si>
  <si>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</si>
  <si>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</si>
  <si>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</si>
  <si>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</si>
  <si>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</si>
  <si>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</si>
  <si>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</si>
  <si>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</si>
  <si>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</si>
  <si>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</si>
  <si>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</si>
  <si>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</si>
  <si>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</si>
  <si>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</si>
  <si>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</si>
  <si>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</si>
  <si>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</si>
  <si>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</si>
  <si>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</si>
  <si>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</si>
  <si>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</si>
  <si>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</si>
  <si>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</si>
  <si>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</si>
  <si>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</si>
  <si>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</si>
  <si>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</si>
  <si>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</si>
  <si>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</si>
  <si>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</si>
  <si>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</si>
  <si>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</si>
  <si>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</si>
  <si>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</si>
  <si>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</si>
  <si>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</si>
  <si>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</si>
  <si>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</si>
  <si>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</si>
  <si>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</si>
  <si>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</si>
  <si>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</si>
  <si>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</si>
  <si>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</si>
  <si>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</si>
  <si>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</si>
  <si>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</si>
  <si>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</si>
  <si>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</si>
  <si>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</si>
  <si>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</si>
  <si>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</si>
  <si>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</si>
  <si>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</si>
  <si>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</si>
  <si>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</si>
  <si>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</si>
  <si>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</si>
  <si>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</si>
  <si>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</si>
  <si>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</si>
  <si>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</si>
  <si>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</si>
  <si>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</si>
  <si>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</si>
  <si>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</si>
  <si>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</si>
  <si>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</si>
  <si>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</si>
  <si>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</si>
  <si>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</si>
  <si>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</si>
  <si>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</si>
  <si>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</si>
  <si>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</si>
  <si>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</si>
  <si>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</si>
  <si>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</si>
  <si>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</si>
  <si>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</si>
  <si>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</si>
  <si>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</si>
  <si>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</si>
  <si>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</si>
  <si>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</si>
  <si>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</si>
  <si>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</si>
  <si>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</si>
  <si>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</si>
  <si>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</si>
  <si>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</si>
  <si>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</si>
  <si>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</si>
  <si>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</si>
  <si>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</si>
  <si>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</si>
  <si>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</si>
  <si>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</si>
  <si>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</si>
  <si>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</si>
  <si>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</si>
  <si>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</si>
  <si>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</si>
  <si>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</si>
  <si>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</si>
  <si>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</si>
  <si>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</si>
  <si>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</si>
  <si>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</si>
  <si>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</si>
  <si>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</si>
  <si>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</si>
  <si>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</si>
  <si>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</si>
  <si>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</si>
  <si>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</si>
  <si>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</si>
  <si>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</si>
  <si>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</si>
  <si>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</si>
  <si>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</si>
  <si>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</si>
  <si>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</si>
  <si>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</si>
  <si>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</si>
  <si>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</si>
  <si>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</si>
  <si>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</si>
  <si>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</si>
  <si>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</si>
  <si>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</si>
  <si>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</si>
  <si>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</si>
  <si>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</si>
  <si>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</si>
  <si>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</si>
  <si>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</si>
  <si>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</si>
  <si>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</si>
  <si>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</si>
  <si>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</si>
  <si>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</si>
  <si>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</si>
  <si>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</si>
  <si>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</si>
  <si>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</si>
  <si>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</si>
  <si>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</si>
  <si>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</si>
  <si>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</si>
  <si>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</si>
  <si>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</si>
  <si>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</si>
  <si>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</si>
  <si>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</si>
  <si>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</si>
  <si>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</si>
  <si>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</si>
  <si>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</si>
  <si>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</si>
  <si>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</si>
  <si>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</si>
  <si>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</si>
  <si>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</si>
  <si>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</si>
  <si>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</si>
  <si>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Colorado Crest Apartments </t>
  </si>
  <si>
    <t xml:space="preserve">Community Revitalization and Development Corporation </t>
  </si>
  <si>
    <t xml:space="preserve">1756-1776 E Colorado Blvd </t>
  </si>
  <si>
    <t>Pasadena</t>
  </si>
  <si>
    <t>40%/60%</t>
  </si>
  <si>
    <t>122 E 42nd Street, suite 1903</t>
  </si>
  <si>
    <t>New York</t>
  </si>
  <si>
    <t>Paul Salib</t>
  </si>
  <si>
    <t>psalib@crpaffordable.com</t>
  </si>
  <si>
    <t>CRP Affordable Housing and Community Development LLC</t>
  </si>
  <si>
    <t>NY</t>
  </si>
  <si>
    <t>Seth Sterneck</t>
  </si>
  <si>
    <t>646-518-7280</t>
  </si>
  <si>
    <t xml:space="preserve">Buckingham Property Management </t>
  </si>
  <si>
    <t>Novogradac Consulting LLP</t>
  </si>
  <si>
    <t>6700 Antioch Rd #450</t>
  </si>
  <si>
    <t>Merriam, Kansas 66204</t>
  </si>
  <si>
    <t>Rachel Denton</t>
  </si>
  <si>
    <t>913-312-4612</t>
  </si>
  <si>
    <t>rachel.denton@novoco.com</t>
  </si>
  <si>
    <t>Thomas Stagg</t>
  </si>
  <si>
    <t>515-519-1234</t>
  </si>
  <si>
    <t>thomas.stagg@novoco.com</t>
  </si>
  <si>
    <t>Hobson Bernardino + Davis LLP</t>
  </si>
  <si>
    <t>6060 Center Drive, Floor 10</t>
  </si>
  <si>
    <t>Los Angeles, CA 90045</t>
  </si>
  <si>
    <t>Jason Hobson</t>
  </si>
  <si>
    <t>213-235-9191</t>
  </si>
  <si>
    <t>jhobson@hbdlegal.com</t>
  </si>
  <si>
    <t>New York, NY 10168</t>
  </si>
  <si>
    <t>Shelter Architects</t>
  </si>
  <si>
    <t>Ironcore Construction LLC</t>
  </si>
  <si>
    <t>4429 Morena Boulevard, Suite A</t>
  </si>
  <si>
    <t>San Diego, CA 92127</t>
  </si>
  <si>
    <t>Tom Hodgins</t>
  </si>
  <si>
    <t>(619) 378-7878</t>
  </si>
  <si>
    <t>thodgin@ironcorecc.com</t>
  </si>
  <si>
    <t>Partner Energy</t>
  </si>
  <si>
    <t>980 Knox St. Suite 150</t>
  </si>
  <si>
    <t>Los Angeles, Ca 90502</t>
  </si>
  <si>
    <t>Kelsey Shaw</t>
  </si>
  <si>
    <t>kshaw@ptrenergy.com</t>
  </si>
  <si>
    <t>310-356-2199</t>
  </si>
  <si>
    <t>Other (Specify below)</t>
  </si>
  <si>
    <t xml:space="preserve">7- Story Building, The building will comprise five stories of Type IIIA construction above two stories of Type IA construction. </t>
  </si>
  <si>
    <t>Colorado Crest LP</t>
  </si>
  <si>
    <t xml:space="preserve">City of Pasadena </t>
  </si>
  <si>
    <t>Housing Director</t>
  </si>
  <si>
    <t>Mr. William Huang</t>
  </si>
  <si>
    <t>(626) 744-8320</t>
  </si>
  <si>
    <t>(626) 744-8340</t>
  </si>
  <si>
    <t xml:space="preserve">whuang@cityofpasadena.net </t>
  </si>
  <si>
    <t>649 N. Fair Oaks Avenue, Suite 202</t>
  </si>
  <si>
    <t xml:space="preserve">Pasadena </t>
  </si>
  <si>
    <t>Managing GP</t>
  </si>
  <si>
    <t>Administrative GP</t>
  </si>
  <si>
    <t>Provided</t>
  </si>
  <si>
    <t>Not Applicable</t>
  </si>
  <si>
    <t>(EC-MU-C) East Colorado Specific Plan - Mixed use- Core</t>
  </si>
  <si>
    <t>5736025049, 5736025004, 5736025005</t>
  </si>
  <si>
    <t>212-776-1914</t>
  </si>
  <si>
    <t>CA</t>
  </si>
  <si>
    <t>217-776-1914</t>
  </si>
  <si>
    <t>Novogradac &amp; Company LLP</t>
  </si>
  <si>
    <t>1300 114th Avenue SE, Suite 240</t>
  </si>
  <si>
    <t>Bellevue, WA 98004</t>
  </si>
  <si>
    <t>CREA LLC</t>
  </si>
  <si>
    <t>800 Third Avenue, Suite 3700</t>
  </si>
  <si>
    <t>New York NY ,10022</t>
  </si>
  <si>
    <t>Neala Martin</t>
  </si>
  <si>
    <t>646-872-2652</t>
  </si>
  <si>
    <t>nmartin@creallc.com</t>
  </si>
  <si>
    <t>Community Revitalization and Development Corporation</t>
  </si>
  <si>
    <t>635 Parkview Avenue</t>
  </si>
  <si>
    <t>Redding</t>
  </si>
  <si>
    <t>David Rutledge</t>
  </si>
  <si>
    <t>david@crdc-housing.org</t>
  </si>
  <si>
    <t>530-241-6960</t>
  </si>
  <si>
    <t>Colorado Crest AGP LLC</t>
  </si>
  <si>
    <t>122 East 42nd Street</t>
  </si>
  <si>
    <t>917-626-5209</t>
  </si>
  <si>
    <t>ssterneck@crpaffordable.com</t>
  </si>
  <si>
    <t>Developer</t>
  </si>
  <si>
    <t>87 N Raymond Ave</t>
  </si>
  <si>
    <t>Pasadena,CA 91103</t>
  </si>
  <si>
    <t>Gladys M Bowen</t>
  </si>
  <si>
    <t>626-437-6846</t>
  </si>
  <si>
    <t>gladys@sheltarch.com</t>
  </si>
  <si>
    <t>601 Pollasky Ave #201</t>
  </si>
  <si>
    <t>Clovis, CA 93612</t>
  </si>
  <si>
    <t>Rosemary Lynch</t>
  </si>
  <si>
    <t>rlynch@buckinghampm.com</t>
  </si>
  <si>
    <t>(Other+Air Conditioning)</t>
  </si>
  <si>
    <t>City of Pasadena</t>
  </si>
  <si>
    <t>Aparamian Family 1998 Limited Partnership</t>
  </si>
  <si>
    <t>General Partner</t>
  </si>
  <si>
    <t xml:space="preserve">Brian Aparamian </t>
  </si>
  <si>
    <t>Authorized Signatory</t>
  </si>
  <si>
    <t>September</t>
  </si>
  <si>
    <t>Construction Loan (Tax- Exempt)</t>
  </si>
  <si>
    <t>Construction Loan (Taxable)</t>
  </si>
  <si>
    <t>Federal LIHTC Equity</t>
  </si>
  <si>
    <t>State LIHTC Equity</t>
  </si>
  <si>
    <t>Deferred Costs</t>
  </si>
  <si>
    <t>Permanent Loan</t>
  </si>
  <si>
    <t>Variable</t>
  </si>
  <si>
    <t>California Municipal Finance Authority</t>
  </si>
  <si>
    <t>Carlsbad, CA  92011</t>
  </si>
  <si>
    <t>(760) 930-1221</t>
  </si>
  <si>
    <t xml:space="preserve">2111 Palomar Airport Road, Suite 320
</t>
  </si>
  <si>
    <t>jstoecker@cmfa-ca.com</t>
  </si>
  <si>
    <t>John P. Stoecker</t>
  </si>
  <si>
    <t>1708 Avenida  Cresecenta, San Clemente, CA 92672</t>
  </si>
  <si>
    <t>New York, NY 10022</t>
  </si>
  <si>
    <t>Equity</t>
  </si>
  <si>
    <t>122 East 42nd St, STE 1903</t>
  </si>
  <si>
    <t>New York NY 10168</t>
  </si>
  <si>
    <t>Private</t>
  </si>
  <si>
    <t>300 South Grand Avenue</t>
  </si>
  <si>
    <t>Los Angeles, CA 90071</t>
  </si>
  <si>
    <t>Hao Li</t>
  </si>
  <si>
    <t>Tax Exempt Bonds/Private</t>
  </si>
  <si>
    <t>(559)452-8250</t>
  </si>
  <si>
    <t>Taxable Loan/Private</t>
  </si>
  <si>
    <t>Conventional Loan</t>
  </si>
  <si>
    <t xml:space="preserve">0 spaces as per Govt code 65915  </t>
  </si>
  <si>
    <t xml:space="preserve">84'  allowed as per AB1763  </t>
  </si>
  <si>
    <t xml:space="preserve">HCD Disaster SUPERNOFA funds  </t>
  </si>
  <si>
    <t>MHP</t>
  </si>
  <si>
    <t>Other: (Employment Reporting)</t>
  </si>
  <si>
    <t>Other: (Legal for Perm Loan)</t>
  </si>
  <si>
    <t>Other: (Prevailing Wage Monitoring +Relocation Cost)</t>
  </si>
  <si>
    <t>Other: (Environmental Remediating+CDLAC Fee+Misc. Third Party Costs)</t>
  </si>
  <si>
    <t>Other: (Predevelopment Loan Interest)</t>
  </si>
  <si>
    <t>On- site Maintenance Employee+Payroll Taxes+Workers Compensation+Employee Benefits</t>
  </si>
  <si>
    <t>(Conventions&amp; Meetings+Office Expenses+Accounting Service+Misc. Administravtive Service)</t>
  </si>
  <si>
    <t>Issuer &amp; Monitoring Fee</t>
  </si>
  <si>
    <t>MHP Soft Loan Payments</t>
  </si>
  <si>
    <t>App, Fee, late, etc.</t>
  </si>
  <si>
    <t>Partnershiop Admin Fee</t>
  </si>
  <si>
    <t>LP distribution</t>
  </si>
  <si>
    <t>GP Distribution</t>
  </si>
  <si>
    <t>916-263-2771</t>
  </si>
  <si>
    <t>2020 W. EI Camino Avenue Suite 6709</t>
  </si>
  <si>
    <t>Sacramento, CA 94252-2054</t>
  </si>
  <si>
    <t>Jennifer Seeger</t>
  </si>
  <si>
    <t>Public</t>
  </si>
  <si>
    <t>HCD-MHP</t>
  </si>
  <si>
    <t>Recycled Tax-Exempt Loan/Private</t>
  </si>
  <si>
    <t>Recycled Bonds</t>
  </si>
  <si>
    <t xml:space="preserve">Construction loan(recycled bonds) </t>
  </si>
  <si>
    <t>Tax-exempt bond financing (recycled bonds) </t>
  </si>
  <si>
    <t>Liability Insuance</t>
  </si>
  <si>
    <t>Other: (Lender Legal +Bond Issuer Legal+MGP Legal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</si>
</sst>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078">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50"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2"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9"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9">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37" fillId="0" borderId="0" xfId="4495" applyFont="1" applyAlignment="1">
      <alignment horizontal="left" vertical="center"/>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5" fillId="0" borderId="53" xfId="4496" applyFont="1" applyBorder="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6" fillId="0" borderId="0" xfId="4496" applyFont="1" applyAlignment="1">
      <alignment vertical="center"/>
    </xf>
    <xf numFmtId="0" fontId="124" fillId="0" borderId="0" xfId="4496" applyFont="1"/>
    <xf numFmtId="0" fontId="124" fillId="0" borderId="0" xfId="4496" applyFont="1" applyAlignment="1">
      <alignment vertical="center"/>
    </xf>
    <xf numFmtId="0" fontId="127"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0" fontId="19" fillId="0" borderId="51" xfId="4495" applyFont="1" applyBorder="1" applyAlignment="1">
      <alignment vertical="top"/>
    </xf>
    <xf numFmtId="0" fontId="19" fillId="0" borderId="52"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8"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5" fillId="0" borderId="9" xfId="4495" applyFont="1" applyBorder="1"/>
    <xf numFmtId="0" fontId="27" fillId="0" borderId="10" xfId="4495" applyFont="1" applyBorder="1"/>
    <xf numFmtId="0" fontId="132"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1"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8"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8"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0" fontId="19" fillId="0" borderId="58" xfId="0" applyFont="1" applyBorder="1" applyAlignment="1">
      <alignment horizontal="left"/>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1"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2"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9"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40"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5" fontId="100" fillId="0" borderId="6" xfId="4496" applyNumberFormat="1" applyFont="1" applyBorder="1" applyAlignment="1">
      <alignmen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9"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5" fillId="0" borderId="0" xfId="0" applyFont="1"/>
    <xf numFmtId="0" fontId="24"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60"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00" fillId="0" borderId="6" xfId="4496" applyFont="1" applyBorder="1" applyAlignment="1">
      <alignment horizontal="left" vertical="top"/>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5"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7"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4" fillId="0" borderId="0" xfId="8733"/>
    <xf numFmtId="0" fontId="105" fillId="0" borderId="0" xfId="8733" applyFont="1"/>
    <xf numFmtId="0" fontId="4" fillId="47" borderId="66" xfId="8733" applyFill="1" applyBorder="1"/>
    <xf numFmtId="0" fontId="4" fillId="47" borderId="0" xfId="8733" applyFill="1"/>
    <xf numFmtId="0" fontId="104" fillId="47" borderId="41" xfId="8733" applyFont="1" applyFill="1" applyBorder="1" applyAlignment="1">
      <alignment horizontal="center"/>
    </xf>
    <xf numFmtId="0" fontId="104" fillId="47" borderId="0" xfId="8733" applyFont="1" applyFill="1"/>
    <xf numFmtId="182" fontId="176" fillId="47" borderId="0" xfId="8734" applyNumberFormat="1" applyFont="1" applyFill="1" applyBorder="1" applyAlignment="1"/>
    <xf numFmtId="0" fontId="4" fillId="47" borderId="41" xfId="8733" applyFill="1" applyBorder="1"/>
    <xf numFmtId="0" fontId="105" fillId="47" borderId="0" xfId="8733" applyFont="1" applyFill="1"/>
    <xf numFmtId="0" fontId="180" fillId="47" borderId="0" xfId="8733" applyFont="1" applyFill="1"/>
    <xf numFmtId="0" fontId="104" fillId="47" borderId="41" xfId="8733" applyFont="1" applyFill="1" applyBorder="1"/>
    <xf numFmtId="0" fontId="104" fillId="0" borderId="0" xfId="8733" applyFont="1"/>
    <xf numFmtId="0" fontId="104" fillId="54" borderId="100" xfId="8733" applyFont="1" applyFill="1" applyBorder="1"/>
    <xf numFmtId="0" fontId="4" fillId="53" borderId="99" xfId="8733" applyFill="1" applyBorder="1"/>
    <xf numFmtId="0" fontId="4" fillId="52" borderId="99" xfId="8733" applyFill="1" applyBorder="1"/>
    <xf numFmtId="0" fontId="104" fillId="45" borderId="65" xfId="8733" applyFont="1" applyFill="1" applyBorder="1"/>
    <xf numFmtId="0" fontId="4" fillId="45" borderId="80" xfId="8733" applyFill="1" applyBorder="1"/>
    <xf numFmtId="0" fontId="4" fillId="45" borderId="79" xfId="8733" applyFill="1" applyBorder="1"/>
    <xf numFmtId="0" fontId="4" fillId="45" borderId="78" xfId="8733" applyFill="1" applyBorder="1"/>
    <xf numFmtId="0" fontId="104" fillId="45" borderId="0" xfId="8733" applyFont="1" applyFill="1"/>
    <xf numFmtId="0" fontId="104" fillId="45" borderId="12" xfId="8733" applyFont="1" applyFill="1" applyBorder="1"/>
    <xf numFmtId="0" fontId="104" fillId="45" borderId="29" xfId="8733" applyFont="1" applyFill="1" applyBorder="1"/>
    <xf numFmtId="0" fontId="104" fillId="45" borderId="80" xfId="8733" applyFont="1" applyFill="1" applyBorder="1"/>
    <xf numFmtId="0" fontId="104" fillId="45" borderId="79" xfId="8733" applyFont="1" applyFill="1" applyBorder="1"/>
    <xf numFmtId="0" fontId="104" fillId="45" borderId="78" xfId="8733" applyFont="1" applyFill="1" applyBorder="1"/>
    <xf numFmtId="0" fontId="104" fillId="45" borderId="93" xfId="8733" applyFont="1" applyFill="1" applyBorder="1"/>
    <xf numFmtId="0" fontId="104" fillId="45" borderId="6" xfId="8733" applyFont="1" applyFill="1" applyBorder="1"/>
    <xf numFmtId="0" fontId="104" fillId="45" borderId="10" xfId="8733" applyFont="1" applyFill="1" applyBorder="1"/>
    <xf numFmtId="0" fontId="4" fillId="45" borderId="29" xfId="8733" applyFill="1" applyBorder="1"/>
    <xf numFmtId="0" fontId="4" fillId="45" borderId="31" xfId="8733" applyFill="1" applyBorder="1"/>
    <xf numFmtId="0" fontId="104" fillId="45" borderId="92" xfId="8733" applyFont="1" applyFill="1" applyBorder="1"/>
    <xf numFmtId="0" fontId="104" fillId="45" borderId="74" xfId="8733" applyFont="1" applyFill="1" applyBorder="1"/>
    <xf numFmtId="0" fontId="175" fillId="45" borderId="87" xfId="8733" applyFont="1" applyFill="1" applyBorder="1"/>
    <xf numFmtId="0" fontId="4" fillId="45" borderId="87" xfId="8733" applyFill="1" applyBorder="1"/>
    <xf numFmtId="0" fontId="4" fillId="45" borderId="86" xfId="8733" applyFill="1" applyBorder="1"/>
    <xf numFmtId="0" fontId="4" fillId="45" borderId="95" xfId="8733" applyFill="1" applyBorder="1"/>
    <xf numFmtId="0" fontId="182" fillId="47" borderId="0" xfId="8733" applyFont="1" applyFill="1"/>
    <xf numFmtId="0" fontId="104" fillId="45" borderId="31" xfId="8733" applyFont="1" applyFill="1" applyBorder="1"/>
    <xf numFmtId="0" fontId="4" fillId="47" borderId="0" xfId="8733" applyFill="1" applyAlignment="1">
      <alignment horizontal="left"/>
    </xf>
    <xf numFmtId="0" fontId="174" fillId="51" borderId="11" xfId="8733" applyFont="1" applyFill="1" applyBorder="1"/>
    <xf numFmtId="0" fontId="174" fillId="51" borderId="76" xfId="8733" applyFont="1" applyFill="1" applyBorder="1"/>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4" fillId="48" borderId="66" xfId="8733" applyFill="1" applyBorder="1"/>
    <xf numFmtId="0" fontId="4" fillId="48" borderId="0" xfId="8733" applyFill="1"/>
    <xf numFmtId="0" fontId="4" fillId="48" borderId="78" xfId="8733" applyFill="1" applyBorder="1"/>
    <xf numFmtId="0" fontId="104" fillId="47" borderId="66" xfId="8733" applyFont="1" applyFill="1" applyBorder="1"/>
    <xf numFmtId="49" fontId="104" fillId="47" borderId="66" xfId="8733" applyNumberFormat="1" applyFont="1" applyFill="1" applyBorder="1" applyAlignment="1">
      <alignment horizontal="right" vertical="top"/>
    </xf>
    <xf numFmtId="0" fontId="4" fillId="47" borderId="73" xfId="8733" applyFill="1" applyBorder="1"/>
    <xf numFmtId="0" fontId="4" fillId="47" borderId="42" xfId="8733" applyFill="1" applyBorder="1"/>
    <xf numFmtId="0" fontId="4" fillId="47" borderId="44" xfId="8733" applyFill="1" applyBorder="1"/>
    <xf numFmtId="0" fontId="4" fillId="44" borderId="66" xfId="8733" applyFill="1" applyBorder="1"/>
    <xf numFmtId="0" fontId="4" fillId="44" borderId="0" xfId="8733" applyFill="1"/>
    <xf numFmtId="0" fontId="4" fillId="44" borderId="41" xfId="8733" applyFill="1" applyBorder="1"/>
    <xf numFmtId="0" fontId="4" fillId="44" borderId="0" xfId="8733" applyFill="1" applyAlignment="1">
      <alignment horizontal="left"/>
    </xf>
    <xf numFmtId="0" fontId="4" fillId="44" borderId="73" xfId="8733" applyFill="1" applyBorder="1"/>
    <xf numFmtId="0" fontId="4" fillId="44" borderId="42" xfId="8733" applyFill="1" applyBorder="1"/>
    <xf numFmtId="0" fontId="4" fillId="44" borderId="44" xfId="8733" applyFill="1" applyBorder="1"/>
    <xf numFmtId="0" fontId="166" fillId="0" borderId="0" xfId="8733" applyFont="1"/>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0" fontId="171" fillId="0" borderId="0" xfId="8733" applyFont="1"/>
    <xf numFmtId="0" fontId="168" fillId="0" borderId="0" xfId="8733" applyFont="1"/>
    <xf numFmtId="185" fontId="171" fillId="0" borderId="0" xfId="698" applyNumberFormat="1" applyFont="1"/>
    <xf numFmtId="10" fontId="171" fillId="0" borderId="0" xfId="1022" applyNumberFormat="1" applyFont="1"/>
    <xf numFmtId="0" fontId="0" fillId="5" borderId="6" xfId="0"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0" fontId="19" fillId="0" borderId="0" xfId="0" applyFont="1" applyAlignment="1">
      <alignment horizontal="left" vertical="top"/>
    </xf>
    <xf numFmtId="0" fontId="19" fillId="0" borderId="0" xfId="0" applyFont="1" applyAlignment="1">
      <alignment horizontal="left"/>
    </xf>
    <xf numFmtId="49"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4" fontId="19" fillId="0" borderId="0" xfId="0" applyNumberFormat="1" applyFont="1" applyAlignment="1">
      <alignment horizontal="left" vertical="top" wrapText="1"/>
    </xf>
    <xf numFmtId="0" fontId="37" fillId="0" borderId="0" xfId="0" applyFont="1" applyAlignment="1">
      <alignment horizontal="left"/>
    </xf>
    <xf numFmtId="0" fontId="26" fillId="0" borderId="0" xfId="0" applyFont="1" applyAlignment="1">
      <alignment vertical="top" wrapText="1"/>
    </xf>
    <xf numFmtId="0" fontId="26" fillId="0" borderId="0" xfId="1192" applyFont="1" applyAlignment="1">
      <alignment horizontal="left" vertical="top" wrapText="1"/>
    </xf>
    <xf numFmtId="4" fontId="37" fillId="0" borderId="0" xfId="569" applyNumberFormat="1" applyFont="1" applyAlignment="1">
      <alignment horizontal="left" vertical="top" wrapText="1"/>
    </xf>
    <xf numFmtId="0" fontId="19" fillId="0" borderId="0" xfId="569" applyAlignment="1">
      <alignment horizontal="left"/>
    </xf>
    <xf numFmtId="0" fontId="26" fillId="0" borderId="4" xfId="569" applyFont="1" applyBorder="1" applyAlignment="1">
      <alignment horizontal="left" vertical="top"/>
    </xf>
    <xf numFmtId="0" fontId="19" fillId="0" borderId="0" xfId="569" applyAlignment="1">
      <alignment horizontal="left" vertical="top" wrapText="1"/>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4" fontId="19" fillId="0" borderId="0" xfId="569" applyNumberFormat="1" applyAlignment="1">
      <alignment horizontal="left" vertical="top" wrapText="1"/>
    </xf>
    <xf numFmtId="0" fontId="26" fillId="0" borderId="4" xfId="569" applyFont="1" applyBorder="1" applyAlignment="1">
      <alignment horizontal="left"/>
    </xf>
    <xf numFmtId="0" fontId="37" fillId="0" borderId="0" xfId="569" applyFont="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0" xfId="1192"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19" fillId="0" borderId="27" xfId="569" applyBorder="1" applyAlignment="1">
      <alignment horizontal="left"/>
    </xf>
    <xf numFmtId="0" fontId="26" fillId="0" borderId="16" xfId="569" applyFont="1" applyBorder="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0" borderId="0" xfId="0"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26"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82" fontId="27" fillId="43" borderId="11" xfId="8721" applyNumberFormat="1" applyFont="1" applyFill="1" applyBorder="1" applyAlignment="1" applyProtection="1">
      <alignment horizontal="center" vertical="center" wrapText="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7" fillId="0" borderId="0" xfId="0" applyFont="1" applyAlignment="1">
      <alignment horizontal="center"/>
    </xf>
    <xf numFmtId="0" fontId="28" fillId="45" borderId="11" xfId="0" applyFont="1" applyFill="1" applyBorder="1" applyAlignment="1">
      <alignment horizontal="center"/>
    </xf>
    <xf numFmtId="0" fontId="28" fillId="2" borderId="11" xfId="0" applyFont="1" applyFill="1" applyBorder="1" applyAlignment="1">
      <alignment horizontal="center"/>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25" fillId="3" borderId="0" xfId="0" applyFont="1" applyFill="1" applyAlignment="1">
      <alignment horizontal="center" vertical="center"/>
    </xf>
    <xf numFmtId="166" fontId="28"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28" fillId="5" borderId="4" xfId="0" applyFont="1" applyFill="1" applyBorder="1" applyAlignment="1" applyProtection="1">
      <alignment horizontal="left"/>
      <protection locked="0"/>
    </xf>
    <xf numFmtId="0" fontId="19" fillId="0" borderId="11" xfId="0" applyFont="1" applyBorder="1" applyAlignment="1">
      <alignment horizontal="center"/>
    </xf>
    <xf numFmtId="0" fontId="0" fillId="0" borderId="11" xfId="0" applyBorder="1" applyAlignment="1">
      <alignment horizontal="center"/>
    </xf>
    <xf numFmtId="0" fontId="19" fillId="0" borderId="11" xfId="543"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19" fillId="0" borderId="4" xfId="0" applyFont="1" applyBorder="1" applyAlignment="1">
      <alignment horizontal="center"/>
    </xf>
    <xf numFmtId="0" fontId="26" fillId="0" borderId="11" xfId="0" applyFont="1" applyBorder="1" applyAlignment="1">
      <alignment horizontal="center" vertical="center" wrapText="1"/>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0" fillId="0" borderId="9" xfId="0" applyBorder="1" applyAlignment="1">
      <alignment horizontal="left"/>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8" fillId="5" borderId="11" xfId="0" applyNumberFormat="1"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26" fillId="0" borderId="11" xfId="0" applyFont="1" applyBorder="1" applyAlignment="1">
      <alignment horizontal="center"/>
    </xf>
    <xf numFmtId="168" fontId="0" fillId="5" borderId="11" xfId="0" applyNumberFormat="1" applyFill="1" applyBorder="1" applyAlignment="1" applyProtection="1">
      <alignment horizontal="center"/>
      <protection locked="0"/>
    </xf>
    <xf numFmtId="0" fontId="28" fillId="0" borderId="11" xfId="0" applyFont="1" applyBorder="1" applyAlignment="1">
      <alignment horizontal="center" vertical="top" wrapText="1"/>
    </xf>
    <xf numFmtId="0" fontId="26" fillId="0" borderId="0" xfId="0" applyFont="1" applyAlignment="1">
      <alignment horizontal="center" vertic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168" fontId="0" fillId="5" borderId="11"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6" fillId="0" borderId="2" xfId="0" applyFont="1" applyBorder="1" applyAlignment="1">
      <alignment horizontal="right"/>
    </xf>
    <xf numFmtId="0" fontId="26" fillId="0" borderId="7" xfId="0" applyFont="1" applyBorder="1" applyAlignment="1">
      <alignment horizontal="right"/>
    </xf>
    <xf numFmtId="168" fontId="0" fillId="0" borderId="11" xfId="0" applyNumberFormat="1" applyBorder="1" applyAlignment="1">
      <alignment horizontal="center"/>
    </xf>
    <xf numFmtId="0" fontId="19" fillId="0" borderId="3" xfId="0" applyFont="1" applyBorder="1"/>
    <xf numFmtId="0" fontId="19" fillId="0" borderId="4" xfId="0" applyFont="1" applyBorder="1"/>
    <xf numFmtId="0" fontId="19" fillId="0" borderId="5" xfId="0" applyFont="1" applyBorder="1"/>
    <xf numFmtId="0" fontId="19" fillId="0" borderId="0" xfId="543" applyAlignment="1">
      <alignment horizontal="center"/>
    </xf>
    <xf numFmtId="2" fontId="19" fillId="0" borderId="0" xfId="543" applyNumberFormat="1" applyAlignment="1">
      <alignment horizontal="center"/>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168" fontId="0" fillId="5" borderId="11" xfId="0" applyNumberFormat="1" applyFill="1" applyBorder="1" applyProtection="1">
      <protection locked="0"/>
    </xf>
    <xf numFmtId="0" fontId="28" fillId="0" borderId="3" xfId="0" applyFont="1" applyBorder="1" applyAlignment="1">
      <alignment horizontal="left"/>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71" fontId="19" fillId="0" borderId="0" xfId="543" applyNumberForma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5" borderId="4"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0" fontId="19" fillId="5" borderId="4" xfId="569" applyFill="1" applyBorder="1" applyAlignment="1" applyProtection="1">
      <alignment wrapText="1"/>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4" fontId="19"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569"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9"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9" fillId="5" borderId="11" xfId="569" applyFill="1" applyBorder="1" applyAlignment="1" applyProtection="1">
      <alignmen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6" xfId="569" applyFill="1" applyBorder="1" applyAlignment="1" applyProtection="1">
      <alignment horizontal="left"/>
      <protection locked="0"/>
    </xf>
    <xf numFmtId="166" fontId="19" fillId="5" borderId="4" xfId="569" applyNumberFormat="1" applyFill="1" applyBorder="1" applyAlignment="1" applyProtection="1">
      <alignment horizontal="left"/>
      <protection locked="0"/>
    </xf>
    <xf numFmtId="0" fontId="26" fillId="0" borderId="11" xfId="0" applyFont="1" applyBorder="1" applyAlignment="1">
      <alignment horizontal="center" vertical="center"/>
    </xf>
    <xf numFmtId="172" fontId="26" fillId="0" borderId="11" xfId="0" applyNumberFormat="1" applyFont="1" applyBorder="1" applyAlignment="1">
      <alignment horizontal="center" vertical="center" wrapText="1"/>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5" borderId="3" xfId="0" quotePrefix="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71" fontId="19" fillId="0" borderId="0" xfId="543" applyNumberFormat="1" applyAlignment="1">
      <alignment horizontal="right"/>
    </xf>
    <xf numFmtId="9" fontId="19" fillId="0" borderId="0" xfId="543" applyNumberFormat="1" applyAlignment="1">
      <alignment horizontal="center" vertical="center"/>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8" fillId="0" borderId="4" xfId="0" applyFont="1" applyBorder="1" applyAlignment="1">
      <alignment horizontal="center"/>
    </xf>
    <xf numFmtId="0" fontId="28" fillId="0" borderId="11" xfId="0" applyFont="1" applyBorder="1" applyAlignment="1">
      <alignment horizontal="center"/>
    </xf>
    <xf numFmtId="0" fontId="26" fillId="5" borderId="11"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26" fillId="0" borderId="7" xfId="0" applyFont="1" applyBorder="1" applyAlignment="1">
      <alignment horizontal="center" wrapText="1"/>
    </xf>
    <xf numFmtId="0" fontId="19" fillId="43" borderId="11" xfId="0" applyFont="1" applyFill="1" applyBorder="1" applyAlignment="1" applyProtection="1">
      <alignment horizontal="center"/>
      <protection locked="0"/>
    </xf>
    <xf numFmtId="168" fontId="158" fillId="0" borderId="0" xfId="0" applyNumberFormat="1" applyFont="1" applyAlignment="1">
      <alignment horizontal="center" vertical="center" wrapText="1"/>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28" fillId="5" borderId="9" xfId="0"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9" xfId="0" applyFont="1" applyBorder="1" applyAlignment="1">
      <alignment horizontal="center"/>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9"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6" fillId="0" borderId="4" xfId="0" applyFont="1" applyBorder="1" applyAlignment="1">
      <alignment horizontal="center"/>
    </xf>
    <xf numFmtId="0" fontId="26" fillId="0" borderId="5" xfId="0" applyFont="1" applyBorder="1" applyAlignment="1">
      <alignment horizontal="center"/>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166" fontId="19" fillId="5" borderId="6" xfId="0" applyNumberFormat="1" applyFont="1" applyFill="1" applyBorder="1" applyAlignment="1" applyProtection="1">
      <alignment horizontal="left"/>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0" fontId="0" fillId="0" borderId="5" xfId="0" applyBorder="1" applyAlignment="1">
      <alignment horizontal="left"/>
    </xf>
    <xf numFmtId="168" fontId="0" fillId="43" borderId="6" xfId="0" applyNumberFormat="1" applyFill="1" applyBorder="1" applyAlignment="1" applyProtection="1">
      <alignment horizontal="right"/>
      <protection locked="0"/>
    </xf>
    <xf numFmtId="0" fontId="19" fillId="5" borderId="4" xfId="0" applyFont="1" applyFill="1" applyBorder="1" applyAlignment="1" applyProtection="1">
      <alignment horizontal="left"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0" fontId="0" fillId="43" borderId="6" xfId="0"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4" xfId="569" applyFill="1" applyBorder="1" applyAlignment="1" applyProtection="1">
      <alignment horizontal="left"/>
      <protection locked="0"/>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0" borderId="0" xfId="0" applyAlignment="1">
      <alignment wrapText="1"/>
    </xf>
    <xf numFmtId="0" fontId="27"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19" fillId="5" borderId="0" xfId="244" applyFont="1" applyFill="1" applyBorder="1" applyAlignment="1" applyProtection="1">
      <alignment horizontal="left"/>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19" fillId="43" borderId="4" xfId="0" applyFont="1" applyFill="1" applyBorder="1" applyAlignment="1" applyProtection="1">
      <alignment horizontal="left" wrapText="1"/>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0" fontId="19" fillId="5" borderId="4" xfId="0" applyFont="1" applyFill="1" applyBorder="1" applyAlignment="1" applyProtection="1">
      <alignment horizontal="center"/>
      <protection locked="0"/>
    </xf>
    <xf numFmtId="14" fontId="28"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0" fontId="28" fillId="0" borderId="11" xfId="0" applyNumberFormat="1"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38" fillId="5" borderId="6"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1" fontId="28" fillId="5" borderId="6" xfId="0" applyNumberFormat="1" applyFont="1" applyFill="1" applyBorder="1" applyAlignment="1" applyProtection="1">
      <alignment horizontal="right"/>
      <protection locked="0"/>
    </xf>
    <xf numFmtId="0" fontId="19" fillId="5" borderId="11" xfId="569" applyFill="1" applyBorder="1" applyAlignment="1" applyProtection="1">
      <alignment horizontal="left" wrapText="1"/>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8" fillId="5" borderId="11" xfId="0" quotePrefix="1" applyNumberFormat="1" applyFont="1" applyFill="1" applyBorder="1" applyAlignment="1" applyProtection="1">
      <alignment horizontal="center"/>
      <protection locked="0"/>
    </xf>
    <xf numFmtId="0" fontId="26" fillId="0" borderId="10" xfId="0" applyFont="1" applyBorder="1" applyAlignment="1">
      <alignment horizontal="center"/>
    </xf>
    <xf numFmtId="0" fontId="0" fillId="43" borderId="10" xfId="0" applyFill="1" applyBorder="1" applyAlignment="1" applyProtection="1">
      <alignment horizontal="left"/>
      <protection locked="0"/>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3" applyFont="1" applyFill="1" applyAlignment="1">
      <alignment horizontal="left"/>
    </xf>
    <xf numFmtId="0" fontId="4" fillId="48" borderId="80" xfId="8733" applyFill="1" applyBorder="1" applyAlignment="1" applyProtection="1">
      <alignment horizontal="left"/>
      <protection locked="0"/>
    </xf>
    <xf numFmtId="0" fontId="4" fillId="48" borderId="79" xfId="8733" applyFill="1" applyBorder="1" applyAlignment="1" applyProtection="1">
      <alignment horizontal="left"/>
      <protection locked="0"/>
    </xf>
    <xf numFmtId="0" fontId="4" fillId="48" borderId="78" xfId="8733" applyFill="1" applyBorder="1" applyAlignment="1" applyProtection="1">
      <alignment horizontal="left"/>
      <protection locked="0"/>
    </xf>
    <xf numFmtId="0" fontId="167" fillId="44" borderId="0" xfId="8733" applyFont="1" applyFill="1" applyAlignment="1">
      <alignment horizontal="left" vertical="top"/>
    </xf>
    <xf numFmtId="0" fontId="104" fillId="44" borderId="0" xfId="8730" applyFont="1" applyFill="1" applyBorder="1" applyAlignment="1">
      <alignment horizontal="left" vertical="top"/>
    </xf>
    <xf numFmtId="14" fontId="4" fillId="48" borderId="80" xfId="8733" applyNumberFormat="1" applyFill="1" applyBorder="1" applyAlignment="1" applyProtection="1">
      <alignment horizontal="center"/>
      <protection locked="0"/>
    </xf>
    <xf numFmtId="14" fontId="4" fillId="48" borderId="79" xfId="8733" applyNumberFormat="1" applyFill="1" applyBorder="1" applyAlignment="1" applyProtection="1">
      <alignment horizontal="center"/>
      <protection locked="0"/>
    </xf>
    <xf numFmtId="14" fontId="4" fillId="48" borderId="78" xfId="8733" applyNumberFormat="1" applyFill="1" applyBorder="1" applyAlignment="1" applyProtection="1">
      <alignment horizontal="center"/>
      <protection locked="0"/>
    </xf>
    <xf numFmtId="0" fontId="168" fillId="47" borderId="0" xfId="8733" applyFont="1" applyFill="1" applyAlignment="1">
      <alignment horizontal="left" vertical="top" wrapText="1"/>
    </xf>
    <xf numFmtId="0" fontId="104" fillId="47" borderId="42" xfId="8733" applyFont="1" applyFill="1" applyBorder="1" applyAlignment="1">
      <alignment horizontal="center"/>
    </xf>
    <xf numFmtId="0" fontId="4" fillId="48" borderId="80" xfId="8733" applyFill="1" applyBorder="1" applyAlignment="1" applyProtection="1">
      <alignment horizontal="center"/>
      <protection locked="0"/>
    </xf>
    <xf numFmtId="0" fontId="4" fillId="48" borderId="79" xfId="8733" applyFill="1" applyBorder="1" applyAlignment="1" applyProtection="1">
      <alignment horizontal="center"/>
      <protection locked="0"/>
    </xf>
    <xf numFmtId="0" fontId="4" fillId="48" borderId="78" xfId="8733" applyFill="1" applyBorder="1" applyAlignment="1" applyProtection="1">
      <alignment horizontal="center"/>
      <protection locked="0"/>
    </xf>
    <xf numFmtId="0" fontId="169" fillId="47" borderId="65" xfId="8733" applyFont="1" applyFill="1" applyBorder="1" applyAlignment="1">
      <alignment horizontal="center"/>
    </xf>
    <xf numFmtId="0" fontId="169" fillId="47" borderId="29" xfId="8733" applyFont="1" applyFill="1" applyBorder="1" applyAlignment="1">
      <alignment horizontal="center"/>
    </xf>
    <xf numFmtId="0" fontId="169" fillId="47" borderId="31" xfId="8733" applyFont="1" applyFill="1" applyBorder="1" applyAlignment="1">
      <alignment horizontal="center"/>
    </xf>
    <xf numFmtId="0" fontId="4" fillId="47" borderId="66" xfId="8733" applyFill="1" applyBorder="1" applyAlignment="1">
      <alignment horizontal="center"/>
    </xf>
    <xf numFmtId="0" fontId="4" fillId="47" borderId="0" xfId="8733" applyFill="1" applyAlignment="1">
      <alignment horizontal="center"/>
    </xf>
    <xf numFmtId="0" fontId="4" fillId="47" borderId="41" xfId="8733" applyFill="1" applyBorder="1" applyAlignment="1">
      <alignment horizontal="center"/>
    </xf>
    <xf numFmtId="0" fontId="168" fillId="47" borderId="66" xfId="8733" applyFont="1" applyFill="1" applyBorder="1" applyAlignment="1">
      <alignment horizontal="center"/>
    </xf>
    <xf numFmtId="0" fontId="168" fillId="47" borderId="0" xfId="8733" applyFont="1" applyFill="1" applyAlignment="1">
      <alignment horizontal="center"/>
    </xf>
    <xf numFmtId="0" fontId="168" fillId="47" borderId="41" xfId="8733" applyFont="1" applyFill="1" applyBorder="1" applyAlignment="1">
      <alignment horizontal="center"/>
    </xf>
    <xf numFmtId="0" fontId="104" fillId="47" borderId="66" xfId="8733" applyFont="1" applyFill="1" applyBorder="1" applyAlignment="1">
      <alignment horizontal="center"/>
    </xf>
    <xf numFmtId="0" fontId="104" fillId="47" borderId="0" xfId="8733" applyFont="1" applyFill="1" applyAlignment="1">
      <alignment horizontal="center"/>
    </xf>
    <xf numFmtId="0" fontId="104" fillId="47" borderId="41" xfId="8733" applyFont="1" applyFill="1" applyBorder="1" applyAlignment="1">
      <alignment horizontal="center"/>
    </xf>
    <xf numFmtId="0" fontId="104" fillId="47" borderId="0" xfId="8733"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4494"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0"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3"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3"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3" applyNumberFormat="1" applyBorder="1" applyAlignment="1">
      <alignment horizontal="center"/>
    </xf>
    <xf numFmtId="0" fontId="4" fillId="0" borderId="13" xfId="8733" applyBorder="1" applyAlignment="1">
      <alignment horizontal="center"/>
    </xf>
    <xf numFmtId="0" fontId="167" fillId="45" borderId="80" xfId="0" applyFont="1" applyFill="1" applyBorder="1" applyAlignment="1" applyProtection="1">
      <alignment horizontal="center" wrapText="1"/>
      <protection hidden="1"/>
    </xf>
    <xf numFmtId="0" fontId="167" fillId="45" borderId="79" xfId="0" applyFont="1" applyFill="1" applyBorder="1" applyAlignment="1" applyProtection="1">
      <alignment horizontal="center" wrapText="1"/>
      <protection hidden="1"/>
    </xf>
    <xf numFmtId="0" fontId="167" fillId="45" borderId="78" xfId="0" applyFont="1" applyFill="1" applyBorder="1" applyAlignment="1" applyProtection="1">
      <alignment horizontal="center" wrapText="1"/>
      <protection hidden="1"/>
    </xf>
    <xf numFmtId="0" fontId="167" fillId="45" borderId="13" xfId="0" applyFont="1" applyFill="1" applyBorder="1" applyAlignment="1" applyProtection="1">
      <alignment horizontal="left" wrapText="1"/>
      <protection hidden="1"/>
    </xf>
    <xf numFmtId="0" fontId="167" fillId="45" borderId="13" xfId="0" applyFont="1" applyFill="1" applyBorder="1" applyAlignment="1" applyProtection="1">
      <alignment horizontal="center" wrapText="1"/>
      <protection hidden="1"/>
    </xf>
    <xf numFmtId="0" fontId="176" fillId="45" borderId="67" xfId="8733" applyFont="1" applyFill="1" applyBorder="1" applyAlignment="1">
      <alignment horizontal="right"/>
    </xf>
    <xf numFmtId="0" fontId="176" fillId="45" borderId="68" xfId="8733"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3" applyFont="1" applyFill="1" applyBorder="1" applyAlignment="1">
      <alignment horizontal="left" wrapText="1"/>
    </xf>
    <xf numFmtId="0" fontId="173" fillId="48" borderId="0" xfId="8733" applyFont="1" applyFill="1" applyAlignment="1">
      <alignment horizontal="left" wrapText="1"/>
    </xf>
    <xf numFmtId="0" fontId="173" fillId="48" borderId="41" xfId="8733" applyFont="1" applyFill="1" applyBorder="1" applyAlignment="1">
      <alignment horizontal="left" wrapText="1"/>
    </xf>
    <xf numFmtId="0" fontId="173" fillId="48" borderId="73" xfId="8733" applyFont="1" applyFill="1" applyBorder="1" applyAlignment="1">
      <alignment horizontal="left" wrapText="1"/>
    </xf>
    <xf numFmtId="0" fontId="173" fillId="48" borderId="42" xfId="8733" applyFont="1" applyFill="1" applyBorder="1" applyAlignment="1">
      <alignment horizontal="left" wrapText="1"/>
    </xf>
    <xf numFmtId="0" fontId="173" fillId="48" borderId="44" xfId="8733" applyFont="1" applyFill="1" applyBorder="1" applyAlignment="1">
      <alignment horizontal="left" wrapText="1"/>
    </xf>
    <xf numFmtId="0" fontId="175" fillId="45" borderId="69" xfId="8733" applyFont="1" applyFill="1" applyBorder="1" applyAlignment="1">
      <alignment horizontal="right"/>
    </xf>
    <xf numFmtId="0" fontId="175" fillId="45" borderId="70" xfId="8733"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3"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center"/>
      <protection locked="0"/>
    </xf>
    <xf numFmtId="0" fontId="174" fillId="48" borderId="86" xfId="8733" applyFont="1" applyFill="1" applyBorder="1" applyAlignment="1" applyProtection="1">
      <alignment horizontal="center"/>
      <protection locked="0"/>
    </xf>
    <xf numFmtId="0" fontId="176" fillId="48" borderId="70" xfId="8733" applyFont="1" applyFill="1" applyBorder="1" applyAlignment="1" applyProtection="1">
      <alignment horizontal="left"/>
      <protection locked="0"/>
    </xf>
    <xf numFmtId="0" fontId="176" fillId="48" borderId="77" xfId="8733"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left"/>
      <protection locked="0"/>
    </xf>
    <xf numFmtId="0" fontId="174" fillId="48" borderId="86" xfId="8733" applyFont="1" applyFill="1" applyBorder="1" applyAlignment="1" applyProtection="1">
      <alignment horizontal="left"/>
      <protection locked="0"/>
    </xf>
    <xf numFmtId="0" fontId="174" fillId="48" borderId="85" xfId="8733" applyFont="1" applyFill="1" applyBorder="1" applyAlignment="1" applyProtection="1">
      <alignment horizontal="left"/>
      <protection locked="0"/>
    </xf>
    <xf numFmtId="0" fontId="104" fillId="48" borderId="80" xfId="8733" applyFont="1" applyFill="1" applyBorder="1" applyAlignment="1">
      <alignment horizontal="left"/>
    </xf>
    <xf numFmtId="0" fontId="104" fillId="48" borderId="79" xfId="8733"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0" fontId="176" fillId="48" borderId="11"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3" applyFont="1" applyFill="1" applyBorder="1" applyAlignment="1" applyProtection="1">
      <alignment horizontal="left"/>
      <protection locked="0"/>
    </xf>
    <xf numFmtId="0" fontId="174" fillId="48" borderId="76" xfId="8733" applyFont="1" applyFill="1" applyBorder="1" applyAlignment="1" applyProtection="1">
      <alignment horizontal="left"/>
      <protection locked="0"/>
    </xf>
    <xf numFmtId="0" fontId="4" fillId="48" borderId="1" xfId="8733" applyFill="1" applyBorder="1" applyAlignment="1">
      <alignment horizontal="center"/>
    </xf>
    <xf numFmtId="0" fontId="4" fillId="48" borderId="2" xfId="8733" applyFill="1" applyBorder="1" applyAlignment="1">
      <alignment horizontal="center"/>
    </xf>
    <xf numFmtId="0" fontId="4" fillId="48" borderId="112" xfId="8733" applyFill="1" applyBorder="1" applyAlignment="1">
      <alignment horizontal="center"/>
    </xf>
    <xf numFmtId="0" fontId="176" fillId="48" borderId="72" xfId="8733" applyFont="1" applyFill="1" applyBorder="1" applyAlignment="1" applyProtection="1">
      <alignment horizontal="center"/>
      <protection locked="0"/>
    </xf>
    <xf numFmtId="0" fontId="176" fillId="48" borderId="11" xfId="8733"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3" applyFont="1" applyFill="1" applyBorder="1" applyAlignment="1">
      <alignment horizontal="right"/>
    </xf>
    <xf numFmtId="0" fontId="174" fillId="45" borderId="11" xfId="8733"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3" applyFont="1" applyFill="1" applyBorder="1" applyAlignment="1">
      <alignment horizontal="center"/>
    </xf>
    <xf numFmtId="0" fontId="174" fillId="48" borderId="6" xfId="8733" applyFont="1" applyFill="1" applyBorder="1" applyAlignment="1">
      <alignment horizontal="center"/>
    </xf>
    <xf numFmtId="0" fontId="174" fillId="48" borderId="82" xfId="8733" applyFont="1" applyFill="1" applyBorder="1" applyAlignment="1">
      <alignment horizontal="center"/>
    </xf>
    <xf numFmtId="0" fontId="4" fillId="48" borderId="3" xfId="8733" applyFill="1" applyBorder="1" applyAlignment="1">
      <alignment horizontal="center"/>
    </xf>
    <xf numFmtId="0" fontId="4" fillId="48" borderId="4" xfId="8733" applyFill="1" applyBorder="1" applyAlignment="1">
      <alignment horizontal="center"/>
    </xf>
    <xf numFmtId="0" fontId="4" fillId="48" borderId="81" xfId="8733" applyFill="1" applyBorder="1" applyAlignment="1">
      <alignment horizontal="center"/>
    </xf>
    <xf numFmtId="168" fontId="176" fillId="44" borderId="11" xfId="700" applyNumberFormat="1" applyFont="1" applyFill="1" applyBorder="1" applyAlignment="1">
      <alignment horizontal="left"/>
    </xf>
    <xf numFmtId="0" fontId="104" fillId="45" borderId="65" xfId="8733" applyFont="1" applyFill="1" applyBorder="1" applyAlignment="1">
      <alignment horizontal="left" wrapText="1"/>
    </xf>
    <xf numFmtId="0" fontId="104" fillId="45" borderId="29" xfId="8733" applyFont="1" applyFill="1" applyBorder="1" applyAlignment="1">
      <alignment horizontal="left" wrapText="1"/>
    </xf>
    <xf numFmtId="0" fontId="104" fillId="45" borderId="31" xfId="8733" applyFont="1" applyFill="1" applyBorder="1" applyAlignment="1">
      <alignment horizontal="left" wrapText="1"/>
    </xf>
    <xf numFmtId="0" fontId="104" fillId="45" borderId="73" xfId="8733" applyFont="1" applyFill="1" applyBorder="1" applyAlignment="1">
      <alignment horizontal="left" wrapText="1"/>
    </xf>
    <xf numFmtId="0" fontId="104" fillId="45" borderId="42" xfId="8733" applyFont="1" applyFill="1" applyBorder="1" applyAlignment="1">
      <alignment horizontal="left" wrapText="1"/>
    </xf>
    <xf numFmtId="0" fontId="104" fillId="45" borderId="44" xfId="8733"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4" fillId="45" borderId="67" xfId="8733" applyFont="1" applyFill="1" applyBorder="1" applyAlignment="1">
      <alignment horizontal="center"/>
    </xf>
    <xf numFmtId="0" fontId="104" fillId="45" borderId="68" xfId="8733" applyFont="1" applyFill="1" applyBorder="1" applyAlignment="1">
      <alignment horizontal="center"/>
    </xf>
    <xf numFmtId="0" fontId="168" fillId="45" borderId="68" xfId="8733" applyFont="1" applyFill="1" applyBorder="1" applyAlignment="1">
      <alignment horizontal="center"/>
    </xf>
    <xf numFmtId="0" fontId="168" fillId="45" borderId="71" xfId="8733" applyFont="1" applyFill="1" applyBorder="1" applyAlignment="1">
      <alignment horizontal="center"/>
    </xf>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176" fillId="45" borderId="72" xfId="8733" applyFont="1" applyFill="1" applyBorder="1" applyAlignment="1">
      <alignment horizontal="right"/>
    </xf>
    <xf numFmtId="0" fontId="176" fillId="45" borderId="11" xfId="8733"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4" fillId="45" borderId="71" xfId="8733" applyFont="1" applyFill="1" applyBorder="1" applyAlignment="1">
      <alignment horizontal="center"/>
    </xf>
    <xf numFmtId="0" fontId="168" fillId="45" borderId="67" xfId="8733" applyFont="1" applyFill="1" applyBorder="1" applyAlignment="1">
      <alignment horizontal="left"/>
    </xf>
    <xf numFmtId="0" fontId="168" fillId="45" borderId="68" xfId="8733" applyFont="1" applyFill="1" applyBorder="1" applyAlignment="1">
      <alignment horizontal="left"/>
    </xf>
    <xf numFmtId="0" fontId="168" fillId="45" borderId="71" xfId="8733" applyFont="1" applyFill="1" applyBorder="1" applyAlignment="1">
      <alignment horizontal="left"/>
    </xf>
    <xf numFmtId="0" fontId="104" fillId="45" borderId="72" xfId="8733" applyFont="1" applyFill="1" applyBorder="1" applyAlignment="1">
      <alignment horizontal="center"/>
    </xf>
    <xf numFmtId="0" fontId="104" fillId="45" borderId="11" xfId="8733" applyFont="1" applyFill="1" applyBorder="1" applyAlignment="1">
      <alignment horizontal="center"/>
    </xf>
    <xf numFmtId="0" fontId="104" fillId="45" borderId="76" xfId="8733" applyFont="1" applyFill="1" applyBorder="1" applyAlignment="1">
      <alignment horizontal="center"/>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14" fontId="174" fillId="48" borderId="11" xfId="8733" applyNumberFormat="1" applyFont="1" applyFill="1" applyBorder="1" applyAlignment="1" applyProtection="1">
      <alignment horizontal="center"/>
      <protection locked="0"/>
    </xf>
    <xf numFmtId="14" fontId="174" fillId="48" borderId="76" xfId="8733" applyNumberFormat="1" applyFont="1" applyFill="1" applyBorder="1" applyAlignment="1" applyProtection="1">
      <alignment horizontal="center"/>
      <protection locked="0"/>
    </xf>
    <xf numFmtId="0" fontId="174" fillId="48" borderId="69" xfId="8733" applyFont="1" applyFill="1" applyBorder="1" applyAlignment="1" applyProtection="1">
      <alignment horizontal="center"/>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4" fontId="174" fillId="48" borderId="77" xfId="8733" applyNumberFormat="1" applyFont="1" applyFill="1" applyBorder="1" applyAlignment="1" applyProtection="1">
      <alignment horizontal="center"/>
      <protection locked="0"/>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77" fillId="48" borderId="11" xfId="8733" applyFont="1" applyFill="1" applyBorder="1" applyAlignment="1" applyProtection="1">
      <alignment horizontal="left"/>
      <protection locked="0"/>
    </xf>
    <xf numFmtId="14" fontId="176" fillId="48" borderId="11" xfId="8733" applyNumberFormat="1" applyFont="1" applyFill="1" applyBorder="1" applyAlignment="1" applyProtection="1">
      <alignment horizontal="center"/>
      <protection locked="0"/>
    </xf>
    <xf numFmtId="168" fontId="176" fillId="48" borderId="11" xfId="8734" applyNumberFormat="1" applyFont="1" applyFill="1" applyBorder="1" applyAlignment="1" applyProtection="1">
      <alignment horizontal="center"/>
      <protection locked="0"/>
    </xf>
    <xf numFmtId="168" fontId="176" fillId="48" borderId="76" xfId="8734" applyNumberFormat="1" applyFont="1" applyFill="1" applyBorder="1" applyAlignment="1" applyProtection="1">
      <alignment horizontal="center"/>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7" fillId="48" borderId="70" xfId="8733" applyFont="1" applyFill="1" applyBorder="1" applyAlignment="1" applyProtection="1">
      <alignment horizontal="left"/>
      <protection locked="0"/>
    </xf>
    <xf numFmtId="0" fontId="176" fillId="48" borderId="70" xfId="8733" applyFont="1" applyFill="1" applyBorder="1" applyAlignment="1" applyProtection="1">
      <alignment horizontal="center"/>
      <protection locked="0"/>
    </xf>
    <xf numFmtId="14" fontId="176" fillId="48" borderId="70" xfId="8733" applyNumberFormat="1" applyFont="1" applyFill="1" applyBorder="1" applyAlignment="1" applyProtection="1">
      <alignment horizontal="center"/>
      <protection locked="0"/>
    </xf>
    <xf numFmtId="168" fontId="176" fillId="48" borderId="70" xfId="8734" applyNumberFormat="1" applyFont="1" applyFill="1" applyBorder="1" applyAlignment="1" applyProtection="1">
      <alignment horizontal="center"/>
      <protection locked="0"/>
    </xf>
    <xf numFmtId="168" fontId="176" fillId="48" borderId="77" xfId="8734" applyNumberFormat="1" applyFont="1" applyFill="1" applyBorder="1" applyAlignment="1" applyProtection="1">
      <alignment horizontal="center"/>
      <protection locked="0"/>
    </xf>
    <xf numFmtId="0" fontId="178" fillId="45" borderId="69" xfId="8733" applyFont="1" applyFill="1" applyBorder="1" applyAlignment="1">
      <alignment horizontal="left"/>
    </xf>
    <xf numFmtId="0" fontId="178" fillId="45" borderId="70" xfId="8733" applyFont="1" applyFill="1" applyBorder="1" applyAlignment="1">
      <alignment horizontal="left"/>
    </xf>
    <xf numFmtId="0" fontId="4" fillId="48" borderId="70" xfId="8733" applyFill="1" applyBorder="1" applyAlignment="1" applyProtection="1">
      <alignment horizontal="center"/>
      <protection locked="0"/>
    </xf>
    <xf numFmtId="0" fontId="4" fillId="48" borderId="77" xfId="8733" applyFill="1" applyBorder="1" applyAlignment="1" applyProtection="1">
      <alignment horizontal="center"/>
      <protection locked="0"/>
    </xf>
    <xf numFmtId="0" fontId="168" fillId="45" borderId="67" xfId="8733" applyFont="1" applyFill="1" applyBorder="1" applyAlignment="1">
      <alignment horizontal="center"/>
    </xf>
    <xf numFmtId="0" fontId="167" fillId="45" borderId="11" xfId="8733" applyFont="1" applyFill="1" applyBorder="1" applyAlignment="1">
      <alignment horizontal="center"/>
    </xf>
    <xf numFmtId="0" fontId="178" fillId="45" borderId="72" xfId="8733" applyFont="1" applyFill="1" applyBorder="1" applyAlignment="1">
      <alignment horizontal="left"/>
    </xf>
    <xf numFmtId="0" fontId="178" fillId="45" borderId="11" xfId="8733" applyFont="1" applyFill="1" applyBorder="1" applyAlignment="1">
      <alignment horizontal="left"/>
    </xf>
    <xf numFmtId="0" fontId="4" fillId="48" borderId="11" xfId="8733" applyFill="1" applyBorder="1" applyAlignment="1" applyProtection="1">
      <alignment horizontal="center"/>
      <protection locked="0"/>
    </xf>
    <xf numFmtId="0" fontId="4" fillId="48" borderId="76" xfId="8733" applyFill="1" applyBorder="1" applyAlignment="1" applyProtection="1">
      <alignment horizontal="center"/>
      <protection locked="0"/>
    </xf>
    <xf numFmtId="0" fontId="167" fillId="45" borderId="11" xfId="8733" applyFont="1" applyFill="1" applyBorder="1" applyAlignment="1">
      <alignment horizontal="center" wrapText="1"/>
    </xf>
    <xf numFmtId="0" fontId="167" fillId="45" borderId="76" xfId="8733" applyFont="1" applyFill="1" applyBorder="1" applyAlignment="1">
      <alignment horizontal="center" wrapText="1"/>
    </xf>
    <xf numFmtId="0" fontId="167" fillId="48" borderId="90" xfId="8733" applyFont="1" applyFill="1" applyBorder="1" applyAlignment="1">
      <alignment horizontal="left"/>
    </xf>
    <xf numFmtId="0" fontId="167" fillId="48" borderId="4" xfId="8733" applyFont="1" applyFill="1" applyBorder="1" applyAlignment="1">
      <alignment horizontal="left"/>
    </xf>
    <xf numFmtId="0" fontId="167" fillId="48" borderId="5" xfId="8733"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7" fillId="45" borderId="72" xfId="8733" applyFont="1" applyFill="1" applyBorder="1" applyAlignment="1">
      <alignment horizontal="left"/>
    </xf>
    <xf numFmtId="0" fontId="167" fillId="45" borderId="11" xfId="8733" applyFont="1" applyFill="1" applyBorder="1" applyAlignment="1">
      <alignment horizontal="left"/>
    </xf>
    <xf numFmtId="0" fontId="179" fillId="48" borderId="11" xfId="8733" applyFont="1" applyFill="1" applyBorder="1" applyAlignment="1" applyProtection="1">
      <alignment horizontal="left"/>
      <protection locked="0"/>
    </xf>
    <xf numFmtId="0" fontId="179" fillId="48" borderId="76" xfId="8733" applyFont="1" applyFill="1" applyBorder="1" applyAlignment="1" applyProtection="1">
      <alignment horizontal="left"/>
      <protection locked="0"/>
    </xf>
    <xf numFmtId="0" fontId="176" fillId="48" borderId="72" xfId="8733" applyFont="1" applyFill="1" applyBorder="1" applyAlignment="1" applyProtection="1">
      <alignment horizontal="left" vertical="top"/>
      <protection locked="0"/>
    </xf>
    <xf numFmtId="0" fontId="176" fillId="48" borderId="11" xfId="8733" applyFont="1" applyFill="1" applyBorder="1" applyAlignment="1" applyProtection="1">
      <alignment horizontal="left" vertical="top"/>
      <protection locked="0"/>
    </xf>
    <xf numFmtId="0" fontId="176" fillId="48" borderId="76" xfId="8733" applyFont="1" applyFill="1" applyBorder="1" applyAlignment="1" applyProtection="1">
      <alignment horizontal="left" vertical="top"/>
      <protection locked="0"/>
    </xf>
    <xf numFmtId="0" fontId="176" fillId="48" borderId="69" xfId="8733" applyFont="1" applyFill="1" applyBorder="1" applyAlignment="1" applyProtection="1">
      <alignment horizontal="left" vertical="top"/>
      <protection locked="0"/>
    </xf>
    <xf numFmtId="0" fontId="176" fillId="48" borderId="70" xfId="8733" applyFont="1" applyFill="1" applyBorder="1" applyAlignment="1" applyProtection="1">
      <alignment horizontal="left" vertical="top"/>
      <protection locked="0"/>
    </xf>
    <xf numFmtId="0" fontId="176" fillId="48" borderId="77" xfId="8733" applyFont="1" applyFill="1" applyBorder="1" applyAlignment="1" applyProtection="1">
      <alignment horizontal="left" vertical="top"/>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81" xfId="8733" applyFont="1" applyFill="1" applyBorder="1" applyAlignment="1" applyProtection="1">
      <alignment horizontal="center"/>
      <protection locked="0"/>
    </xf>
    <xf numFmtId="0" fontId="168" fillId="45" borderId="93" xfId="8733" applyFont="1" applyFill="1" applyBorder="1" applyAlignment="1">
      <alignment horizontal="center"/>
    </xf>
    <xf numFmtId="0" fontId="168" fillId="45" borderId="92" xfId="8733" applyFont="1" applyFill="1" applyBorder="1" applyAlignment="1">
      <alignment horizontal="center"/>
    </xf>
    <xf numFmtId="0" fontId="168" fillId="45" borderId="91" xfId="8733" applyFont="1" applyFill="1" applyBorder="1" applyAlignment="1">
      <alignment horizontal="center"/>
    </xf>
    <xf numFmtId="0" fontId="175" fillId="45" borderId="11" xfId="8733" applyFont="1" applyFill="1" applyBorder="1" applyAlignment="1">
      <alignment horizontal="center"/>
    </xf>
    <xf numFmtId="0" fontId="181" fillId="45" borderId="11" xfId="8733" applyFont="1" applyFill="1" applyBorder="1" applyAlignment="1">
      <alignment horizontal="left"/>
    </xf>
    <xf numFmtId="0" fontId="181" fillId="45" borderId="76" xfId="8733" applyFont="1" applyFill="1" applyBorder="1" applyAlignment="1">
      <alignment horizontal="left"/>
    </xf>
    <xf numFmtId="0" fontId="4" fillId="51" borderId="70" xfId="8733" applyFill="1" applyBorder="1" applyAlignment="1" applyProtection="1">
      <alignment horizontal="center"/>
      <protection locked="0"/>
    </xf>
    <xf numFmtId="0" fontId="4" fillId="51" borderId="77" xfId="8733" applyFill="1" applyBorder="1" applyAlignment="1" applyProtection="1">
      <alignment horizontal="center"/>
      <protection locked="0"/>
    </xf>
    <xf numFmtId="0" fontId="104" fillId="45" borderId="67" xfId="8733" applyFont="1" applyFill="1" applyBorder="1" applyAlignment="1" applyProtection="1">
      <alignment horizontal="left" vertical="center" wrapText="1"/>
      <protection locked="0"/>
    </xf>
    <xf numFmtId="0" fontId="104" fillId="45" borderId="68" xfId="8733" applyFont="1" applyFill="1" applyBorder="1" applyAlignment="1" applyProtection="1">
      <alignment horizontal="left" vertical="center" wrapText="1"/>
      <protection locked="0"/>
    </xf>
    <xf numFmtId="0" fontId="104" fillId="45" borderId="72" xfId="8733" applyFont="1" applyFill="1" applyBorder="1" applyAlignment="1" applyProtection="1">
      <alignment horizontal="left" vertical="center" wrapText="1"/>
      <protection locked="0"/>
    </xf>
    <xf numFmtId="0" fontId="104" fillId="45" borderId="11" xfId="8733" applyFont="1" applyFill="1" applyBorder="1" applyAlignment="1" applyProtection="1">
      <alignment horizontal="left" vertical="center" wrapText="1"/>
      <protection locked="0"/>
    </xf>
    <xf numFmtId="0" fontId="171" fillId="48" borderId="68" xfId="8733" applyFont="1" applyFill="1" applyBorder="1" applyAlignment="1" applyProtection="1">
      <alignment horizontal="left" vertical="center" wrapText="1"/>
      <protection locked="0"/>
    </xf>
    <xf numFmtId="0" fontId="171" fillId="48" borderId="71"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center" wrapText="1"/>
      <protection locked="0"/>
    </xf>
    <xf numFmtId="0" fontId="171" fillId="48" borderId="76" xfId="8733" applyFont="1" applyFill="1" applyBorder="1" applyAlignment="1" applyProtection="1">
      <alignment horizontal="left" vertical="center" wrapText="1"/>
      <protection locked="0"/>
    </xf>
    <xf numFmtId="0" fontId="174" fillId="48" borderId="72" xfId="8733" applyFont="1" applyFill="1" applyBorder="1" applyAlignment="1" applyProtection="1">
      <alignment horizontal="left" vertical="top" wrapText="1"/>
      <protection locked="0"/>
    </xf>
    <xf numFmtId="0" fontId="174" fillId="48" borderId="11" xfId="8733" applyFont="1" applyFill="1" applyBorder="1" applyAlignment="1" applyProtection="1">
      <alignment horizontal="left" vertical="top" wrapText="1"/>
      <protection locked="0"/>
    </xf>
    <xf numFmtId="0" fontId="174" fillId="48" borderId="69" xfId="8733" applyFont="1" applyFill="1" applyBorder="1" applyAlignment="1" applyProtection="1">
      <alignment horizontal="left" vertical="top" wrapText="1"/>
      <protection locked="0"/>
    </xf>
    <xf numFmtId="0" fontId="174" fillId="48" borderId="70"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center" vertical="center" wrapText="1"/>
      <protection locked="0"/>
    </xf>
    <xf numFmtId="0" fontId="171" fillId="48" borderId="76" xfId="8733" applyFont="1" applyFill="1" applyBorder="1" applyAlignment="1" applyProtection="1">
      <alignment horizontal="center" vertical="center" wrapText="1"/>
      <protection locked="0"/>
    </xf>
    <xf numFmtId="0" fontId="171" fillId="48" borderId="70" xfId="8733" applyFont="1" applyFill="1" applyBorder="1" applyAlignment="1" applyProtection="1">
      <alignment horizontal="center" vertical="center" wrapText="1"/>
      <protection locked="0"/>
    </xf>
    <xf numFmtId="0" fontId="171" fillId="48" borderId="77" xfId="8733" applyFont="1" applyFill="1" applyBorder="1" applyAlignment="1" applyProtection="1">
      <alignment horizontal="center" vertical="center" wrapText="1"/>
      <protection locked="0"/>
    </xf>
    <xf numFmtId="0" fontId="104" fillId="45" borderId="67" xfId="8733" applyFont="1" applyFill="1" applyBorder="1" applyAlignment="1">
      <alignment horizontal="left" wrapText="1"/>
    </xf>
    <xf numFmtId="0" fontId="104" fillId="45" borderId="68" xfId="8733" applyFont="1" applyFill="1" applyBorder="1" applyAlignment="1">
      <alignment horizontal="left" wrapText="1"/>
    </xf>
    <xf numFmtId="0" fontId="104" fillId="45" borderId="71" xfId="8733" applyFont="1" applyFill="1" applyBorder="1" applyAlignment="1">
      <alignment horizontal="left" wrapText="1"/>
    </xf>
    <xf numFmtId="0" fontId="104" fillId="45" borderId="72" xfId="8733" applyFont="1" applyFill="1" applyBorder="1" applyAlignment="1">
      <alignment horizontal="left" wrapText="1"/>
    </xf>
    <xf numFmtId="0" fontId="104" fillId="45" borderId="11" xfId="8733" applyFont="1" applyFill="1" applyBorder="1" applyAlignment="1">
      <alignment horizontal="left" wrapText="1"/>
    </xf>
    <xf numFmtId="0" fontId="104" fillId="45" borderId="76" xfId="8733" applyFont="1" applyFill="1" applyBorder="1" applyAlignment="1">
      <alignment horizontal="left" wrapText="1"/>
    </xf>
    <xf numFmtId="0" fontId="104" fillId="45" borderId="65" xfId="8733" applyFont="1" applyFill="1" applyBorder="1" applyAlignment="1">
      <alignment horizontal="center"/>
    </xf>
    <xf numFmtId="0" fontId="104" fillId="45" borderId="29" xfId="8733" applyFont="1" applyFill="1" applyBorder="1" applyAlignment="1">
      <alignment horizontal="center"/>
    </xf>
    <xf numFmtId="0" fontId="104" fillId="45" borderId="31" xfId="8733" applyFont="1" applyFill="1" applyBorder="1" applyAlignment="1">
      <alignment horizontal="center"/>
    </xf>
    <xf numFmtId="0" fontId="175" fillId="45" borderId="69" xfId="8733" applyFont="1" applyFill="1" applyBorder="1" applyAlignment="1">
      <alignment horizontal="center"/>
    </xf>
    <xf numFmtId="0" fontId="175" fillId="45" borderId="70" xfId="8733" applyFont="1" applyFill="1" applyBorder="1" applyAlignment="1">
      <alignment horizontal="center"/>
    </xf>
    <xf numFmtId="0" fontId="175" fillId="45" borderId="72" xfId="8733" applyFont="1" applyFill="1" applyBorder="1" applyAlignment="1">
      <alignment horizontal="center"/>
    </xf>
    <xf numFmtId="10" fontId="4" fillId="48" borderId="94" xfId="8733" applyNumberFormat="1" applyFill="1" applyBorder="1" applyAlignment="1" applyProtection="1">
      <alignment horizontal="center"/>
      <protection locked="0"/>
    </xf>
    <xf numFmtId="10" fontId="4" fillId="48" borderId="86" xfId="8733" applyNumberFormat="1" applyFill="1" applyBorder="1" applyAlignment="1" applyProtection="1">
      <alignment horizontal="center"/>
      <protection locked="0"/>
    </xf>
    <xf numFmtId="10" fontId="4" fillId="48" borderId="85" xfId="8733" applyNumberFormat="1" applyFill="1" applyBorder="1" applyAlignment="1" applyProtection="1">
      <alignment horizontal="center"/>
      <protection locked="0"/>
    </xf>
    <xf numFmtId="0" fontId="175" fillId="45" borderId="11" xfId="8733" applyFont="1" applyFill="1" applyBorder="1" applyAlignment="1">
      <alignment horizontal="center" wrapText="1"/>
    </xf>
    <xf numFmtId="0" fontId="167" fillId="45" borderId="76" xfId="8733" applyFont="1" applyFill="1" applyBorder="1" applyAlignment="1">
      <alignment horizontal="center"/>
    </xf>
    <xf numFmtId="0" fontId="171" fillId="48" borderId="68" xfId="8733" applyFont="1" applyFill="1" applyBorder="1" applyAlignment="1" applyProtection="1">
      <alignment horizontal="left" wrapText="1"/>
      <protection locked="0"/>
    </xf>
    <xf numFmtId="0" fontId="171" fillId="48" borderId="71" xfId="8733" applyFont="1" applyFill="1" applyBorder="1" applyAlignment="1" applyProtection="1">
      <alignment horizontal="left" wrapText="1"/>
      <protection locked="0"/>
    </xf>
    <xf numFmtId="0" fontId="171" fillId="48" borderId="11" xfId="8733" applyFont="1" applyFill="1" applyBorder="1" applyAlignment="1" applyProtection="1">
      <alignment horizontal="left" wrapText="1"/>
      <protection locked="0"/>
    </xf>
    <xf numFmtId="0" fontId="171" fillId="48" borderId="76" xfId="8733" applyFont="1" applyFill="1" applyBorder="1" applyAlignment="1" applyProtection="1">
      <alignment horizontal="left" wrapText="1"/>
      <protection locked="0"/>
    </xf>
    <xf numFmtId="0" fontId="4" fillId="48" borderId="9" xfId="8733" applyFill="1" applyBorder="1" applyAlignment="1" applyProtection="1">
      <alignment horizontal="center"/>
      <protection locked="0"/>
    </xf>
    <xf numFmtId="0" fontId="4" fillId="48" borderId="6" xfId="8733" applyFill="1" applyBorder="1" applyAlignment="1" applyProtection="1">
      <alignment horizontal="center"/>
      <protection locked="0"/>
    </xf>
    <xf numFmtId="0" fontId="4" fillId="48" borderId="82" xfId="8733" applyFill="1" applyBorder="1" applyAlignment="1" applyProtection="1">
      <alignment horizontal="center"/>
      <protection locked="0"/>
    </xf>
    <xf numFmtId="0" fontId="175" fillId="45" borderId="97" xfId="8733" applyFont="1" applyFill="1" applyBorder="1" applyAlignment="1">
      <alignment horizontal="left"/>
    </xf>
    <xf numFmtId="0" fontId="175" fillId="45" borderId="2" xfId="8733" applyFont="1" applyFill="1" applyBorder="1" applyAlignment="1">
      <alignment horizontal="left"/>
    </xf>
    <xf numFmtId="0" fontId="175" fillId="45" borderId="7" xfId="8733" applyFont="1" applyFill="1" applyBorder="1" applyAlignment="1">
      <alignment horizontal="left"/>
    </xf>
    <xf numFmtId="10" fontId="4" fillId="0" borderId="94" xfId="8733" applyNumberFormat="1" applyBorder="1" applyAlignment="1">
      <alignment horizontal="center"/>
    </xf>
    <xf numFmtId="10" fontId="4" fillId="0" borderId="86" xfId="8733" applyNumberFormat="1" applyBorder="1" applyAlignment="1">
      <alignment horizontal="center"/>
    </xf>
    <xf numFmtId="10" fontId="4" fillId="0" borderId="85" xfId="8733" applyNumberFormat="1" applyBorder="1" applyAlignment="1">
      <alignment horizontal="center"/>
    </xf>
    <xf numFmtId="0" fontId="175" fillId="45" borderId="73" xfId="8733" applyFont="1" applyFill="1" applyBorder="1" applyAlignment="1">
      <alignment horizontal="left"/>
    </xf>
    <xf numFmtId="0" fontId="175" fillId="45" borderId="42" xfId="8733" applyFont="1" applyFill="1" applyBorder="1" applyAlignment="1">
      <alignment horizontal="left"/>
    </xf>
    <xf numFmtId="0" fontId="175" fillId="45" borderId="96" xfId="8733" applyFont="1" applyFill="1" applyBorder="1" applyAlignment="1">
      <alignment horizontal="left"/>
    </xf>
    <xf numFmtId="0" fontId="104" fillId="45" borderId="67" xfId="8733" applyFont="1" applyFill="1" applyBorder="1" applyAlignment="1">
      <alignment horizontal="center" wrapText="1"/>
    </xf>
    <xf numFmtId="0" fontId="104" fillId="45" borderId="68" xfId="8733" applyFont="1" applyFill="1" applyBorder="1" applyAlignment="1">
      <alignment horizontal="center" wrapText="1"/>
    </xf>
    <xf numFmtId="0" fontId="104" fillId="45" borderId="71" xfId="8733" applyFont="1" applyFill="1" applyBorder="1" applyAlignment="1">
      <alignment horizontal="center" wrapText="1"/>
    </xf>
    <xf numFmtId="0" fontId="176" fillId="48" borderId="72" xfId="8733" applyFont="1" applyFill="1" applyBorder="1" applyAlignment="1" applyProtection="1">
      <alignment horizontal="right"/>
      <protection locked="0"/>
    </xf>
    <xf numFmtId="0" fontId="176" fillId="48" borderId="11" xfId="8733"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3" applyFont="1" applyFill="1" applyBorder="1" applyAlignment="1">
      <alignment horizontal="center"/>
    </xf>
    <xf numFmtId="0" fontId="168" fillId="45" borderId="13" xfId="8733"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68" fillId="45" borderId="89" xfId="8733" applyFont="1" applyFill="1" applyBorder="1" applyAlignment="1">
      <alignment horizontal="right"/>
    </xf>
    <xf numFmtId="0" fontId="168" fillId="45" borderId="43" xfId="8733" applyFont="1" applyFill="1" applyBorder="1" applyAlignment="1">
      <alignment horizontal="right"/>
    </xf>
    <xf numFmtId="168" fontId="168" fillId="45" borderId="43" xfId="8733" applyNumberFormat="1" applyFont="1" applyFill="1" applyBorder="1" applyAlignment="1">
      <alignment horizontal="left"/>
    </xf>
    <xf numFmtId="168" fontId="168" fillId="45" borderId="88" xfId="8733" applyNumberFormat="1" applyFont="1" applyFill="1" applyBorder="1" applyAlignment="1">
      <alignment horizontal="left"/>
    </xf>
    <xf numFmtId="0" fontId="174" fillId="48" borderId="68" xfId="8733" applyFont="1" applyFill="1" applyBorder="1" applyAlignment="1" applyProtection="1">
      <alignment horizontal="left"/>
      <protection locked="0"/>
    </xf>
    <xf numFmtId="0" fontId="174" fillId="48" borderId="71" xfId="8733" applyFont="1" applyFill="1" applyBorder="1" applyAlignment="1" applyProtection="1">
      <alignment horizontal="left"/>
      <protection locked="0"/>
    </xf>
    <xf numFmtId="0" fontId="168" fillId="45" borderId="69" xfId="8733" applyFont="1" applyFill="1" applyBorder="1" applyAlignment="1">
      <alignment horizontal="center"/>
    </xf>
    <xf numFmtId="0" fontId="168"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0" fontId="171" fillId="48" borderId="74" xfId="8733" applyFont="1" applyFill="1" applyBorder="1" applyAlignment="1" applyProtection="1">
      <alignment horizontal="left"/>
      <protection locked="0"/>
    </xf>
    <xf numFmtId="0" fontId="168" fillId="45" borderId="72" xfId="8733" applyFont="1" applyFill="1" applyBorder="1" applyAlignment="1">
      <alignment horizontal="center"/>
    </xf>
    <xf numFmtId="0" fontId="168" fillId="45" borderId="11" xfId="8733" applyFont="1" applyFill="1" applyBorder="1" applyAlignment="1">
      <alignment horizontal="center"/>
    </xf>
    <xf numFmtId="0" fontId="168" fillId="45" borderId="3" xfId="8733" applyFont="1" applyFill="1" applyBorder="1" applyAlignment="1">
      <alignment horizontal="center"/>
    </xf>
    <xf numFmtId="0" fontId="168" fillId="45" borderId="4" xfId="8733" applyFont="1" applyFill="1" applyBorder="1" applyAlignment="1">
      <alignment horizontal="center"/>
    </xf>
    <xf numFmtId="0" fontId="168" fillId="45" borderId="81" xfId="8733" applyFont="1" applyFill="1" applyBorder="1" applyAlignment="1">
      <alignment horizontal="center"/>
    </xf>
    <xf numFmtId="0" fontId="104" fillId="45" borderId="69" xfId="8733" applyFont="1" applyFill="1" applyBorder="1" applyAlignment="1">
      <alignment horizontal="center"/>
    </xf>
    <xf numFmtId="0" fontId="104" fillId="45" borderId="70" xfId="8733" applyFont="1" applyFill="1" applyBorder="1" applyAlignment="1">
      <alignment horizontal="center"/>
    </xf>
    <xf numFmtId="0" fontId="174" fillId="44" borderId="72" xfId="8733" applyFont="1" applyFill="1" applyBorder="1" applyAlignment="1" applyProtection="1">
      <alignment horizontal="right"/>
      <protection locked="0"/>
    </xf>
    <xf numFmtId="0" fontId="174" fillId="44" borderId="11" xfId="8733" applyFont="1" applyFill="1" applyBorder="1" applyAlignment="1" applyProtection="1">
      <alignment horizontal="right"/>
      <protection locked="0"/>
    </xf>
    <xf numFmtId="0" fontId="174" fillId="44" borderId="76" xfId="8733" applyFont="1" applyFill="1" applyBorder="1" applyAlignment="1" applyProtection="1">
      <alignment horizontal="right"/>
      <protection locked="0"/>
    </xf>
    <xf numFmtId="0" fontId="174" fillId="48" borderId="5" xfId="8733" applyFont="1" applyFill="1" applyBorder="1" applyAlignment="1" applyProtection="1">
      <alignment horizontal="left"/>
      <protection locked="0"/>
    </xf>
    <xf numFmtId="0" fontId="174" fillId="44" borderId="69" xfId="8733" applyFont="1" applyFill="1" applyBorder="1" applyAlignment="1" applyProtection="1">
      <alignment horizontal="right"/>
      <protection locked="0"/>
    </xf>
    <xf numFmtId="0" fontId="174" fillId="44" borderId="70" xfId="8733" applyFont="1" applyFill="1" applyBorder="1" applyAlignment="1" applyProtection="1">
      <alignment horizontal="right"/>
      <protection locked="0"/>
    </xf>
    <xf numFmtId="0" fontId="174" fillId="44" borderId="77" xfId="8733" applyFont="1" applyFill="1" applyBorder="1" applyAlignment="1" applyProtection="1">
      <alignment horizontal="right"/>
      <protection locked="0"/>
    </xf>
    <xf numFmtId="0" fontId="174" fillId="48" borderId="95" xfId="8733" applyFont="1" applyFill="1" applyBorder="1" applyAlignment="1" applyProtection="1">
      <alignment horizontal="left"/>
      <protection locked="0"/>
    </xf>
    <xf numFmtId="0" fontId="168" fillId="45" borderId="65" xfId="8733" applyFont="1" applyFill="1" applyBorder="1" applyAlignment="1">
      <alignment horizontal="center"/>
    </xf>
    <xf numFmtId="0" fontId="168" fillId="45" borderId="29" xfId="8733" applyFont="1" applyFill="1" applyBorder="1" applyAlignment="1">
      <alignment horizontal="center"/>
    </xf>
    <xf numFmtId="0" fontId="168" fillId="45" borderId="31"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 fontId="174" fillId="48" borderId="11" xfId="8733"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4" applyNumberFormat="1" applyFont="1" applyFill="1" applyBorder="1" applyAlignment="1">
      <alignment horizontal="center"/>
    </xf>
    <xf numFmtId="1" fontId="175" fillId="45" borderId="70" xfId="8734" applyNumberFormat="1" applyFont="1" applyFill="1" applyBorder="1" applyAlignment="1">
      <alignment horizontal="center"/>
    </xf>
    <xf numFmtId="0" fontId="175" fillId="45" borderId="70" xfId="8734" applyNumberFormat="1" applyFont="1" applyFill="1" applyBorder="1" applyAlignment="1">
      <alignment horizontal="center"/>
    </xf>
    <xf numFmtId="0" fontId="175" fillId="45" borderId="77" xfId="8734" applyNumberFormat="1" applyFont="1" applyFill="1" applyBorder="1" applyAlignment="1">
      <alignment horizontal="center"/>
    </xf>
    <xf numFmtId="0" fontId="167" fillId="45" borderId="11" xfId="8733" applyFont="1" applyFill="1" applyBorder="1" applyAlignment="1">
      <alignment horizontal="center" vertical="center" wrapText="1"/>
    </xf>
    <xf numFmtId="0" fontId="167" fillId="45" borderId="76" xfId="8733" applyFont="1" applyFill="1" applyBorder="1" applyAlignment="1">
      <alignment horizontal="center" vertical="center" wrapText="1"/>
    </xf>
    <xf numFmtId="1" fontId="179" fillId="48" borderId="70" xfId="8733" applyNumberFormat="1" applyFont="1" applyFill="1" applyBorder="1" applyAlignment="1" applyProtection="1">
      <alignment horizontal="center"/>
      <protection locked="0"/>
    </xf>
    <xf numFmtId="1" fontId="179" fillId="48" borderId="94" xfId="8733" applyNumberFormat="1" applyFont="1" applyFill="1" applyBorder="1" applyAlignment="1" applyProtection="1">
      <alignment horizontal="center"/>
      <protection locked="0"/>
    </xf>
    <xf numFmtId="1" fontId="179" fillId="48" borderId="86" xfId="8733" applyNumberFormat="1" applyFont="1" applyFill="1" applyBorder="1" applyAlignment="1" applyProtection="1">
      <alignment horizontal="center"/>
      <protection locked="0"/>
    </xf>
    <xf numFmtId="1" fontId="179" fillId="48" borderId="95" xfId="8733" applyNumberFormat="1" applyFont="1" applyFill="1" applyBorder="1" applyAlignment="1" applyProtection="1">
      <alignment horizontal="center"/>
      <protection locked="0"/>
    </xf>
    <xf numFmtId="1" fontId="179" fillId="48" borderId="3" xfId="8733" applyNumberFormat="1" applyFont="1" applyFill="1" applyBorder="1" applyAlignment="1" applyProtection="1">
      <alignment horizontal="center"/>
      <protection locked="0"/>
    </xf>
    <xf numFmtId="1" fontId="179" fillId="48" borderId="4" xfId="8733" applyNumberFormat="1" applyFont="1" applyFill="1" applyBorder="1" applyAlignment="1" applyProtection="1">
      <alignment horizontal="center"/>
      <protection locked="0"/>
    </xf>
    <xf numFmtId="1" fontId="179" fillId="48" borderId="5" xfId="8733" applyNumberFormat="1" applyFont="1" applyFill="1" applyBorder="1" applyAlignment="1" applyProtection="1">
      <alignment horizontal="center"/>
      <protection locked="0"/>
    </xf>
    <xf numFmtId="1" fontId="167" fillId="44" borderId="3" xfId="8733" applyNumberFormat="1" applyFont="1" applyFill="1" applyBorder="1" applyAlignment="1">
      <alignment horizontal="center"/>
    </xf>
    <xf numFmtId="1" fontId="167" fillId="44" borderId="4" xfId="8733" applyNumberFormat="1" applyFont="1" applyFill="1" applyBorder="1" applyAlignment="1">
      <alignment horizontal="center"/>
    </xf>
    <xf numFmtId="1" fontId="167" fillId="44" borderId="5" xfId="8733" applyNumberFormat="1" applyFont="1" applyFill="1" applyBorder="1" applyAlignment="1">
      <alignment horizontal="center"/>
    </xf>
    <xf numFmtId="9" fontId="167" fillId="44" borderId="3" xfId="8735" applyFont="1" applyFill="1" applyBorder="1" applyAlignment="1">
      <alignment horizontal="center"/>
    </xf>
    <xf numFmtId="9" fontId="167" fillId="44" borderId="4" xfId="8735" applyFont="1" applyFill="1" applyBorder="1" applyAlignment="1">
      <alignment horizontal="center"/>
    </xf>
    <xf numFmtId="9" fontId="167" fillId="44" borderId="81" xfId="8735" applyFont="1" applyFill="1" applyBorder="1" applyAlignment="1">
      <alignment horizontal="center"/>
    </xf>
    <xf numFmtId="0" fontId="174" fillId="48" borderId="69" xfId="8733" applyFont="1" applyFill="1" applyBorder="1" applyAlignment="1" applyProtection="1">
      <alignment horizontal="right"/>
      <protection locked="0"/>
    </xf>
    <xf numFmtId="0" fontId="174" fillId="48" borderId="70" xfId="8733" applyFont="1" applyFill="1" applyBorder="1" applyAlignment="1" applyProtection="1">
      <alignment horizontal="right"/>
      <protection locked="0"/>
    </xf>
    <xf numFmtId="0" fontId="179" fillId="48" borderId="70" xfId="8733" applyFont="1" applyFill="1" applyBorder="1" applyAlignment="1" applyProtection="1">
      <alignment horizontal="center"/>
      <protection locked="0"/>
    </xf>
    <xf numFmtId="9" fontId="167" fillId="44" borderId="94" xfId="8735" applyFont="1" applyFill="1" applyBorder="1" applyAlignment="1">
      <alignment horizontal="center"/>
    </xf>
    <xf numFmtId="9" fontId="167" fillId="44" borderId="86" xfId="8735" applyFont="1" applyFill="1" applyBorder="1" applyAlignment="1">
      <alignment horizontal="center"/>
    </xf>
    <xf numFmtId="9" fontId="167" fillId="44" borderId="85" xfId="8735" applyFont="1" applyFill="1" applyBorder="1" applyAlignment="1">
      <alignment horizontal="center"/>
    </xf>
    <xf numFmtId="0" fontId="179" fillId="48" borderId="11" xfId="8733" applyFont="1" applyFill="1" applyBorder="1" applyAlignment="1" applyProtection="1">
      <alignment horizontal="center"/>
      <protection locked="0"/>
    </xf>
    <xf numFmtId="1" fontId="179" fillId="48" borderId="11" xfId="8733" applyNumberFormat="1" applyFont="1" applyFill="1" applyBorder="1" applyAlignment="1" applyProtection="1">
      <alignment horizontal="center"/>
      <protection locked="0"/>
    </xf>
    <xf numFmtId="0" fontId="175" fillId="44" borderId="101" xfId="8733" applyFont="1" applyFill="1" applyBorder="1" applyAlignment="1">
      <alignment horizontal="center"/>
    </xf>
    <xf numFmtId="0" fontId="175" fillId="44" borderId="42" xfId="8733" applyFont="1" applyFill="1" applyBorder="1" applyAlignment="1">
      <alignment horizontal="center"/>
    </xf>
    <xf numFmtId="0" fontId="175" fillId="44" borderId="96" xfId="8733"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3" applyFont="1" applyFill="1" applyBorder="1" applyAlignment="1">
      <alignment horizontal="center"/>
    </xf>
    <xf numFmtId="0" fontId="168" fillId="45" borderId="79" xfId="8733" applyFont="1" applyFill="1" applyBorder="1" applyAlignment="1">
      <alignment horizontal="center"/>
    </xf>
    <xf numFmtId="0" fontId="168" fillId="45" borderId="78" xfId="8733" applyFont="1" applyFill="1" applyBorder="1" applyAlignment="1">
      <alignment horizontal="center"/>
    </xf>
    <xf numFmtId="0" fontId="167" fillId="45" borderId="98" xfId="8733" applyFont="1" applyFill="1" applyBorder="1" applyAlignment="1">
      <alignment horizontal="center" vertical="center" wrapText="1"/>
    </xf>
    <xf numFmtId="0" fontId="167" fillId="45" borderId="13" xfId="8733" applyFont="1" applyFill="1" applyBorder="1" applyAlignment="1">
      <alignment horizontal="center" vertical="center"/>
    </xf>
    <xf numFmtId="0" fontId="167" fillId="45" borderId="72" xfId="8733" applyFont="1" applyFill="1" applyBorder="1" applyAlignment="1">
      <alignment horizontal="center" vertical="center"/>
    </xf>
    <xf numFmtId="0" fontId="167" fillId="45" borderId="11" xfId="8733" applyFont="1" applyFill="1" applyBorder="1" applyAlignment="1">
      <alignment horizontal="center" vertical="center"/>
    </xf>
    <xf numFmtId="0" fontId="175" fillId="45" borderId="13" xfId="8733" applyFont="1" applyFill="1" applyBorder="1" applyAlignment="1">
      <alignment horizontal="center" vertical="center" wrapText="1"/>
    </xf>
    <xf numFmtId="0" fontId="175" fillId="45" borderId="13" xfId="8733" applyFont="1" applyFill="1" applyBorder="1" applyAlignment="1">
      <alignment horizontal="center" vertical="center"/>
    </xf>
    <xf numFmtId="0" fontId="175" fillId="45" borderId="11" xfId="8733" applyFont="1" applyFill="1" applyBorder="1" applyAlignment="1">
      <alignment horizontal="center" vertical="center"/>
    </xf>
    <xf numFmtId="0" fontId="175" fillId="45" borderId="9" xfId="8733" applyFont="1" applyFill="1" applyBorder="1" applyAlignment="1">
      <alignment horizontal="center" vertical="center"/>
    </xf>
    <xf numFmtId="0" fontId="175" fillId="45" borderId="3" xfId="8733" applyFont="1" applyFill="1" applyBorder="1" applyAlignment="1">
      <alignment horizontal="center" vertic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7" fillId="45" borderId="65" xfId="8733" applyFont="1" applyFill="1" applyBorder="1" applyAlignment="1">
      <alignment horizontal="center" vertical="center" wrapText="1"/>
    </xf>
    <xf numFmtId="0" fontId="167" fillId="45" borderId="29" xfId="8733" applyFont="1" applyFill="1" applyBorder="1" applyAlignment="1">
      <alignment horizontal="center" vertical="center" wrapText="1"/>
    </xf>
    <xf numFmtId="0" fontId="167" fillId="45" borderId="31" xfId="8733" applyFont="1" applyFill="1" applyBorder="1" applyAlignment="1">
      <alignment horizontal="center" vertical="center" wrapText="1"/>
    </xf>
    <xf numFmtId="0" fontId="167" fillId="45" borderId="73" xfId="8733" applyFont="1" applyFill="1" applyBorder="1" applyAlignment="1">
      <alignment horizontal="center" vertical="center" wrapText="1"/>
    </xf>
    <xf numFmtId="0" fontId="167" fillId="45" borderId="42" xfId="8733" applyFont="1" applyFill="1" applyBorder="1" applyAlignment="1">
      <alignment horizontal="center" vertical="center" wrapText="1"/>
    </xf>
    <xf numFmtId="0" fontId="167" fillId="45" borderId="44" xfId="8733" applyFont="1" applyFill="1" applyBorder="1" applyAlignment="1">
      <alignment horizontal="center" vertical="center" wrapText="1"/>
    </xf>
    <xf numFmtId="9" fontId="175" fillId="48" borderId="13" xfId="8733" applyNumberFormat="1" applyFont="1" applyFill="1" applyBorder="1" applyAlignment="1" applyProtection="1">
      <alignment horizontal="center"/>
      <protection locked="0"/>
    </xf>
    <xf numFmtId="0" fontId="175" fillId="44" borderId="73" xfId="8733" applyFont="1" applyFill="1" applyBorder="1" applyAlignment="1">
      <alignment horizontal="center"/>
    </xf>
    <xf numFmtId="0" fontId="167" fillId="44" borderId="9" xfId="8733" applyFont="1" applyFill="1" applyBorder="1" applyAlignment="1">
      <alignment horizontal="center"/>
    </xf>
    <xf numFmtId="0" fontId="167" fillId="44" borderId="6" xfId="8733" applyFont="1" applyFill="1" applyBorder="1" applyAlignment="1">
      <alignment horizontal="center"/>
    </xf>
    <xf numFmtId="0" fontId="167" fillId="44" borderId="82" xfId="8733" applyFont="1" applyFill="1" applyBorder="1" applyAlignment="1">
      <alignment horizontal="center"/>
    </xf>
    <xf numFmtId="9" fontId="175" fillId="48" borderId="9" xfId="8733" applyNumberFormat="1" applyFont="1" applyFill="1" applyBorder="1" applyAlignment="1" applyProtection="1">
      <alignment horizontal="center"/>
      <protection locked="0"/>
    </xf>
    <xf numFmtId="9" fontId="175" fillId="48" borderId="6" xfId="8733" applyNumberFormat="1" applyFont="1" applyFill="1" applyBorder="1" applyAlignment="1" applyProtection="1">
      <alignment horizontal="center"/>
      <protection locked="0"/>
    </xf>
    <xf numFmtId="9" fontId="175" fillId="48" borderId="10" xfId="8733" applyNumberFormat="1" applyFont="1" applyFill="1" applyBorder="1" applyAlignment="1" applyProtection="1">
      <alignment horizontal="center"/>
      <protection locked="0"/>
    </xf>
    <xf numFmtId="9" fontId="167" fillId="48" borderId="9" xfId="8733" applyNumberFormat="1" applyFont="1" applyFill="1" applyBorder="1" applyAlignment="1" applyProtection="1">
      <alignment horizontal="center"/>
      <protection locked="0"/>
    </xf>
    <xf numFmtId="9" fontId="167" fillId="48" borderId="6" xfId="8733" applyNumberFormat="1" applyFont="1" applyFill="1" applyBorder="1" applyAlignment="1" applyProtection="1">
      <alignment horizontal="center"/>
      <protection locked="0"/>
    </xf>
    <xf numFmtId="9" fontId="167" fillId="48" borderId="10" xfId="8733" applyNumberFormat="1" applyFont="1" applyFill="1" applyBorder="1" applyAlignment="1" applyProtection="1">
      <alignment horizontal="center"/>
      <protection locked="0"/>
    </xf>
    <xf numFmtId="0" fontId="167" fillId="44" borderId="10" xfId="8733" applyFont="1" applyFill="1" applyBorder="1" applyAlignment="1">
      <alignment horizontal="center"/>
    </xf>
    <xf numFmtId="0" fontId="174" fillId="48" borderId="3" xfId="8733" applyFont="1" applyFill="1" applyBorder="1" applyAlignment="1" applyProtection="1">
      <alignment horizontal="center"/>
      <protection locked="0"/>
    </xf>
    <xf numFmtId="0" fontId="174" fillId="48" borderId="4" xfId="8733" applyFont="1" applyFill="1" applyBorder="1" applyAlignment="1" applyProtection="1">
      <alignment horizontal="center"/>
      <protection locked="0"/>
    </xf>
    <xf numFmtId="0" fontId="174" fillId="48" borderId="5" xfId="8733" applyFont="1" applyFill="1" applyBorder="1" applyAlignment="1" applyProtection="1">
      <alignment horizontal="center"/>
      <protection locked="0"/>
    </xf>
    <xf numFmtId="9" fontId="175" fillId="44" borderId="3" xfId="8733" applyNumberFormat="1" applyFont="1" applyFill="1" applyBorder="1" applyAlignment="1">
      <alignment horizontal="center"/>
    </xf>
    <xf numFmtId="9" fontId="175" fillId="44" borderId="4" xfId="8733" applyNumberFormat="1" applyFont="1" applyFill="1" applyBorder="1" applyAlignment="1">
      <alignment horizontal="center"/>
    </xf>
    <xf numFmtId="9" fontId="175" fillId="44" borderId="81" xfId="8733" applyNumberFormat="1" applyFont="1" applyFill="1" applyBorder="1" applyAlignment="1">
      <alignment horizontal="center"/>
    </xf>
    <xf numFmtId="0" fontId="175" fillId="44" borderId="87" xfId="8733" applyFont="1" applyFill="1" applyBorder="1" applyAlignment="1">
      <alignment horizontal="center"/>
    </xf>
    <xf numFmtId="0" fontId="175" fillId="44" borderId="86" xfId="8733" applyFont="1" applyFill="1" applyBorder="1" applyAlignment="1">
      <alignment horizontal="center"/>
    </xf>
    <xf numFmtId="0" fontId="175" fillId="44" borderId="95" xfId="8733" applyFont="1" applyFill="1" applyBorder="1" applyAlignment="1">
      <alignment horizontal="center"/>
    </xf>
    <xf numFmtId="0" fontId="174" fillId="44" borderId="94"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9" fontId="175" fillId="44" borderId="94" xfId="8733" applyNumberFormat="1" applyFont="1" applyFill="1" applyBorder="1" applyAlignment="1">
      <alignment horizontal="center"/>
    </xf>
    <xf numFmtId="9" fontId="175" fillId="44" borderId="86" xfId="8733" applyNumberFormat="1" applyFont="1" applyFill="1" applyBorder="1" applyAlignment="1">
      <alignment horizontal="center"/>
    </xf>
    <xf numFmtId="9" fontId="175" fillId="44" borderId="85" xfId="8733" applyNumberFormat="1" applyFont="1" applyFill="1" applyBorder="1" applyAlignment="1">
      <alignment horizontal="center"/>
    </xf>
    <xf numFmtId="9" fontId="174" fillId="48" borderId="90" xfId="8733" applyNumberFormat="1" applyFont="1" applyFill="1" applyBorder="1" applyAlignment="1" applyProtection="1">
      <alignment horizontal="center"/>
      <protection locked="0"/>
    </xf>
    <xf numFmtId="9" fontId="174" fillId="48" borderId="4" xfId="8733" applyNumberFormat="1" applyFont="1" applyFill="1" applyBorder="1" applyAlignment="1" applyProtection="1">
      <alignment horizontal="center"/>
      <protection locked="0"/>
    </xf>
    <xf numFmtId="9" fontId="174" fillId="48" borderId="5" xfId="8733" applyNumberFormat="1" applyFont="1" applyFill="1" applyBorder="1" applyAlignment="1" applyProtection="1">
      <alignment horizontal="center"/>
      <protection locked="0"/>
    </xf>
    <xf numFmtId="0" fontId="174" fillId="44" borderId="3" xfId="8733" applyFont="1" applyFill="1" applyBorder="1" applyAlignment="1">
      <alignment horizontal="center"/>
    </xf>
    <xf numFmtId="0" fontId="174" fillId="44" borderId="4" xfId="8733" applyFont="1" applyFill="1" applyBorder="1" applyAlignment="1">
      <alignment horizontal="center"/>
    </xf>
    <xf numFmtId="0" fontId="174" fillId="44" borderId="5" xfId="8733" applyFont="1" applyFill="1" applyBorder="1" applyAlignment="1">
      <alignment horizontal="center"/>
    </xf>
    <xf numFmtId="0" fontId="104" fillId="45" borderId="80" xfId="8733" applyFont="1" applyFill="1" applyBorder="1" applyAlignment="1">
      <alignment horizontal="right"/>
    </xf>
    <xf numFmtId="0" fontId="104" fillId="45" borderId="79" xfId="8733" applyFont="1" applyFill="1" applyBorder="1" applyAlignment="1">
      <alignment horizontal="right"/>
    </xf>
    <xf numFmtId="0" fontId="104" fillId="45" borderId="103" xfId="8733" applyFont="1" applyFill="1" applyBorder="1" applyAlignment="1">
      <alignment horizontal="right"/>
    </xf>
    <xf numFmtId="0" fontId="4" fillId="44" borderId="84" xfId="8733" applyFill="1" applyBorder="1" applyAlignment="1">
      <alignment horizontal="center"/>
    </xf>
    <xf numFmtId="0" fontId="4" fillId="44" borderId="102" xfId="8733" applyFill="1" applyBorder="1" applyAlignment="1">
      <alignment horizontal="center"/>
    </xf>
    <xf numFmtId="0" fontId="175" fillId="45" borderId="11" xfId="8733" applyFont="1" applyFill="1" applyBorder="1" applyAlignment="1">
      <alignment horizontal="right"/>
    </xf>
    <xf numFmtId="14" fontId="171" fillId="48" borderId="11" xfId="8733" applyNumberFormat="1" applyFont="1" applyFill="1" applyBorder="1" applyAlignment="1" applyProtection="1">
      <alignment horizontal="center" vertical="center"/>
      <protection locked="0"/>
    </xf>
    <xf numFmtId="0" fontId="171" fillId="48" borderId="11" xfId="8733" applyFont="1" applyFill="1" applyBorder="1" applyAlignment="1" applyProtection="1">
      <alignment horizontal="center" vertical="center"/>
      <protection locked="0"/>
    </xf>
    <xf numFmtId="0" fontId="175" fillId="45" borderId="97" xfId="8733" applyFont="1" applyFill="1" applyBorder="1" applyAlignment="1">
      <alignment horizontal="center"/>
    </xf>
    <xf numFmtId="0" fontId="175" fillId="45" borderId="2" xfId="8733" applyFont="1" applyFill="1" applyBorder="1" applyAlignment="1">
      <alignment horizontal="center"/>
    </xf>
    <xf numFmtId="0" fontId="175" fillId="45" borderId="7" xfId="8733" applyFont="1" applyFill="1" applyBorder="1" applyAlignment="1">
      <alignment horizontal="center"/>
    </xf>
    <xf numFmtId="0" fontId="175" fillId="45" borderId="3" xfId="8733" applyFont="1" applyFill="1" applyBorder="1" applyAlignment="1">
      <alignment horizontal="center"/>
    </xf>
    <xf numFmtId="0" fontId="175" fillId="45" borderId="4" xfId="8733" applyFont="1" applyFill="1" applyBorder="1" applyAlignment="1">
      <alignment horizontal="center"/>
    </xf>
    <xf numFmtId="0" fontId="175" fillId="45" borderId="5" xfId="8733" applyFont="1" applyFill="1" applyBorder="1" applyAlignment="1">
      <alignment horizontal="center"/>
    </xf>
    <xf numFmtId="0" fontId="175" fillId="45" borderId="81" xfId="8733" applyFont="1" applyFill="1" applyBorder="1" applyAlignment="1">
      <alignment horizontal="center"/>
    </xf>
    <xf numFmtId="0" fontId="104" fillId="45" borderId="80" xfId="8733" applyFont="1" applyFill="1" applyBorder="1" applyAlignment="1">
      <alignment horizontal="center"/>
    </xf>
    <xf numFmtId="0" fontId="104" fillId="45" borderId="79" xfId="8733" applyFont="1" applyFill="1" applyBorder="1" applyAlignment="1">
      <alignment horizontal="center"/>
    </xf>
    <xf numFmtId="0" fontId="104" fillId="45" borderId="78" xfId="8733" applyFont="1" applyFill="1" applyBorder="1" applyAlignment="1">
      <alignment horizontal="center"/>
    </xf>
    <xf numFmtId="0" fontId="171" fillId="48" borderId="80" xfId="8733" applyFont="1" applyFill="1" applyBorder="1" applyAlignment="1" applyProtection="1">
      <alignment horizontal="center"/>
      <protection locked="0"/>
    </xf>
    <xf numFmtId="0" fontId="171" fillId="48" borderId="79" xfId="8733" applyFont="1" applyFill="1" applyBorder="1" applyAlignment="1" applyProtection="1">
      <alignment horizontal="center"/>
      <protection locked="0"/>
    </xf>
    <xf numFmtId="0" fontId="171" fillId="48" borderId="78" xfId="8733" applyFont="1" applyFill="1" applyBorder="1" applyAlignment="1" applyProtection="1">
      <alignment horizontal="center"/>
      <protection locked="0"/>
    </xf>
    <xf numFmtId="1" fontId="4" fillId="44" borderId="11" xfId="8733" applyNumberFormat="1" applyFill="1" applyBorder="1" applyAlignment="1">
      <alignment horizontal="center"/>
    </xf>
    <xf numFmtId="0" fontId="4" fillId="44" borderId="11" xfId="8733" applyFill="1" applyBorder="1" applyAlignment="1">
      <alignment horizontal="center"/>
    </xf>
    <xf numFmtId="0" fontId="172" fillId="45" borderId="11" xfId="8733" applyFont="1" applyFill="1" applyBorder="1" applyAlignment="1">
      <alignment horizontal="right" wrapText="1"/>
    </xf>
    <xf numFmtId="0" fontId="178" fillId="45" borderId="11" xfId="8733" applyFont="1" applyFill="1" applyBorder="1" applyAlignment="1">
      <alignment horizontal="right"/>
    </xf>
    <xf numFmtId="14" fontId="171" fillId="48" borderId="11" xfId="8733" applyNumberFormat="1"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168" fontId="176" fillId="44" borderId="11" xfId="8734" applyNumberFormat="1" applyFont="1" applyFill="1" applyBorder="1" applyAlignment="1" applyProtection="1">
      <alignment horizontal="left"/>
    </xf>
    <xf numFmtId="0" fontId="171" fillId="44" borderId="80" xfId="8733" applyFont="1" applyFill="1" applyBorder="1" applyAlignment="1">
      <alignment horizontal="left"/>
    </xf>
    <xf numFmtId="0" fontId="171" fillId="44" borderId="79" xfId="8733" applyFont="1" applyFill="1" applyBorder="1" applyAlignment="1">
      <alignment horizontal="left"/>
    </xf>
    <xf numFmtId="0" fontId="171" fillId="44" borderId="78" xfId="8733" applyFont="1" applyFill="1" applyBorder="1" applyAlignment="1">
      <alignment horizontal="left"/>
    </xf>
    <xf numFmtId="0" fontId="172" fillId="45" borderId="11" xfId="8733" applyFont="1" applyFill="1" applyBorder="1" applyAlignment="1">
      <alignment horizontal="right"/>
    </xf>
    <xf numFmtId="1" fontId="171" fillId="48" borderId="11" xfId="8733" applyNumberFormat="1" applyFont="1" applyFill="1" applyBorder="1" applyAlignment="1" applyProtection="1">
      <alignment horizontal="center"/>
      <protection locked="0"/>
    </xf>
    <xf numFmtId="0" fontId="4" fillId="44" borderId="80" xfId="8733" applyFill="1" applyBorder="1" applyAlignment="1">
      <alignment horizontal="center"/>
    </xf>
    <xf numFmtId="0" fontId="4" fillId="44" borderId="79" xfId="8733" applyFill="1" applyBorder="1" applyAlignment="1">
      <alignment horizontal="center"/>
    </xf>
    <xf numFmtId="0" fontId="4" fillId="44" borderId="78" xfId="8733" applyFill="1" applyBorder="1" applyAlignment="1">
      <alignment horizontal="center"/>
    </xf>
    <xf numFmtId="0" fontId="183" fillId="51" borderId="65" xfId="8733" applyFont="1" applyFill="1" applyBorder="1" applyAlignment="1">
      <alignment horizontal="center"/>
    </xf>
    <xf numFmtId="0" fontId="183" fillId="51" borderId="29" xfId="8733" applyFont="1" applyFill="1" applyBorder="1" applyAlignment="1">
      <alignment horizontal="center"/>
    </xf>
    <xf numFmtId="0" fontId="183" fillId="51" borderId="31" xfId="8733" applyFont="1" applyFill="1" applyBorder="1" applyAlignment="1">
      <alignment horizontal="center"/>
    </xf>
    <xf numFmtId="0" fontId="168" fillId="48" borderId="66" xfId="8733" applyFont="1" applyFill="1" applyBorder="1" applyAlignment="1">
      <alignment horizontal="center"/>
    </xf>
    <xf numFmtId="0" fontId="168" fillId="48" borderId="0" xfId="8733" applyFont="1" applyFill="1" applyAlignment="1">
      <alignment horizontal="center"/>
    </xf>
    <xf numFmtId="0" fontId="168" fillId="48" borderId="41" xfId="8733" applyFont="1" applyFill="1" applyBorder="1" applyAlignment="1">
      <alignment horizontal="center"/>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6" xfId="4496" applyFont="1" applyFill="1" applyBorder="1" applyAlignment="1" applyProtection="1">
      <alignment horizontal="center"/>
      <protection locked="0"/>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0" fontId="26" fillId="0" borderId="0" xfId="4495" applyFont="1" applyAlignment="1">
      <alignment horizontal="right"/>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24" fillId="5" borderId="55" xfId="4496" applyFont="1" applyFill="1" applyBorder="1" applyAlignment="1" applyProtection="1">
      <alignment horizontal="center"/>
      <protection locked="0"/>
    </xf>
    <xf numFmtId="0" fontId="124" fillId="0" borderId="47" xfId="4496" applyFont="1" applyBorder="1"/>
    <xf numFmtId="0" fontId="124" fillId="0" borderId="48" xfId="4496" applyFont="1" applyBorder="1"/>
    <xf numFmtId="0" fontId="124" fillId="0" borderId="49" xfId="4496" applyFont="1" applyBorder="1"/>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43" borderId="55" xfId="4496" applyFont="1" applyFill="1" applyBorder="1" applyAlignment="1" applyProtection="1">
      <alignment horizontal="left" vertical="top" wrapText="1"/>
      <protection locked="0"/>
    </xf>
    <xf numFmtId="0" fontId="124" fillId="43" borderId="6" xfId="4496" applyFont="1" applyFill="1" applyBorder="1" applyAlignment="1" applyProtection="1">
      <alignment horizontal="left" vertical="top" wrapText="1"/>
      <protection locked="0"/>
    </xf>
    <xf numFmtId="0" fontId="124" fillId="43" borderId="56" xfId="4496" applyFont="1" applyFill="1" applyBorder="1" applyAlignment="1" applyProtection="1">
      <alignment horizontal="left" vertical="top" wrapText="1"/>
      <protection locked="0"/>
    </xf>
    <xf numFmtId="0" fontId="26" fillId="0" borderId="0" xfId="4495" applyFont="1" applyAlignment="1">
      <alignment horizontal="center" vertical="top"/>
    </xf>
    <xf numFmtId="0" fontId="19" fillId="5" borderId="6" xfId="4495" applyFont="1" applyFill="1" applyBorder="1" applyAlignment="1" applyProtection="1">
      <alignment horizontal="left"/>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2" xfId="1192" applyNumberFormat="1" applyFill="1" applyBorder="1" applyAlignment="1" applyProtection="1">
      <alignment horizontal="center"/>
      <protection locked="0"/>
    </xf>
    <xf numFmtId="9" fontId="19" fillId="5" borderId="4" xfId="1192" applyNumberFormat="1" applyFill="1" applyBorder="1" applyAlignment="1" applyProtection="1">
      <alignment horizontal="left"/>
      <protection locked="0"/>
    </xf>
    <xf numFmtId="168" fontId="19" fillId="0" borderId="0" xfId="1192" applyNumberFormat="1" applyAlignment="1">
      <alignment horizontal="right"/>
    </xf>
    <xf numFmtId="1" fontId="19" fillId="5" borderId="4" xfId="1192" applyNumberFormat="1" applyFill="1" applyBorder="1" applyAlignment="1" applyProtection="1">
      <alignment horizontal="center"/>
      <protection locked="0"/>
    </xf>
    <xf numFmtId="0" fontId="144" fillId="0" borderId="6" xfId="1192" applyFont="1" applyBorder="1" applyAlignment="1">
      <alignment horizontal="center"/>
    </xf>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2"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2"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26" fillId="0" borderId="3" xfId="4495" applyFont="1" applyBorder="1" applyAlignment="1">
      <alignment horizontal="left"/>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9" fillId="0" borderId="6" xfId="1192" applyBorder="1" applyAlignment="1">
      <alignment horizontal="right"/>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168" fontId="19" fillId="0" borderId="6" xfId="1192" applyNumberFormat="1" applyBorder="1" applyAlignment="1">
      <alignment horizontal="right"/>
    </xf>
    <xf numFmtId="0" fontId="120" fillId="0" borderId="4" xfId="1192" applyFont="1" applyBorder="1" applyAlignment="1">
      <alignment horizontal="left"/>
    </xf>
    <xf numFmtId="168" fontId="19" fillId="43" borderId="6" xfId="543" applyNumberFormat="1" applyFill="1" applyBorder="1" applyAlignment="1" applyProtection="1">
      <alignment horizontal="center"/>
      <protection locked="0"/>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10" fontId="27" fillId="0" borderId="2" xfId="4495" applyNumberFormat="1" applyFont="1" applyBorder="1" applyAlignment="1">
      <alignment horizontal="center"/>
    </xf>
    <xf numFmtId="4" fontId="27" fillId="0" borderId="0" xfId="4495" applyNumberFormat="1" applyFont="1" applyAlignment="1">
      <alignment horizontal="center"/>
    </xf>
    <xf numFmtId="0" fontId="35" fillId="42" borderId="2" xfId="4495" applyFont="1" applyFill="1" applyBorder="1" applyAlignment="1">
      <alignment horizontal="center"/>
    </xf>
    <xf numFmtId="0" fontId="35" fillId="42" borderId="6" xfId="4495" applyFont="1" applyFill="1" applyBorder="1" applyAlignment="1">
      <alignment horizontal="center"/>
    </xf>
    <xf numFmtId="4" fontId="27" fillId="0" borderId="6" xfId="4495" applyNumberFormat="1" applyFont="1" applyBorder="1" applyAlignment="1">
      <alignment horizontal="center"/>
    </xf>
    <xf numFmtId="168" fontId="19" fillId="0" borderId="4" xfId="1192" applyNumberFormat="1" applyBorder="1" applyAlignment="1">
      <alignment horizontal="right"/>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4" fillId="0" borderId="0" xfId="1192" applyFont="1" applyAlignment="1">
      <alignment horizontal="center"/>
    </xf>
    <xf numFmtId="0" fontId="100" fillId="0" borderId="69" xfId="4496" applyFont="1" applyBorder="1" applyAlignment="1">
      <alignment horizontal="right"/>
    </xf>
    <xf numFmtId="0" fontId="100" fillId="0" borderId="70" xfId="4496" applyFont="1" applyBorder="1" applyAlignment="1">
      <alignment horizontal="right"/>
    </xf>
    <xf numFmtId="0" fontId="100" fillId="0" borderId="11" xfId="4496" applyFont="1" applyBorder="1"/>
    <xf numFmtId="0" fontId="100" fillId="0" borderId="76" xfId="4496" applyFont="1" applyBorder="1"/>
    <xf numFmtId="0" fontId="100" fillId="0" borderId="70" xfId="4496" applyFont="1" applyBorder="1"/>
    <xf numFmtId="0" fontId="100" fillId="0" borderId="77" xfId="4496" applyFont="1" applyBorder="1"/>
    <xf numFmtId="0" fontId="100" fillId="0" borderId="68" xfId="4496" applyFont="1" applyBorder="1"/>
    <xf numFmtId="0" fontId="100" fillId="0" borderId="71" xfId="4496" applyFont="1" applyBorder="1"/>
    <xf numFmtId="0" fontId="100" fillId="0" borderId="67" xfId="4496" applyFont="1" applyBorder="1" applyAlignment="1">
      <alignment horizontal="right"/>
    </xf>
    <xf numFmtId="0" fontId="100" fillId="0" borderId="68" xfId="4496" applyFont="1" applyBorder="1" applyAlignment="1">
      <alignment horizontal="right"/>
    </xf>
    <xf numFmtId="0" fontId="100" fillId="0" borderId="0" xfId="4496" applyFont="1" applyAlignment="1">
      <alignment horizontal="left" wrapText="1" indent="1"/>
    </xf>
    <xf numFmtId="49" fontId="138"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168" fontId="100" fillId="0" borderId="11" xfId="4499" applyNumberFormat="1" applyFont="1" applyFill="1" applyBorder="1" applyAlignment="1" applyProtection="1">
      <alignment horizontal="left" vertical="center" inden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9"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0" fontId="100" fillId="0" borderId="72" xfId="4496" applyFont="1" applyBorder="1" applyAlignment="1">
      <alignment horizontal="right"/>
    </xf>
    <xf numFmtId="0" fontId="100" fillId="0" borderId="11" xfId="4496" applyFont="1" applyBorder="1" applyAlignment="1">
      <alignment horizontal="right"/>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34078">
    <cellStyle name="20% - Accent1" xfId="1" builtinId="30" customBuiltin="1"/>
    <cellStyle name="20% - Accent1 10" xfId="4504" xr:uid="{00000000-0005-0000-0000-000001000000}"/>
    <cellStyle name="20% - Accent1 10 2" xfId="12954" xr:uid="{DC872D8A-678B-4577-A993-B42415196468}"/>
    <cellStyle name="20% - Accent1 10 3" xfId="21401" xr:uid="{340B05D5-D121-4586-9AC5-A97A4B2134D9}"/>
    <cellStyle name="20% - Accent1 10 4" xfId="29848" xr:uid="{AE5B1DFD-12A8-4095-B1C1-F19D9A222E68}"/>
    <cellStyle name="20% - Accent1 11" xfId="8736" xr:uid="{C906CC9C-843E-48EC-96EF-4E018C908D77}"/>
    <cellStyle name="20% - Accent1 12" xfId="17184" xr:uid="{AB56EA30-7424-446C-894A-9755D7694F4E}"/>
    <cellStyle name="20% - Accent1 13" xfId="25631" xr:uid="{235C1CA5-A233-4D2D-8329-D47843BBE99D}"/>
    <cellStyle name="20% - Accent1 2" xfId="2" xr:uid="{00000000-0005-0000-0000-000002000000}"/>
    <cellStyle name="20% - Accent1 2 10" xfId="8737" xr:uid="{6987FB81-52E3-4E7C-B838-53AD72A05DB5}"/>
    <cellStyle name="20% - Accent1 2 11" xfId="17185" xr:uid="{1A090076-8595-4DB0-AB90-7BEC878681E0}"/>
    <cellStyle name="20% - Accent1 2 12" xfId="25632" xr:uid="{58BE35FF-8679-4C5A-BBE6-A47B1117F397}"/>
    <cellStyle name="20% - Accent1 2 2" xfId="3" xr:uid="{00000000-0005-0000-0000-000003000000}"/>
    <cellStyle name="20% - Accent1 2 2 10" xfId="17186" xr:uid="{F7DA48AB-E80A-49E8-B914-FC768FF92AC1}"/>
    <cellStyle name="20% - Accent1 2 2 11" xfId="25633" xr:uid="{ED2AE438-C370-43BC-984F-B1B7CE9A31EA}"/>
    <cellStyle name="20% - Accent1 2 2 2" xfId="4" xr:uid="{00000000-0005-0000-0000-000004000000}"/>
    <cellStyle name="20% - Accent1 2 2 2 10" xfId="25634" xr:uid="{D425DAE7-460E-4510-942A-82C053AD93B7}"/>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08A7A3AD-D038-4424-92FD-2E19C64D5BDE}"/>
    <cellStyle name="20% - Accent1 2 2 2 2 2 2 3" xfId="23963" xr:uid="{7BAAE889-BCD2-46A2-8044-6D60D796ED08}"/>
    <cellStyle name="20% - Accent1 2 2 2 2 2 2 4" xfId="32410" xr:uid="{2A09A559-D3FF-4D53-82A5-9D2CAF2E2437}"/>
    <cellStyle name="20% - Accent1 2 2 2 2 2 3" xfId="11298" xr:uid="{E3157D95-3808-4382-81E9-4B3C16ACC14F}"/>
    <cellStyle name="20% - Accent1 2 2 2 2 2 4" xfId="19746" xr:uid="{03BD4BDD-D152-47EA-A038-FE74599099D3}"/>
    <cellStyle name="20% - Accent1 2 2 2 2 2 5" xfId="28193" xr:uid="{FBDEE88F-5830-4704-AC21-C2F6DCB63DBA}"/>
    <cellStyle name="20% - Accent1 2 2 2 2 3" xfId="4921" xr:uid="{00000000-0005-0000-0000-000008000000}"/>
    <cellStyle name="20% - Accent1 2 2 2 2 3 2" xfId="13371" xr:uid="{A5A62DA7-B819-4C89-89B6-7714B45552A4}"/>
    <cellStyle name="20% - Accent1 2 2 2 2 3 3" xfId="21818" xr:uid="{8859D031-793D-4411-B218-3733909AC1C8}"/>
    <cellStyle name="20% - Accent1 2 2 2 2 3 4" xfId="30265" xr:uid="{974013F8-2876-40FF-945A-FC39DE6F762C}"/>
    <cellStyle name="20% - Accent1 2 2 2 2 4" xfId="9153" xr:uid="{E18DA782-CCC4-4700-875B-2554CC4619E4}"/>
    <cellStyle name="20% - Accent1 2 2 2 2 5" xfId="17601" xr:uid="{3FC67B01-37B8-45D9-BE8F-164D71C1DA2B}"/>
    <cellStyle name="20% - Accent1 2 2 2 2 6" xfId="26048" xr:uid="{2A691882-6A05-4AA9-9F86-F9B6DD173FFB}"/>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5FCB6FA8-3D6D-4F1E-95EF-9D549A624585}"/>
    <cellStyle name="20% - Accent1 2 2 2 3 2 2 3" xfId="24376" xr:uid="{2B35E4C5-4530-4E63-8A87-5ED01E7477ED}"/>
    <cellStyle name="20% - Accent1 2 2 2 3 2 2 4" xfId="32823" xr:uid="{FA1C7723-7525-497A-82E0-53460D2A2050}"/>
    <cellStyle name="20% - Accent1 2 2 2 3 2 3" xfId="11711" xr:uid="{F2B1F35B-037D-4789-BC3A-19FF5793C267}"/>
    <cellStyle name="20% - Accent1 2 2 2 3 2 4" xfId="20159" xr:uid="{D16A98BF-AE19-462A-88BE-FC08AE169F34}"/>
    <cellStyle name="20% - Accent1 2 2 2 3 2 5" xfId="28606" xr:uid="{E889CE5C-EB8B-4486-8414-1D91B57117A9}"/>
    <cellStyle name="20% - Accent1 2 2 2 3 3" xfId="5334" xr:uid="{00000000-0005-0000-0000-00000C000000}"/>
    <cellStyle name="20% - Accent1 2 2 2 3 3 2" xfId="13784" xr:uid="{A6C13C96-0378-432E-9F8D-7E711CAFCABE}"/>
    <cellStyle name="20% - Accent1 2 2 2 3 3 3" xfId="22231" xr:uid="{414ABC0F-CA95-4DCD-B77F-0A927662294B}"/>
    <cellStyle name="20% - Accent1 2 2 2 3 3 4" xfId="30678" xr:uid="{EF4D9E86-1A88-4AB3-83BD-C2624639A565}"/>
    <cellStyle name="20% - Accent1 2 2 2 3 4" xfId="9566" xr:uid="{9915A511-EB34-4AB7-BC10-5D9DCE698459}"/>
    <cellStyle name="20% - Accent1 2 2 2 3 5" xfId="18014" xr:uid="{7449502B-35B4-4DCE-8330-E446C21AABDC}"/>
    <cellStyle name="20% - Accent1 2 2 2 3 6" xfId="26461" xr:uid="{B4EA427B-758E-48DF-9548-970B63363C01}"/>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AF2BA2B8-606D-4894-AA60-0AB38B6F42EA}"/>
    <cellStyle name="20% - Accent1 2 2 2 4 2 2 3" xfId="24789" xr:uid="{6740BA7E-9C3C-47EB-93DA-D46CFEF52D99}"/>
    <cellStyle name="20% - Accent1 2 2 2 4 2 2 4" xfId="33236" xr:uid="{BD3C23C7-3505-46A1-9395-FE0A90F9C1C7}"/>
    <cellStyle name="20% - Accent1 2 2 2 4 2 3" xfId="12124" xr:uid="{4DAF680F-28D7-4A82-BE4F-B56FA1EDA977}"/>
    <cellStyle name="20% - Accent1 2 2 2 4 2 4" xfId="20572" xr:uid="{C918F3C9-14AF-4D2C-A3E7-D6E4D48728BD}"/>
    <cellStyle name="20% - Accent1 2 2 2 4 2 5" xfId="29019" xr:uid="{F5C5CC78-E720-493D-B624-8CDDFA655D31}"/>
    <cellStyle name="20% - Accent1 2 2 2 4 3" xfId="5747" xr:uid="{00000000-0005-0000-0000-000010000000}"/>
    <cellStyle name="20% - Accent1 2 2 2 4 3 2" xfId="14197" xr:uid="{6BBC553F-8171-4761-ACEE-EB4EFBAFAEAE}"/>
    <cellStyle name="20% - Accent1 2 2 2 4 3 3" xfId="22644" xr:uid="{9B2D9FF5-B30C-4B64-A096-0EE9C16F09A4}"/>
    <cellStyle name="20% - Accent1 2 2 2 4 3 4" xfId="31091" xr:uid="{E922B93E-A383-4F16-8257-15964B5E4CFD}"/>
    <cellStyle name="20% - Accent1 2 2 2 4 4" xfId="9979" xr:uid="{B4698FC7-777A-4BFB-BEBB-A26EFED4ED73}"/>
    <cellStyle name="20% - Accent1 2 2 2 4 5" xfId="18427" xr:uid="{C45CC77E-E2D5-43B0-A951-0532E8C2194D}"/>
    <cellStyle name="20% - Accent1 2 2 2 4 6" xfId="26874" xr:uid="{4A4B5E6A-F1AB-4430-9E4D-49D91C78E2E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0C5FB09F-8217-43C8-B43D-3F63810DD68E}"/>
    <cellStyle name="20% - Accent1 2 2 2 5 2 2 3" xfId="25202" xr:uid="{A1F8757D-DC44-4DBF-8F71-DDC9400A614B}"/>
    <cellStyle name="20% - Accent1 2 2 2 5 2 2 4" xfId="33649" xr:uid="{C4A2E360-DC66-46C4-9A6B-95CA30ADBFF2}"/>
    <cellStyle name="20% - Accent1 2 2 2 5 2 3" xfId="12537" xr:uid="{AE315F50-D40D-46DE-BD8E-624E924F2B9D}"/>
    <cellStyle name="20% - Accent1 2 2 2 5 2 4" xfId="20985" xr:uid="{9BE1844D-FBC8-4BA5-9D4F-D4B3815E7A1E}"/>
    <cellStyle name="20% - Accent1 2 2 2 5 2 5" xfId="29432" xr:uid="{3721B741-1DAB-4739-AB88-19BA643B2E05}"/>
    <cellStyle name="20% - Accent1 2 2 2 5 3" xfId="6160" xr:uid="{00000000-0005-0000-0000-000014000000}"/>
    <cellStyle name="20% - Accent1 2 2 2 5 3 2" xfId="14610" xr:uid="{3408DB71-343E-4342-9D0F-D391BB350445}"/>
    <cellStyle name="20% - Accent1 2 2 2 5 3 3" xfId="23057" xr:uid="{75778299-86FA-41CF-869C-E7316B20700F}"/>
    <cellStyle name="20% - Accent1 2 2 2 5 3 4" xfId="31504" xr:uid="{8E09EF34-26FE-4888-A0AA-CA04560B67DD}"/>
    <cellStyle name="20% - Accent1 2 2 2 5 4" xfId="10392" xr:uid="{BBC9C222-4391-4C97-9568-80A0256AC899}"/>
    <cellStyle name="20% - Accent1 2 2 2 5 5" xfId="18840" xr:uid="{57EDD0F8-C9C3-4EAC-9638-5928BAD2EBC8}"/>
    <cellStyle name="20% - Accent1 2 2 2 5 6" xfId="27287" xr:uid="{022ECC61-C9A2-475D-885E-BF593EB4A088}"/>
    <cellStyle name="20% - Accent1 2 2 2 6" xfId="2267" xr:uid="{00000000-0005-0000-0000-000015000000}"/>
    <cellStyle name="20% - Accent1 2 2 2 6 2" xfId="6573" xr:uid="{00000000-0005-0000-0000-000016000000}"/>
    <cellStyle name="20% - Accent1 2 2 2 6 2 2" xfId="15023" xr:uid="{445F45E8-0924-4D0E-A42E-1AB5ED688064}"/>
    <cellStyle name="20% - Accent1 2 2 2 6 2 3" xfId="23470" xr:uid="{A032F993-B493-4785-87AB-9B20E55E187D}"/>
    <cellStyle name="20% - Accent1 2 2 2 6 2 4" xfId="31917" xr:uid="{AD2D5A30-A249-4448-ABCC-67AE99EFF070}"/>
    <cellStyle name="20% - Accent1 2 2 2 6 3" xfId="10805" xr:uid="{6A5B3C47-EA07-4508-9EDE-ADB45F904B01}"/>
    <cellStyle name="20% - Accent1 2 2 2 6 4" xfId="19253" xr:uid="{B22522CA-B20E-4751-AC0D-3A409636B566}"/>
    <cellStyle name="20% - Accent1 2 2 2 6 5" xfId="27700" xr:uid="{79D719FE-F3A5-4518-ABCC-A0458ED9EED1}"/>
    <cellStyle name="20% - Accent1 2 2 2 7" xfId="4507" xr:uid="{00000000-0005-0000-0000-000017000000}"/>
    <cellStyle name="20% - Accent1 2 2 2 7 2" xfId="12957" xr:uid="{171714BB-5CEB-4BA7-AA76-F852E225017D}"/>
    <cellStyle name="20% - Accent1 2 2 2 7 3" xfId="21404" xr:uid="{DFD26E84-64EC-4326-9DC0-E04533974F6B}"/>
    <cellStyle name="20% - Accent1 2 2 2 7 4" xfId="29851" xr:uid="{E6067B24-E047-487E-972F-B23EFDF6080C}"/>
    <cellStyle name="20% - Accent1 2 2 2 8" xfId="8739" xr:uid="{DB0C5EC9-2F11-4DEC-9EED-06C7392431E7}"/>
    <cellStyle name="20% - Accent1 2 2 2 9" xfId="17187" xr:uid="{1EDFDB38-A743-4A76-9485-201FC673C64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238B2CFC-E2C6-4367-858D-AD5B4B15D6D3}"/>
    <cellStyle name="20% - Accent1 2 2 3 2 2 3" xfId="23962" xr:uid="{A9487D0B-2731-4BA8-896B-2D99C8A59358}"/>
    <cellStyle name="20% - Accent1 2 2 3 2 2 4" xfId="32409" xr:uid="{1ADA63EB-E3AA-46CE-BAD9-EE19369A378B}"/>
    <cellStyle name="20% - Accent1 2 2 3 2 3" xfId="11297" xr:uid="{828A61BF-D406-4917-8C2F-D05EBF545975}"/>
    <cellStyle name="20% - Accent1 2 2 3 2 4" xfId="19745" xr:uid="{C1D332BF-34D4-49AA-BDFF-D086670878AA}"/>
    <cellStyle name="20% - Accent1 2 2 3 2 5" xfId="28192" xr:uid="{5FD0A355-7AE7-4E04-A535-ADC7A91360E8}"/>
    <cellStyle name="20% - Accent1 2 2 3 3" xfId="4920" xr:uid="{00000000-0005-0000-0000-00001B000000}"/>
    <cellStyle name="20% - Accent1 2 2 3 3 2" xfId="13370" xr:uid="{C16DD7C8-AE7B-482E-8EF9-27579F5D028F}"/>
    <cellStyle name="20% - Accent1 2 2 3 3 3" xfId="21817" xr:uid="{578E624D-F04C-46E7-AF0D-F44E2F0518C9}"/>
    <cellStyle name="20% - Accent1 2 2 3 3 4" xfId="30264" xr:uid="{E3EFA817-5489-4D9A-8C9D-10551701FBCF}"/>
    <cellStyle name="20% - Accent1 2 2 3 4" xfId="9152" xr:uid="{17BD2A22-755D-4CBE-A2D3-AF5E714C7215}"/>
    <cellStyle name="20% - Accent1 2 2 3 5" xfId="17600" xr:uid="{430BABA7-7EBD-4562-98EC-BF1819A85EA2}"/>
    <cellStyle name="20% - Accent1 2 2 3 6" xfId="26047" xr:uid="{E75A6AFF-66BC-4491-BEB2-75D9DF60883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A88F5035-881A-497D-AAA3-1210430E6FBB}"/>
    <cellStyle name="20% - Accent1 2 2 4 2 2 3" xfId="24375" xr:uid="{722FA55A-43FC-4134-8493-A6CB5F68F58D}"/>
    <cellStyle name="20% - Accent1 2 2 4 2 2 4" xfId="32822" xr:uid="{628BB7F7-7784-4901-829B-EFC832821E6D}"/>
    <cellStyle name="20% - Accent1 2 2 4 2 3" xfId="11710" xr:uid="{121C2B56-1229-4C9B-82C0-1BE3E7B653A3}"/>
    <cellStyle name="20% - Accent1 2 2 4 2 4" xfId="20158" xr:uid="{64216940-0CB2-415C-986D-3B0B6CE2FD4E}"/>
    <cellStyle name="20% - Accent1 2 2 4 2 5" xfId="28605" xr:uid="{3BDFDA5A-DCC8-4D65-8782-B5717F8EEF30}"/>
    <cellStyle name="20% - Accent1 2 2 4 3" xfId="5333" xr:uid="{00000000-0005-0000-0000-00001F000000}"/>
    <cellStyle name="20% - Accent1 2 2 4 3 2" xfId="13783" xr:uid="{1EC6E4C9-CCC2-4BE9-B0B5-35FD9A43DA02}"/>
    <cellStyle name="20% - Accent1 2 2 4 3 3" xfId="22230" xr:uid="{C36F2D72-78EC-4C2A-998A-F81934E57543}"/>
    <cellStyle name="20% - Accent1 2 2 4 3 4" xfId="30677" xr:uid="{D0B40D2D-6A5D-4C18-95D2-B5E2A3667282}"/>
    <cellStyle name="20% - Accent1 2 2 4 4" xfId="9565" xr:uid="{903CA36D-2DEA-45A3-BCA8-A52322B34B8C}"/>
    <cellStyle name="20% - Accent1 2 2 4 5" xfId="18013" xr:uid="{77EF5746-0521-404E-8928-517E0E51B7A6}"/>
    <cellStyle name="20% - Accent1 2 2 4 6" xfId="26460" xr:uid="{9E07BF13-CDA3-423B-9AA7-7F22D58A42E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A81A81C2-9958-4371-9DD1-3C4FAA5E9C91}"/>
    <cellStyle name="20% - Accent1 2 2 5 2 2 3" xfId="24788" xr:uid="{B5D25C44-69C2-4436-A69D-04FC69621DE4}"/>
    <cellStyle name="20% - Accent1 2 2 5 2 2 4" xfId="33235" xr:uid="{2AA673B0-CED7-4ABF-94FA-C3AE26EBC08F}"/>
    <cellStyle name="20% - Accent1 2 2 5 2 3" xfId="12123" xr:uid="{FC456E9F-3D39-4625-8BD5-94F481038B2D}"/>
    <cellStyle name="20% - Accent1 2 2 5 2 4" xfId="20571" xr:uid="{E43BD1F8-7492-4DEB-B6F7-C55B1569EAAD}"/>
    <cellStyle name="20% - Accent1 2 2 5 2 5" xfId="29018" xr:uid="{26D20B4B-38E9-44A7-BCBD-C086F3EF865C}"/>
    <cellStyle name="20% - Accent1 2 2 5 3" xfId="5746" xr:uid="{00000000-0005-0000-0000-000023000000}"/>
    <cellStyle name="20% - Accent1 2 2 5 3 2" xfId="14196" xr:uid="{90ADE295-9DA2-4862-A3EA-712E87A3F310}"/>
    <cellStyle name="20% - Accent1 2 2 5 3 3" xfId="22643" xr:uid="{7E48360D-CEF4-4D78-ABB3-36986AD96503}"/>
    <cellStyle name="20% - Accent1 2 2 5 3 4" xfId="31090" xr:uid="{12A1A4B9-C806-4367-8D4D-B8821197C938}"/>
    <cellStyle name="20% - Accent1 2 2 5 4" xfId="9978" xr:uid="{1160C001-0977-4DC7-AEF2-9C5306DA8AF8}"/>
    <cellStyle name="20% - Accent1 2 2 5 5" xfId="18426" xr:uid="{F87E70D6-27E1-49FE-BCCA-976946D0DA87}"/>
    <cellStyle name="20% - Accent1 2 2 5 6" xfId="26873" xr:uid="{8E03812F-8216-4134-8E85-41FE22C953EE}"/>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716D762C-96BB-4406-8913-B639C505A16E}"/>
    <cellStyle name="20% - Accent1 2 2 6 2 2 3" xfId="25201" xr:uid="{FA2F3989-E0DD-4A9F-9A01-5253399821B5}"/>
    <cellStyle name="20% - Accent1 2 2 6 2 2 4" xfId="33648" xr:uid="{BE59786B-A480-4577-85B1-912819FDBECF}"/>
    <cellStyle name="20% - Accent1 2 2 6 2 3" xfId="12536" xr:uid="{D7DEF5FC-EC9A-487C-A259-BF2F716EE66A}"/>
    <cellStyle name="20% - Accent1 2 2 6 2 4" xfId="20984" xr:uid="{9989D3A1-A72A-4085-8696-5F2D5F757631}"/>
    <cellStyle name="20% - Accent1 2 2 6 2 5" xfId="29431" xr:uid="{29997DCA-481D-43F2-9FB7-7E08682FAFDD}"/>
    <cellStyle name="20% - Accent1 2 2 6 3" xfId="6159" xr:uid="{00000000-0005-0000-0000-000027000000}"/>
    <cellStyle name="20% - Accent1 2 2 6 3 2" xfId="14609" xr:uid="{19C2E882-DAC3-4C96-9EFC-C53906279436}"/>
    <cellStyle name="20% - Accent1 2 2 6 3 3" xfId="23056" xr:uid="{61FBE28B-1ECE-42E6-A424-84E47BDEAA38}"/>
    <cellStyle name="20% - Accent1 2 2 6 3 4" xfId="31503" xr:uid="{66AA1C90-6A2B-4BDB-88BD-8878610E3778}"/>
    <cellStyle name="20% - Accent1 2 2 6 4" xfId="10391" xr:uid="{FDC5E91F-A5D7-4A69-BA2E-CF32FB3FF3A9}"/>
    <cellStyle name="20% - Accent1 2 2 6 5" xfId="18839" xr:uid="{D8FE7E14-7560-48E5-8C61-A18FAABD6DFC}"/>
    <cellStyle name="20% - Accent1 2 2 6 6" xfId="27286" xr:uid="{F52A723E-1417-4C13-92B9-546BE5B85D63}"/>
    <cellStyle name="20% - Accent1 2 2 7" xfId="2266" xr:uid="{00000000-0005-0000-0000-000028000000}"/>
    <cellStyle name="20% - Accent1 2 2 7 2" xfId="6572" xr:uid="{00000000-0005-0000-0000-000029000000}"/>
    <cellStyle name="20% - Accent1 2 2 7 2 2" xfId="15022" xr:uid="{3044703A-05E9-4393-8544-CFFD2677303B}"/>
    <cellStyle name="20% - Accent1 2 2 7 2 3" xfId="23469" xr:uid="{574CF7EB-55B8-4DD7-B020-0C50BBF3A552}"/>
    <cellStyle name="20% - Accent1 2 2 7 2 4" xfId="31916" xr:uid="{76B1E4D1-A17E-40DD-85A6-3291F5B5B6A3}"/>
    <cellStyle name="20% - Accent1 2 2 7 3" xfId="10804" xr:uid="{7EF0B8B2-EC01-47D0-943B-9BFAAC4B115B}"/>
    <cellStyle name="20% - Accent1 2 2 7 4" xfId="19252" xr:uid="{94D2C4C9-7946-46C3-A7A4-78D2C6B3615C}"/>
    <cellStyle name="20% - Accent1 2 2 7 5" xfId="27699" xr:uid="{8FDF70AE-D858-440D-A7F0-D77D4F5C3462}"/>
    <cellStyle name="20% - Accent1 2 2 8" xfId="4506" xr:uid="{00000000-0005-0000-0000-00002A000000}"/>
    <cellStyle name="20% - Accent1 2 2 8 2" xfId="12956" xr:uid="{4AA13856-CEB1-488E-B92B-CCFB4694039E}"/>
    <cellStyle name="20% - Accent1 2 2 8 3" xfId="21403" xr:uid="{CCA8E95D-A934-4488-984D-AB66DA3E12DA}"/>
    <cellStyle name="20% - Accent1 2 2 8 4" xfId="29850" xr:uid="{1B1AE7FC-D610-43C7-BC1A-9C08588D3FE8}"/>
    <cellStyle name="20% - Accent1 2 2 9" xfId="8738" xr:uid="{474FD303-C068-4180-BDDB-826236595B0A}"/>
    <cellStyle name="20% - Accent1 2 3" xfId="5" xr:uid="{00000000-0005-0000-0000-00002B000000}"/>
    <cellStyle name="20% - Accent1 2 3 10" xfId="25635" xr:uid="{4C920061-D492-46F7-B1AA-0E9227C0CF81}"/>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77F17317-785E-4990-BCB5-550C03EC1CD7}"/>
    <cellStyle name="20% - Accent1 2 3 2 2 2 3" xfId="23964" xr:uid="{B6732FFF-26AE-45FD-9C80-BBC66933C537}"/>
    <cellStyle name="20% - Accent1 2 3 2 2 2 4" xfId="32411" xr:uid="{F8DA5FE2-E883-443B-97D6-46791099EC07}"/>
    <cellStyle name="20% - Accent1 2 3 2 2 3" xfId="11299" xr:uid="{B68A9185-7DCC-407E-A979-E3BDE0E046B4}"/>
    <cellStyle name="20% - Accent1 2 3 2 2 4" xfId="19747" xr:uid="{6F9FE9B4-D6B6-4794-BB8B-F74E8B4CEE03}"/>
    <cellStyle name="20% - Accent1 2 3 2 2 5" xfId="28194" xr:uid="{ECB1696F-F43D-4C35-9671-639CA40788DE}"/>
    <cellStyle name="20% - Accent1 2 3 2 3" xfId="4922" xr:uid="{00000000-0005-0000-0000-00002F000000}"/>
    <cellStyle name="20% - Accent1 2 3 2 3 2" xfId="13372" xr:uid="{D5C56F5A-DC4D-4B34-B8DE-DF2AD4AE034C}"/>
    <cellStyle name="20% - Accent1 2 3 2 3 3" xfId="21819" xr:uid="{7B310E6D-7167-4AA1-B308-A9871012F49C}"/>
    <cellStyle name="20% - Accent1 2 3 2 3 4" xfId="30266" xr:uid="{5D7504F8-72AC-4B5C-8BB5-8DFA520274C1}"/>
    <cellStyle name="20% - Accent1 2 3 2 4" xfId="9154" xr:uid="{E333D1C3-CCA7-4CD1-A557-5ECF012F1C78}"/>
    <cellStyle name="20% - Accent1 2 3 2 5" xfId="17602" xr:uid="{FC3BF149-0C03-46FA-B3BD-5857ABCC30E3}"/>
    <cellStyle name="20% - Accent1 2 3 2 6" xfId="26049" xr:uid="{FFDCE5D1-404F-47D0-AE40-BE26CACDF8A1}"/>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20D93336-5D2B-4062-8F4F-498DFB999213}"/>
    <cellStyle name="20% - Accent1 2 3 3 2 2 3" xfId="24377" xr:uid="{EDBDBB12-89F3-4119-80A8-35EA1CDD536D}"/>
    <cellStyle name="20% - Accent1 2 3 3 2 2 4" xfId="32824" xr:uid="{4F596FD3-794C-4092-8B8A-79625CEE73F5}"/>
    <cellStyle name="20% - Accent1 2 3 3 2 3" xfId="11712" xr:uid="{2EB78AE9-605A-46DE-A167-A4C5642D4E5D}"/>
    <cellStyle name="20% - Accent1 2 3 3 2 4" xfId="20160" xr:uid="{96ED1E99-3FD7-41CB-BAFB-CB3B94D65555}"/>
    <cellStyle name="20% - Accent1 2 3 3 2 5" xfId="28607" xr:uid="{28A316AB-B8A5-4A5D-A89E-DF92AF55510C}"/>
    <cellStyle name="20% - Accent1 2 3 3 3" xfId="5335" xr:uid="{00000000-0005-0000-0000-000033000000}"/>
    <cellStyle name="20% - Accent1 2 3 3 3 2" xfId="13785" xr:uid="{3CB2792F-E44E-4ACA-B3C4-701FBD625440}"/>
    <cellStyle name="20% - Accent1 2 3 3 3 3" xfId="22232" xr:uid="{F14D4DEE-CC3E-473D-BEEF-17EAB9158193}"/>
    <cellStyle name="20% - Accent1 2 3 3 3 4" xfId="30679" xr:uid="{8273D733-0A44-4710-906D-C1D5C9CAC553}"/>
    <cellStyle name="20% - Accent1 2 3 3 4" xfId="9567" xr:uid="{261FFDE5-BDF3-4AA5-8349-7A4E84686235}"/>
    <cellStyle name="20% - Accent1 2 3 3 5" xfId="18015" xr:uid="{65F65BC3-2518-4FC9-AF73-442577A6D588}"/>
    <cellStyle name="20% - Accent1 2 3 3 6" xfId="26462" xr:uid="{31722543-7DEE-4A5C-9685-EB2416A47B6B}"/>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BF1E4B36-E496-446F-BCB2-765B0EE4DBCF}"/>
    <cellStyle name="20% - Accent1 2 3 4 2 2 3" xfId="24790" xr:uid="{743B9030-633F-477E-8959-AE7C33E5AACB}"/>
    <cellStyle name="20% - Accent1 2 3 4 2 2 4" xfId="33237" xr:uid="{EC9387E8-37B3-45C0-994B-D6B3D362F575}"/>
    <cellStyle name="20% - Accent1 2 3 4 2 3" xfId="12125" xr:uid="{39AD3BEC-32F8-4CAB-87DE-4437A1B2DA32}"/>
    <cellStyle name="20% - Accent1 2 3 4 2 4" xfId="20573" xr:uid="{76FCE4D5-8863-4A4A-8FCD-D7918D6D0D3D}"/>
    <cellStyle name="20% - Accent1 2 3 4 2 5" xfId="29020" xr:uid="{233B2464-098E-41AC-95B5-BDAB74A6D671}"/>
    <cellStyle name="20% - Accent1 2 3 4 3" xfId="5748" xr:uid="{00000000-0005-0000-0000-000037000000}"/>
    <cellStyle name="20% - Accent1 2 3 4 3 2" xfId="14198" xr:uid="{84EC9A01-5074-44DB-8C9A-36A19278A1F6}"/>
    <cellStyle name="20% - Accent1 2 3 4 3 3" xfId="22645" xr:uid="{F106AEA6-3AE9-4835-82FD-C47B57E56A0C}"/>
    <cellStyle name="20% - Accent1 2 3 4 3 4" xfId="31092" xr:uid="{5395E1F8-A09D-42A1-88FA-BC3B053EB28C}"/>
    <cellStyle name="20% - Accent1 2 3 4 4" xfId="9980" xr:uid="{B991C939-8BC2-41E6-BBFE-CEF79BF3CB6D}"/>
    <cellStyle name="20% - Accent1 2 3 4 5" xfId="18428" xr:uid="{21161B34-2121-4EB5-8525-905D47FAAF3C}"/>
    <cellStyle name="20% - Accent1 2 3 4 6" xfId="26875" xr:uid="{63310111-A72B-4E81-AC13-AA6EF3D41AD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2F7E50C8-846C-4DDC-A555-DF563800AB5B}"/>
    <cellStyle name="20% - Accent1 2 3 5 2 2 3" xfId="25203" xr:uid="{F37DBB7A-8B6D-4F77-BFB7-27CAD5BFF85E}"/>
    <cellStyle name="20% - Accent1 2 3 5 2 2 4" xfId="33650" xr:uid="{92BD40C2-4E9F-413F-AE49-6287D1E07A33}"/>
    <cellStyle name="20% - Accent1 2 3 5 2 3" xfId="12538" xr:uid="{67F29692-620E-4B40-B98D-08BD48697867}"/>
    <cellStyle name="20% - Accent1 2 3 5 2 4" xfId="20986" xr:uid="{8848AFB8-EFF5-42C1-9CCC-5AE54CB38DC4}"/>
    <cellStyle name="20% - Accent1 2 3 5 2 5" xfId="29433" xr:uid="{ED726239-3F63-4362-A0E8-9CE80D1C0D4E}"/>
    <cellStyle name="20% - Accent1 2 3 5 3" xfId="6161" xr:uid="{00000000-0005-0000-0000-00003B000000}"/>
    <cellStyle name="20% - Accent1 2 3 5 3 2" xfId="14611" xr:uid="{A0194E44-142D-4F13-A812-E6677780D2B1}"/>
    <cellStyle name="20% - Accent1 2 3 5 3 3" xfId="23058" xr:uid="{AB1F4271-0A27-407C-BFA8-2E796C96CADD}"/>
    <cellStyle name="20% - Accent1 2 3 5 3 4" xfId="31505" xr:uid="{E4DC5638-BB7D-4DC5-A52A-4D3FAC302AE9}"/>
    <cellStyle name="20% - Accent1 2 3 5 4" xfId="10393" xr:uid="{FC3FA358-10B5-40DC-A824-B266B34BD7C9}"/>
    <cellStyle name="20% - Accent1 2 3 5 5" xfId="18841" xr:uid="{85976922-A350-4B1E-A202-D6F2A07D5006}"/>
    <cellStyle name="20% - Accent1 2 3 5 6" xfId="27288" xr:uid="{8C1B9E53-EE01-4DDE-A140-6C5A501C65AB}"/>
    <cellStyle name="20% - Accent1 2 3 6" xfId="2268" xr:uid="{00000000-0005-0000-0000-00003C000000}"/>
    <cellStyle name="20% - Accent1 2 3 6 2" xfId="6574" xr:uid="{00000000-0005-0000-0000-00003D000000}"/>
    <cellStyle name="20% - Accent1 2 3 6 2 2" xfId="15024" xr:uid="{4C80495D-5DEF-4BFB-A052-B92851741F35}"/>
    <cellStyle name="20% - Accent1 2 3 6 2 3" xfId="23471" xr:uid="{62A74DCE-BCF5-4598-AA59-03916FB724D5}"/>
    <cellStyle name="20% - Accent1 2 3 6 2 4" xfId="31918" xr:uid="{E1238590-28E1-41EB-BDC6-40B5DA00BC85}"/>
    <cellStyle name="20% - Accent1 2 3 6 3" xfId="10806" xr:uid="{DF371C91-1DC3-48A8-9104-C9F787E4CC9E}"/>
    <cellStyle name="20% - Accent1 2 3 6 4" xfId="19254" xr:uid="{D98F1F5D-1F40-4DC5-818A-DE710DF72BF0}"/>
    <cellStyle name="20% - Accent1 2 3 6 5" xfId="27701" xr:uid="{9291DB5C-EE13-4F91-86B4-B0D887A5A77B}"/>
    <cellStyle name="20% - Accent1 2 3 7" xfId="4508" xr:uid="{00000000-0005-0000-0000-00003E000000}"/>
    <cellStyle name="20% - Accent1 2 3 7 2" xfId="12958" xr:uid="{CDF797AB-0BD9-4395-A49D-94AD299C39CA}"/>
    <cellStyle name="20% - Accent1 2 3 7 3" xfId="21405" xr:uid="{862ED073-0676-44F9-A19D-2ECD329902B0}"/>
    <cellStyle name="20% - Accent1 2 3 7 4" xfId="29852" xr:uid="{9B0237E8-34DF-4192-B3EC-FF3965C2931C}"/>
    <cellStyle name="20% - Accent1 2 3 8" xfId="8740" xr:uid="{66F448B4-4479-47F2-94E8-F30E7986F765}"/>
    <cellStyle name="20% - Accent1 2 3 9" xfId="17188" xr:uid="{4AC83151-7BCB-4971-B309-FE47A832AC78}"/>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E3334D90-ED79-48C0-A512-26F84C3A4F50}"/>
    <cellStyle name="20% - Accent1 2 4 2 2 3" xfId="23961" xr:uid="{27958D0F-47BE-4602-8070-4718F9FB7D6D}"/>
    <cellStyle name="20% - Accent1 2 4 2 2 4" xfId="32408" xr:uid="{DD74602B-13DA-4B39-AF46-48681A8165EE}"/>
    <cellStyle name="20% - Accent1 2 4 2 3" xfId="11296" xr:uid="{3A51B617-5669-43C5-8AF5-1E41C8BF7887}"/>
    <cellStyle name="20% - Accent1 2 4 2 4" xfId="19744" xr:uid="{3303183E-4804-44BD-9059-54A5AB434B27}"/>
    <cellStyle name="20% - Accent1 2 4 2 5" xfId="28191" xr:uid="{BCCB1AC0-1122-4A04-BB52-7AE6F9AC6908}"/>
    <cellStyle name="20% - Accent1 2 4 3" xfId="4919" xr:uid="{00000000-0005-0000-0000-000042000000}"/>
    <cellStyle name="20% - Accent1 2 4 3 2" xfId="13369" xr:uid="{35E2EA19-20BB-476F-B30D-AABEC69ED644}"/>
    <cellStyle name="20% - Accent1 2 4 3 3" xfId="21816" xr:uid="{AB9B3E7E-951A-4566-B8BC-E6F6878B7EEC}"/>
    <cellStyle name="20% - Accent1 2 4 3 4" xfId="30263" xr:uid="{64ABD19E-234F-4462-AADA-30E7AF224668}"/>
    <cellStyle name="20% - Accent1 2 4 4" xfId="9151" xr:uid="{43F12442-9AB3-4E77-B8C9-FCB115B2DD88}"/>
    <cellStyle name="20% - Accent1 2 4 5" xfId="17599" xr:uid="{DC1922CE-E24D-4385-AF19-06FE1237203E}"/>
    <cellStyle name="20% - Accent1 2 4 6" xfId="26046" xr:uid="{0AB36670-223C-4FF0-8302-50FEAFDCB28A}"/>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180F4040-EC58-41F2-B995-05CB50CD9916}"/>
    <cellStyle name="20% - Accent1 2 5 2 2 3" xfId="24374" xr:uid="{4F1A4830-79AB-415E-BE3A-D0FCF2512BC0}"/>
    <cellStyle name="20% - Accent1 2 5 2 2 4" xfId="32821" xr:uid="{7E704525-C78E-426D-B852-E9068F8F892B}"/>
    <cellStyle name="20% - Accent1 2 5 2 3" xfId="11709" xr:uid="{C82DB818-FE73-4C87-B805-E5AD5C27ED5B}"/>
    <cellStyle name="20% - Accent1 2 5 2 4" xfId="20157" xr:uid="{D8C02FEE-32D8-437F-ADD1-EEAC3D6F4C8C}"/>
    <cellStyle name="20% - Accent1 2 5 2 5" xfId="28604" xr:uid="{2A73C3BF-4F96-4EDE-8261-E1CCF9C0C492}"/>
    <cellStyle name="20% - Accent1 2 5 3" xfId="5332" xr:uid="{00000000-0005-0000-0000-000046000000}"/>
    <cellStyle name="20% - Accent1 2 5 3 2" xfId="13782" xr:uid="{313CA7DF-D9C1-4192-A77E-5C4CF5BF231E}"/>
    <cellStyle name="20% - Accent1 2 5 3 3" xfId="22229" xr:uid="{EC206247-84AC-4527-8FCF-517B6849490B}"/>
    <cellStyle name="20% - Accent1 2 5 3 4" xfId="30676" xr:uid="{D7CA731D-DFAC-497B-999C-8BC3712B88FA}"/>
    <cellStyle name="20% - Accent1 2 5 4" xfId="9564" xr:uid="{356C5A9F-38D9-44E0-92B0-1436F7B49F3A}"/>
    <cellStyle name="20% - Accent1 2 5 5" xfId="18012" xr:uid="{D20730D6-94CD-4710-AEAD-700C472AAADD}"/>
    <cellStyle name="20% - Accent1 2 5 6" xfId="26459" xr:uid="{CDE906CC-9DAD-495B-8095-B9852D6BEF76}"/>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A44FD5B9-BA9C-4595-B73D-7688C49EF8B6}"/>
    <cellStyle name="20% - Accent1 2 6 2 2 3" xfId="24787" xr:uid="{C5EBE0AB-3A1C-4494-ADF1-007A20869B3A}"/>
    <cellStyle name="20% - Accent1 2 6 2 2 4" xfId="33234" xr:uid="{564FD103-9E7B-4E17-B9A8-288CA7FD80FF}"/>
    <cellStyle name="20% - Accent1 2 6 2 3" xfId="12122" xr:uid="{1D8B1DB7-B2F6-4700-84DD-96B3C87253F9}"/>
    <cellStyle name="20% - Accent1 2 6 2 4" xfId="20570" xr:uid="{F8F05279-C045-4417-ADFD-C87EFC7C461B}"/>
    <cellStyle name="20% - Accent1 2 6 2 5" xfId="29017" xr:uid="{BFFBC617-5E95-48F9-B469-E1577CCFE68B}"/>
    <cellStyle name="20% - Accent1 2 6 3" xfId="5745" xr:uid="{00000000-0005-0000-0000-00004A000000}"/>
    <cellStyle name="20% - Accent1 2 6 3 2" xfId="14195" xr:uid="{67F26898-F87C-4DA9-B3AF-EF77996E5F73}"/>
    <cellStyle name="20% - Accent1 2 6 3 3" xfId="22642" xr:uid="{7F289E3D-6A4A-4B00-840F-8C5C23B87F81}"/>
    <cellStyle name="20% - Accent1 2 6 3 4" xfId="31089" xr:uid="{75D5A103-4B36-4342-9300-965472DE4023}"/>
    <cellStyle name="20% - Accent1 2 6 4" xfId="9977" xr:uid="{64E295A6-5B9E-446D-9003-A3125B5EBA90}"/>
    <cellStyle name="20% - Accent1 2 6 5" xfId="18425" xr:uid="{D7FC0A0F-CA2A-4BB9-9739-96934DEB31FD}"/>
    <cellStyle name="20% - Accent1 2 6 6" xfId="26872" xr:uid="{275D83A2-FA4B-432D-ABA8-BB3C4DFD04D8}"/>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B7435A75-7808-4A62-B2F2-8D8E548F2E06}"/>
    <cellStyle name="20% - Accent1 2 7 2 2 3" xfId="25200" xr:uid="{A42AAC96-10B3-478E-B623-E8803F6B303D}"/>
    <cellStyle name="20% - Accent1 2 7 2 2 4" xfId="33647" xr:uid="{B77875EA-3B57-4728-9F1D-60C40BE4826C}"/>
    <cellStyle name="20% - Accent1 2 7 2 3" xfId="12535" xr:uid="{C94FF5D5-2615-477E-9904-402A7D21FE23}"/>
    <cellStyle name="20% - Accent1 2 7 2 4" xfId="20983" xr:uid="{0702DE42-3198-420A-8579-BBDB92F33B91}"/>
    <cellStyle name="20% - Accent1 2 7 2 5" xfId="29430" xr:uid="{C8FA7DD0-11CD-438E-9F90-3EF9D66CCAC4}"/>
    <cellStyle name="20% - Accent1 2 7 3" xfId="6158" xr:uid="{00000000-0005-0000-0000-00004E000000}"/>
    <cellStyle name="20% - Accent1 2 7 3 2" xfId="14608" xr:uid="{448100AF-80A3-4165-B2CF-CD79801CA3C7}"/>
    <cellStyle name="20% - Accent1 2 7 3 3" xfId="23055" xr:uid="{E52C14C5-3094-4170-9148-A41CC24B8F02}"/>
    <cellStyle name="20% - Accent1 2 7 3 4" xfId="31502" xr:uid="{AEC89FF9-5D82-451A-90E0-12B2621AD545}"/>
    <cellStyle name="20% - Accent1 2 7 4" xfId="10390" xr:uid="{73933F39-68B8-4EDC-A333-273F49FCC181}"/>
    <cellStyle name="20% - Accent1 2 7 5" xfId="18838" xr:uid="{25581491-53C8-4872-A11C-A43328DB3DC0}"/>
    <cellStyle name="20% - Accent1 2 7 6" xfId="27285" xr:uid="{179BCBCC-0056-4443-AB03-320C00D3FFD0}"/>
    <cellStyle name="20% - Accent1 2 8" xfId="2265" xr:uid="{00000000-0005-0000-0000-00004F000000}"/>
    <cellStyle name="20% - Accent1 2 8 2" xfId="6571" xr:uid="{00000000-0005-0000-0000-000050000000}"/>
    <cellStyle name="20% - Accent1 2 8 2 2" xfId="15021" xr:uid="{284A8948-A27F-43F9-BDC8-9D74D7D3E3DF}"/>
    <cellStyle name="20% - Accent1 2 8 2 3" xfId="23468" xr:uid="{606F4166-D6DD-4FB5-A0CA-01CE85529A0E}"/>
    <cellStyle name="20% - Accent1 2 8 2 4" xfId="31915" xr:uid="{0672928D-CBE3-46A2-B070-318A1954A920}"/>
    <cellStyle name="20% - Accent1 2 8 3" xfId="10803" xr:uid="{B79A5596-7E34-4C73-8CE0-DDAA0C59524D}"/>
    <cellStyle name="20% - Accent1 2 8 4" xfId="19251" xr:uid="{95A2489B-CB44-4716-89ED-45B3FB837D5C}"/>
    <cellStyle name="20% - Accent1 2 8 5" xfId="27698" xr:uid="{4D364923-E5E2-4B21-85A6-0AD6CE575F08}"/>
    <cellStyle name="20% - Accent1 2 9" xfId="4505" xr:uid="{00000000-0005-0000-0000-000051000000}"/>
    <cellStyle name="20% - Accent1 2 9 2" xfId="12955" xr:uid="{8BF978C1-BA1C-4153-9553-9DF93B23B941}"/>
    <cellStyle name="20% - Accent1 2 9 3" xfId="21402" xr:uid="{33585713-05A3-4201-8958-519B885F4CC0}"/>
    <cellStyle name="20% - Accent1 2 9 4" xfId="29849" xr:uid="{DE7D5C7B-08EB-4959-8456-3918B4D39F39}"/>
    <cellStyle name="20% - Accent1 3" xfId="6" xr:uid="{00000000-0005-0000-0000-000052000000}"/>
    <cellStyle name="20% - Accent1 3 10" xfId="17189" xr:uid="{59E6BCE8-B324-4713-86AE-D80C596FEB57}"/>
    <cellStyle name="20% - Accent1 3 11" xfId="25636" xr:uid="{E4E4FB4E-A9EA-46C1-A642-D6FFF4C7D871}"/>
    <cellStyle name="20% - Accent1 3 2" xfId="7" xr:uid="{00000000-0005-0000-0000-000053000000}"/>
    <cellStyle name="20% - Accent1 3 2 10" xfId="25637" xr:uid="{BB990CD3-25BF-41DD-AAA9-1CB8BE9FD3A2}"/>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A3CFE5CF-FB4B-4581-A509-216636FF9CF9}"/>
    <cellStyle name="20% - Accent1 3 2 2 2 2 3" xfId="23966" xr:uid="{FB39438E-8CB6-4B95-B836-68694CE9AFCC}"/>
    <cellStyle name="20% - Accent1 3 2 2 2 2 4" xfId="32413" xr:uid="{A822A7E7-307F-4D31-8FAE-9B8ECC17677F}"/>
    <cellStyle name="20% - Accent1 3 2 2 2 3" xfId="11301" xr:uid="{0EF8F83D-27A6-4D6C-B640-768E3E7E5CED}"/>
    <cellStyle name="20% - Accent1 3 2 2 2 4" xfId="19749" xr:uid="{66387CE7-EAA4-4E7F-A1A1-FA91678C745E}"/>
    <cellStyle name="20% - Accent1 3 2 2 2 5" xfId="28196" xr:uid="{7C44FEEE-BA3B-42A1-84E6-A03957547900}"/>
    <cellStyle name="20% - Accent1 3 2 2 3" xfId="4924" xr:uid="{00000000-0005-0000-0000-000057000000}"/>
    <cellStyle name="20% - Accent1 3 2 2 3 2" xfId="13374" xr:uid="{12D7E68D-ED44-439A-BD7F-17C36080E182}"/>
    <cellStyle name="20% - Accent1 3 2 2 3 3" xfId="21821" xr:uid="{7DB49C49-999D-47A8-97D9-FB22EF75A683}"/>
    <cellStyle name="20% - Accent1 3 2 2 3 4" xfId="30268" xr:uid="{FE681D05-45DD-4646-AEDF-F953BE691788}"/>
    <cellStyle name="20% - Accent1 3 2 2 4" xfId="9156" xr:uid="{B973B557-2286-41C1-92A9-396B25A3385F}"/>
    <cellStyle name="20% - Accent1 3 2 2 5" xfId="17604" xr:uid="{3A045442-C50D-48E2-A15E-6B8F58A1ADBE}"/>
    <cellStyle name="20% - Accent1 3 2 2 6" xfId="26051" xr:uid="{97333455-21A6-4BFD-B93C-5B00A64B8F5C}"/>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5DAFA170-848A-4D86-ABC7-232282F8F7D4}"/>
    <cellStyle name="20% - Accent1 3 2 3 2 2 3" xfId="24379" xr:uid="{51EF3C7C-5040-4647-95E7-9DFFF1BCB85C}"/>
    <cellStyle name="20% - Accent1 3 2 3 2 2 4" xfId="32826" xr:uid="{F0A99798-1B84-43B7-9BA7-06481B0DB9CB}"/>
    <cellStyle name="20% - Accent1 3 2 3 2 3" xfId="11714" xr:uid="{50008C1E-E739-4F05-9628-43F923AFDBDB}"/>
    <cellStyle name="20% - Accent1 3 2 3 2 4" xfId="20162" xr:uid="{D56969D6-FC47-4D24-8F02-93A8BFF6098F}"/>
    <cellStyle name="20% - Accent1 3 2 3 2 5" xfId="28609" xr:uid="{BA4724F3-53E1-46E3-998C-482C030B2D0B}"/>
    <cellStyle name="20% - Accent1 3 2 3 3" xfId="5337" xr:uid="{00000000-0005-0000-0000-00005B000000}"/>
    <cellStyle name="20% - Accent1 3 2 3 3 2" xfId="13787" xr:uid="{1CBAF87A-E32F-4F45-AE33-97464309298F}"/>
    <cellStyle name="20% - Accent1 3 2 3 3 3" xfId="22234" xr:uid="{E0F13213-4840-4E92-9855-6F2AC3AAC045}"/>
    <cellStyle name="20% - Accent1 3 2 3 3 4" xfId="30681" xr:uid="{E159C7F8-6747-4430-890A-384DD1A120CC}"/>
    <cellStyle name="20% - Accent1 3 2 3 4" xfId="9569" xr:uid="{AAF12C19-FAB4-4966-BE3D-52B0818C1F3E}"/>
    <cellStyle name="20% - Accent1 3 2 3 5" xfId="18017" xr:uid="{85E4C09D-87EF-4B98-B19F-F1220F5861D3}"/>
    <cellStyle name="20% - Accent1 3 2 3 6" xfId="26464" xr:uid="{F215A04A-A2CF-4AC5-B9D7-283109AA6C64}"/>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B7AB262E-C20D-4C52-9E48-10F62B45B7E6}"/>
    <cellStyle name="20% - Accent1 3 2 4 2 2 3" xfId="24792" xr:uid="{AF0AF8F9-D82B-4279-85BF-9058BC65AFB2}"/>
    <cellStyle name="20% - Accent1 3 2 4 2 2 4" xfId="33239" xr:uid="{CFD4F56A-63A5-4EF5-8C4A-891888DCA68B}"/>
    <cellStyle name="20% - Accent1 3 2 4 2 3" xfId="12127" xr:uid="{3D532EFF-37B4-4757-BD2C-3F87E50EE394}"/>
    <cellStyle name="20% - Accent1 3 2 4 2 4" xfId="20575" xr:uid="{184557B2-845B-4C16-823E-D403F4F53B90}"/>
    <cellStyle name="20% - Accent1 3 2 4 2 5" xfId="29022" xr:uid="{8587AC56-1C66-47BC-9B42-9338B80630E3}"/>
    <cellStyle name="20% - Accent1 3 2 4 3" xfId="5750" xr:uid="{00000000-0005-0000-0000-00005F000000}"/>
    <cellStyle name="20% - Accent1 3 2 4 3 2" xfId="14200" xr:uid="{708EB5AA-820C-427C-8132-7669BC0E8F8D}"/>
    <cellStyle name="20% - Accent1 3 2 4 3 3" xfId="22647" xr:uid="{4BA9CAA9-7FD8-4990-9A14-05D5A97706F9}"/>
    <cellStyle name="20% - Accent1 3 2 4 3 4" xfId="31094" xr:uid="{F4412F0A-4570-489E-BA8B-21CF1041FC79}"/>
    <cellStyle name="20% - Accent1 3 2 4 4" xfId="9982" xr:uid="{37AAB35C-77F3-4A3C-9B47-B1A306209ACE}"/>
    <cellStyle name="20% - Accent1 3 2 4 5" xfId="18430" xr:uid="{A63207A9-A888-45F9-88EA-AB363E28710A}"/>
    <cellStyle name="20% - Accent1 3 2 4 6" xfId="26877" xr:uid="{B79F7E28-9F5D-4529-AC79-78FDDCE3D16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B17BCD6B-FE76-4852-A13B-A0A25FF5B546}"/>
    <cellStyle name="20% - Accent1 3 2 5 2 2 3" xfId="25205" xr:uid="{227A1242-C6E0-4D8F-9DCE-2848B0E3372A}"/>
    <cellStyle name="20% - Accent1 3 2 5 2 2 4" xfId="33652" xr:uid="{1263FE45-308B-4852-8654-E6ADEF4013BA}"/>
    <cellStyle name="20% - Accent1 3 2 5 2 3" xfId="12540" xr:uid="{5AD7BB9C-0F6C-4633-98C3-8D4D580332FF}"/>
    <cellStyle name="20% - Accent1 3 2 5 2 4" xfId="20988" xr:uid="{5AECAC2D-5AB0-465A-8BD8-C41B697740C7}"/>
    <cellStyle name="20% - Accent1 3 2 5 2 5" xfId="29435" xr:uid="{8404344A-6AC5-48D0-A3E9-98B2585505B4}"/>
    <cellStyle name="20% - Accent1 3 2 5 3" xfId="6163" xr:uid="{00000000-0005-0000-0000-000063000000}"/>
    <cellStyle name="20% - Accent1 3 2 5 3 2" xfId="14613" xr:uid="{7B8F4071-6AFF-42CA-8AEE-748AB5837792}"/>
    <cellStyle name="20% - Accent1 3 2 5 3 3" xfId="23060" xr:uid="{D1DCB585-A0B8-4D24-9A4A-EFBDF7BC5C4D}"/>
    <cellStyle name="20% - Accent1 3 2 5 3 4" xfId="31507" xr:uid="{153AB59B-111A-42DB-8D52-403279F919E2}"/>
    <cellStyle name="20% - Accent1 3 2 5 4" xfId="10395" xr:uid="{B818DB82-74AB-4674-A04C-5D3900839262}"/>
    <cellStyle name="20% - Accent1 3 2 5 5" xfId="18843" xr:uid="{7C3BDED5-1370-408E-96B9-254B0C9E6203}"/>
    <cellStyle name="20% - Accent1 3 2 5 6" xfId="27290" xr:uid="{41CF08C1-31D6-43BF-A7B0-C1A6EF9396B4}"/>
    <cellStyle name="20% - Accent1 3 2 6" xfId="2270" xr:uid="{00000000-0005-0000-0000-000064000000}"/>
    <cellStyle name="20% - Accent1 3 2 6 2" xfId="6576" xr:uid="{00000000-0005-0000-0000-000065000000}"/>
    <cellStyle name="20% - Accent1 3 2 6 2 2" xfId="15026" xr:uid="{E2ACE5CD-08FB-4317-9CED-ED8B37688623}"/>
    <cellStyle name="20% - Accent1 3 2 6 2 3" xfId="23473" xr:uid="{63EF1971-1A02-4679-8267-5E3E228AD8CB}"/>
    <cellStyle name="20% - Accent1 3 2 6 2 4" xfId="31920" xr:uid="{19BCDFF1-D837-4CC7-90C4-3615937575FA}"/>
    <cellStyle name="20% - Accent1 3 2 6 3" xfId="10808" xr:uid="{9A655BDC-0C65-4F73-8C85-4B754774DB31}"/>
    <cellStyle name="20% - Accent1 3 2 6 4" xfId="19256" xr:uid="{07F2DB11-E570-49A5-A7E6-D51229A2DA48}"/>
    <cellStyle name="20% - Accent1 3 2 6 5" xfId="27703" xr:uid="{17D28F3A-FE90-4C1B-9AC8-941545075E80}"/>
    <cellStyle name="20% - Accent1 3 2 7" xfId="4510" xr:uid="{00000000-0005-0000-0000-000066000000}"/>
    <cellStyle name="20% - Accent1 3 2 7 2" xfId="12960" xr:uid="{1F31053D-8DA5-4085-920F-C6E82E8455D8}"/>
    <cellStyle name="20% - Accent1 3 2 7 3" xfId="21407" xr:uid="{3B5E32B3-016E-477E-95B4-AC79D100FD56}"/>
    <cellStyle name="20% - Accent1 3 2 7 4" xfId="29854" xr:uid="{6E75AB42-D9C7-4BB4-A853-FF2795EE9DDD}"/>
    <cellStyle name="20% - Accent1 3 2 8" xfId="8742" xr:uid="{2DB366ED-9885-4AC4-9798-CF98B7F5404C}"/>
    <cellStyle name="20% - Accent1 3 2 9" xfId="17190" xr:uid="{4358928A-5216-4F51-9206-B95A6462F47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9705520E-70D0-4413-B1B1-49E32397EF02}"/>
    <cellStyle name="20% - Accent1 3 3 2 2 3" xfId="23965" xr:uid="{8A871B71-7631-4D87-82E5-FB90A0BF5567}"/>
    <cellStyle name="20% - Accent1 3 3 2 2 4" xfId="32412" xr:uid="{5AA0899D-E51A-4F40-A6AA-D62BF129054B}"/>
    <cellStyle name="20% - Accent1 3 3 2 3" xfId="11300" xr:uid="{B5EC0D84-898C-489E-8788-44AA72450696}"/>
    <cellStyle name="20% - Accent1 3 3 2 4" xfId="19748" xr:uid="{47379CBF-BA00-4016-AFD3-1EF98B63AD6E}"/>
    <cellStyle name="20% - Accent1 3 3 2 5" xfId="28195" xr:uid="{D2AE9619-79AC-4ED4-AD38-D1FAE2CB3E32}"/>
    <cellStyle name="20% - Accent1 3 3 3" xfId="4923" xr:uid="{00000000-0005-0000-0000-00006A000000}"/>
    <cellStyle name="20% - Accent1 3 3 3 2" xfId="13373" xr:uid="{F8C76D13-0D8E-4A0D-B71C-8CAF6068FA7E}"/>
    <cellStyle name="20% - Accent1 3 3 3 3" xfId="21820" xr:uid="{AF6B7F6A-AD00-4457-B861-700AC65F2C1B}"/>
    <cellStyle name="20% - Accent1 3 3 3 4" xfId="30267" xr:uid="{C8C2A82C-4060-4480-B501-0F376F6D7283}"/>
    <cellStyle name="20% - Accent1 3 3 4" xfId="9155" xr:uid="{7B910E59-13A2-4214-9B9A-AFF336F6382E}"/>
    <cellStyle name="20% - Accent1 3 3 5" xfId="17603" xr:uid="{F156FBFF-8144-47D9-90E8-45864C7BE793}"/>
    <cellStyle name="20% - Accent1 3 3 6" xfId="26050" xr:uid="{1CAB25B5-5BB1-4BD5-9A32-3C62C0078696}"/>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E1A4BF95-772F-4F48-BF93-563693B23759}"/>
    <cellStyle name="20% - Accent1 3 4 2 2 3" xfId="24378" xr:uid="{B899E7D2-1FC2-4712-BE9E-5589860CDC54}"/>
    <cellStyle name="20% - Accent1 3 4 2 2 4" xfId="32825" xr:uid="{B659B850-605A-4C1C-BC53-AC3FD0604165}"/>
    <cellStyle name="20% - Accent1 3 4 2 3" xfId="11713" xr:uid="{EECF5DD3-C42E-4A8F-9BF0-C5525C8A445C}"/>
    <cellStyle name="20% - Accent1 3 4 2 4" xfId="20161" xr:uid="{800DCD49-A58A-4962-894C-D9C0FD8B5D47}"/>
    <cellStyle name="20% - Accent1 3 4 2 5" xfId="28608" xr:uid="{D6B9B5E3-2CEC-476B-AEC6-CA5E5549CD33}"/>
    <cellStyle name="20% - Accent1 3 4 3" xfId="5336" xr:uid="{00000000-0005-0000-0000-00006E000000}"/>
    <cellStyle name="20% - Accent1 3 4 3 2" xfId="13786" xr:uid="{60927E4B-5780-47B4-8E57-9464452E994D}"/>
    <cellStyle name="20% - Accent1 3 4 3 3" xfId="22233" xr:uid="{4D72BF91-7D3C-4773-94A0-FFBE080E778B}"/>
    <cellStyle name="20% - Accent1 3 4 3 4" xfId="30680" xr:uid="{E3D67D79-AA78-4863-B5FE-9541123447B6}"/>
    <cellStyle name="20% - Accent1 3 4 4" xfId="9568" xr:uid="{91551F4B-D3FF-4C6C-AD1D-30F928FBEA14}"/>
    <cellStyle name="20% - Accent1 3 4 5" xfId="18016" xr:uid="{2A8A2D1B-3513-4B7E-9AB1-7F33634C4F48}"/>
    <cellStyle name="20% - Accent1 3 4 6" xfId="26463" xr:uid="{A45F6C24-0C7A-4291-B1B9-AD6A332D7021}"/>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8837DED5-3BA1-4D75-9EF4-12578D814275}"/>
    <cellStyle name="20% - Accent1 3 5 2 2 3" xfId="24791" xr:uid="{E28FB0F3-2F55-41EF-B060-96586190DC4A}"/>
    <cellStyle name="20% - Accent1 3 5 2 2 4" xfId="33238" xr:uid="{A709B1B9-67BD-4D34-9566-BBFC34757F69}"/>
    <cellStyle name="20% - Accent1 3 5 2 3" xfId="12126" xr:uid="{FD9B904C-3A29-494B-A596-877A8E8D4441}"/>
    <cellStyle name="20% - Accent1 3 5 2 4" xfId="20574" xr:uid="{E0944BAC-DEB1-4C6E-97B7-6EA1F2E60C74}"/>
    <cellStyle name="20% - Accent1 3 5 2 5" xfId="29021" xr:uid="{C4EC6933-7C44-4F51-8192-C305D7832978}"/>
    <cellStyle name="20% - Accent1 3 5 3" xfId="5749" xr:uid="{00000000-0005-0000-0000-000072000000}"/>
    <cellStyle name="20% - Accent1 3 5 3 2" xfId="14199" xr:uid="{3CD092C9-FB03-4648-BDAA-58113E6BCA08}"/>
    <cellStyle name="20% - Accent1 3 5 3 3" xfId="22646" xr:uid="{4E718D3F-B19B-45AA-992B-014C7DF8E879}"/>
    <cellStyle name="20% - Accent1 3 5 3 4" xfId="31093" xr:uid="{4614859E-42D5-4D20-87D0-2C1D70AF7480}"/>
    <cellStyle name="20% - Accent1 3 5 4" xfId="9981" xr:uid="{6FB71933-48D5-45C0-BAA3-8CB7D9779037}"/>
    <cellStyle name="20% - Accent1 3 5 5" xfId="18429" xr:uid="{995DCA34-C65E-45A4-8C79-0C765CC96A9C}"/>
    <cellStyle name="20% - Accent1 3 5 6" xfId="26876" xr:uid="{768C65B8-351E-4BB2-B017-E1D67DDD5255}"/>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71FD840B-8754-4C44-A326-9E2111E999F3}"/>
    <cellStyle name="20% - Accent1 3 6 2 2 3" xfId="25204" xr:uid="{E98797B5-0BB2-4167-AA59-26B2D1D5AD3D}"/>
    <cellStyle name="20% - Accent1 3 6 2 2 4" xfId="33651" xr:uid="{B32F0614-5795-4F5E-9A35-4096965184F8}"/>
    <cellStyle name="20% - Accent1 3 6 2 3" xfId="12539" xr:uid="{20209C4B-CE8D-45E9-80A1-31A05EDDC0BC}"/>
    <cellStyle name="20% - Accent1 3 6 2 4" xfId="20987" xr:uid="{81D98F6B-9BE2-4D55-A2D4-466F80789744}"/>
    <cellStyle name="20% - Accent1 3 6 2 5" xfId="29434" xr:uid="{980713B2-60E2-4236-A286-00DD19D93FAC}"/>
    <cellStyle name="20% - Accent1 3 6 3" xfId="6162" xr:uid="{00000000-0005-0000-0000-000076000000}"/>
    <cellStyle name="20% - Accent1 3 6 3 2" xfId="14612" xr:uid="{337B8288-0E8D-4CC0-9336-F5FC19017253}"/>
    <cellStyle name="20% - Accent1 3 6 3 3" xfId="23059" xr:uid="{B005FF15-866F-4C6E-B2F7-702583C0F9AA}"/>
    <cellStyle name="20% - Accent1 3 6 3 4" xfId="31506" xr:uid="{4AFCDEB3-3C78-4FE2-8F64-6D0BF42D6F08}"/>
    <cellStyle name="20% - Accent1 3 6 4" xfId="10394" xr:uid="{C73357A5-23AC-4341-9050-FF58589FB02F}"/>
    <cellStyle name="20% - Accent1 3 6 5" xfId="18842" xr:uid="{C78FEFFB-2C99-4E05-993D-CF370532DB9D}"/>
    <cellStyle name="20% - Accent1 3 6 6" xfId="27289" xr:uid="{CFFC2B4D-52FE-4B7A-96F7-16B8DB75998D}"/>
    <cellStyle name="20% - Accent1 3 7" xfId="2269" xr:uid="{00000000-0005-0000-0000-000077000000}"/>
    <cellStyle name="20% - Accent1 3 7 2" xfId="6575" xr:uid="{00000000-0005-0000-0000-000078000000}"/>
    <cellStyle name="20% - Accent1 3 7 2 2" xfId="15025" xr:uid="{942387F1-14F1-4F5E-B09C-51E5850D6547}"/>
    <cellStyle name="20% - Accent1 3 7 2 3" xfId="23472" xr:uid="{D287D7A5-3B17-49A9-A424-FC4EAAB75C65}"/>
    <cellStyle name="20% - Accent1 3 7 2 4" xfId="31919" xr:uid="{2674C0D8-1F58-4318-AA37-38BD2645E5E6}"/>
    <cellStyle name="20% - Accent1 3 7 3" xfId="10807" xr:uid="{910770BE-E15F-42F9-B336-4A4B067089FF}"/>
    <cellStyle name="20% - Accent1 3 7 4" xfId="19255" xr:uid="{06760303-D4CB-4895-8282-DB502E097091}"/>
    <cellStyle name="20% - Accent1 3 7 5" xfId="27702" xr:uid="{E3453112-2C8F-4D96-B5A7-C34E9A4C9D84}"/>
    <cellStyle name="20% - Accent1 3 8" xfId="4509" xr:uid="{00000000-0005-0000-0000-000079000000}"/>
    <cellStyle name="20% - Accent1 3 8 2" xfId="12959" xr:uid="{8F7AFC1D-B052-4503-8F29-20B74363FEF7}"/>
    <cellStyle name="20% - Accent1 3 8 3" xfId="21406" xr:uid="{8368DF24-20A1-4AF0-84F6-27DBA3349A25}"/>
    <cellStyle name="20% - Accent1 3 8 4" xfId="29853" xr:uid="{A922AB3B-FA60-4A2A-A88C-A51ACB684634}"/>
    <cellStyle name="20% - Accent1 3 9" xfId="8741" xr:uid="{9F19BED7-E544-46B0-96B9-4D85288FE0AE}"/>
    <cellStyle name="20% - Accent1 4" xfId="8" xr:uid="{00000000-0005-0000-0000-00007A000000}"/>
    <cellStyle name="20% - Accent1 4 10" xfId="25638" xr:uid="{850324A5-3254-420F-82AE-9AC8125958BC}"/>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CE8F93D0-26F8-4F7F-B4C7-0A6BDDEF3D2E}"/>
    <cellStyle name="20% - Accent1 4 2 2 2 3" xfId="23967" xr:uid="{70707E88-7931-4B88-BAD2-D43DA7A25CB5}"/>
    <cellStyle name="20% - Accent1 4 2 2 2 4" xfId="32414" xr:uid="{1AE02E34-5D52-46DC-92B6-95FD0D0599C5}"/>
    <cellStyle name="20% - Accent1 4 2 2 3" xfId="11302" xr:uid="{04B1BA46-9933-4E97-AC41-0D2B8F7AA3AD}"/>
    <cellStyle name="20% - Accent1 4 2 2 4" xfId="19750" xr:uid="{1341BCD2-8703-4620-95EF-0EB5536D0048}"/>
    <cellStyle name="20% - Accent1 4 2 2 5" xfId="28197" xr:uid="{973ADF44-75C8-42D8-93AE-BC30B7B53CF0}"/>
    <cellStyle name="20% - Accent1 4 2 3" xfId="4925" xr:uid="{00000000-0005-0000-0000-00007E000000}"/>
    <cellStyle name="20% - Accent1 4 2 3 2" xfId="13375" xr:uid="{19A8557F-9C3A-4957-A136-36956BBEF126}"/>
    <cellStyle name="20% - Accent1 4 2 3 3" xfId="21822" xr:uid="{E94895E6-2E43-4E88-9499-702613623C87}"/>
    <cellStyle name="20% - Accent1 4 2 3 4" xfId="30269" xr:uid="{DE9403FB-402A-4110-B392-BF12AD1B34E4}"/>
    <cellStyle name="20% - Accent1 4 2 4" xfId="9157" xr:uid="{6EB544C7-CA0D-4CAA-BE72-ACB82CF881B2}"/>
    <cellStyle name="20% - Accent1 4 2 5" xfId="17605" xr:uid="{00518754-C984-454D-99B2-F0FB2AE3C32B}"/>
    <cellStyle name="20% - Accent1 4 2 6" xfId="26052" xr:uid="{8149F3E8-1E41-4C57-A7DA-168188D80270}"/>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7FA650FF-9C7A-47B9-9E72-C5E7B554A9C1}"/>
    <cellStyle name="20% - Accent1 4 3 2 2 3" xfId="24380" xr:uid="{22358E6C-9060-41C5-B7DA-3C1BEC16054E}"/>
    <cellStyle name="20% - Accent1 4 3 2 2 4" xfId="32827" xr:uid="{845EEEEF-A3DC-47DD-860F-EC7D46FC7060}"/>
    <cellStyle name="20% - Accent1 4 3 2 3" xfId="11715" xr:uid="{BEF721CB-8CB2-44EA-AA12-041B3C14F060}"/>
    <cellStyle name="20% - Accent1 4 3 2 4" xfId="20163" xr:uid="{3B209690-8F05-4D25-9B5E-0BEB829F0AF3}"/>
    <cellStyle name="20% - Accent1 4 3 2 5" xfId="28610" xr:uid="{E8BA43E8-44CD-4DA3-B344-BC0CFA9FA58F}"/>
    <cellStyle name="20% - Accent1 4 3 3" xfId="5338" xr:uid="{00000000-0005-0000-0000-000082000000}"/>
    <cellStyle name="20% - Accent1 4 3 3 2" xfId="13788" xr:uid="{73EDC9E2-AE3B-4691-81BC-0A96F2C4F0C3}"/>
    <cellStyle name="20% - Accent1 4 3 3 3" xfId="22235" xr:uid="{EAEDE786-75F2-45AE-8789-9AD33507B261}"/>
    <cellStyle name="20% - Accent1 4 3 3 4" xfId="30682" xr:uid="{B993C5E9-E64A-405E-AD2E-19E4DE829471}"/>
    <cellStyle name="20% - Accent1 4 3 4" xfId="9570" xr:uid="{EF93AD5F-EE15-4555-A819-D96A869B3721}"/>
    <cellStyle name="20% - Accent1 4 3 5" xfId="18018" xr:uid="{30088259-150B-4D27-A549-6B434398DC4E}"/>
    <cellStyle name="20% - Accent1 4 3 6" xfId="26465" xr:uid="{DF7BBCA6-C56B-45E2-B439-9B06D6788249}"/>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B24686DD-BDB5-480A-AC1B-0CE3D7F2BE26}"/>
    <cellStyle name="20% - Accent1 4 4 2 2 3" xfId="24793" xr:uid="{9F6F1773-0F74-43D1-BF9A-B1827B7FE0A3}"/>
    <cellStyle name="20% - Accent1 4 4 2 2 4" xfId="33240" xr:uid="{195C2D3F-D00E-4C42-94A2-D1461690E1F8}"/>
    <cellStyle name="20% - Accent1 4 4 2 3" xfId="12128" xr:uid="{29F6E834-6A7C-41B0-A413-6D6A3A65ECDB}"/>
    <cellStyle name="20% - Accent1 4 4 2 4" xfId="20576" xr:uid="{49AEA1AE-CDEB-4C8E-9780-E7C641422FF2}"/>
    <cellStyle name="20% - Accent1 4 4 2 5" xfId="29023" xr:uid="{E472A182-611B-4A93-83EF-E8A89C6BC7F4}"/>
    <cellStyle name="20% - Accent1 4 4 3" xfId="5751" xr:uid="{00000000-0005-0000-0000-000086000000}"/>
    <cellStyle name="20% - Accent1 4 4 3 2" xfId="14201" xr:uid="{E08ED1FE-ACB6-4AC8-BC26-BBBF6B776AFC}"/>
    <cellStyle name="20% - Accent1 4 4 3 3" xfId="22648" xr:uid="{568D508A-D645-4701-875A-B70946F095BF}"/>
    <cellStyle name="20% - Accent1 4 4 3 4" xfId="31095" xr:uid="{7F342E1B-19E6-4900-B579-438640A34513}"/>
    <cellStyle name="20% - Accent1 4 4 4" xfId="9983" xr:uid="{86739213-ABB1-47D4-AA50-65B35DF8CD27}"/>
    <cellStyle name="20% - Accent1 4 4 5" xfId="18431" xr:uid="{81716AD0-F7BC-428E-B9B7-AA95B9FF5FD2}"/>
    <cellStyle name="20% - Accent1 4 4 6" xfId="26878" xr:uid="{8D0974DF-A6C6-43F5-B52D-265D382E3DA9}"/>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08E59030-19C2-4F9F-819C-66E2A21289B6}"/>
    <cellStyle name="20% - Accent1 4 5 2 2 3" xfId="25206" xr:uid="{884F9108-E52D-4F99-8B9D-E27907450C53}"/>
    <cellStyle name="20% - Accent1 4 5 2 2 4" xfId="33653" xr:uid="{283366E2-878F-42EE-A27F-A72159978C3A}"/>
    <cellStyle name="20% - Accent1 4 5 2 3" xfId="12541" xr:uid="{5A8D1BDC-4E38-4433-BAB9-42CC53D8135B}"/>
    <cellStyle name="20% - Accent1 4 5 2 4" xfId="20989" xr:uid="{4DEDBD2C-C7E0-4A54-942E-2E8861D378CE}"/>
    <cellStyle name="20% - Accent1 4 5 2 5" xfId="29436" xr:uid="{C7E15BA3-4E44-40B8-A782-028A5AD88C8F}"/>
    <cellStyle name="20% - Accent1 4 5 3" xfId="6164" xr:uid="{00000000-0005-0000-0000-00008A000000}"/>
    <cellStyle name="20% - Accent1 4 5 3 2" xfId="14614" xr:uid="{E3C97170-E67F-4A4C-91F0-4BB103FF5BCE}"/>
    <cellStyle name="20% - Accent1 4 5 3 3" xfId="23061" xr:uid="{1616A2E5-CBAD-43C4-A920-2941F3A6449E}"/>
    <cellStyle name="20% - Accent1 4 5 3 4" xfId="31508" xr:uid="{F89689E2-5407-4858-BF0D-03BA8225DD6A}"/>
    <cellStyle name="20% - Accent1 4 5 4" xfId="10396" xr:uid="{0D95B1A8-FD74-4AB7-8586-FC5DB250024A}"/>
    <cellStyle name="20% - Accent1 4 5 5" xfId="18844" xr:uid="{B375CF80-635B-421D-860D-F4D67F2ED31E}"/>
    <cellStyle name="20% - Accent1 4 5 6" xfId="27291" xr:uid="{1388BEC7-DDB5-4AB6-9B95-3637E23E76C2}"/>
    <cellStyle name="20% - Accent1 4 6" xfId="2271" xr:uid="{00000000-0005-0000-0000-00008B000000}"/>
    <cellStyle name="20% - Accent1 4 6 2" xfId="6577" xr:uid="{00000000-0005-0000-0000-00008C000000}"/>
    <cellStyle name="20% - Accent1 4 6 2 2" xfId="15027" xr:uid="{A9031FBE-2071-4317-81F1-4B4B400B490E}"/>
    <cellStyle name="20% - Accent1 4 6 2 3" xfId="23474" xr:uid="{77F573CE-7F3E-42A2-A093-1B793D081E1C}"/>
    <cellStyle name="20% - Accent1 4 6 2 4" xfId="31921" xr:uid="{AF397768-CC4B-441E-9392-CEEBECE8ADFE}"/>
    <cellStyle name="20% - Accent1 4 6 3" xfId="10809" xr:uid="{322B684D-79B0-4346-AD58-A03C4061D097}"/>
    <cellStyle name="20% - Accent1 4 6 4" xfId="19257" xr:uid="{E6D49133-2E83-449C-9B52-AF16CF4E4BDD}"/>
    <cellStyle name="20% - Accent1 4 6 5" xfId="27704" xr:uid="{E91D3589-3513-4F8F-BE74-F8B21A64A37E}"/>
    <cellStyle name="20% - Accent1 4 7" xfId="4511" xr:uid="{00000000-0005-0000-0000-00008D000000}"/>
    <cellStyle name="20% - Accent1 4 7 2" xfId="12961" xr:uid="{8E6E104C-3202-41D9-B801-2DDB923FF449}"/>
    <cellStyle name="20% - Accent1 4 7 3" xfId="21408" xr:uid="{72D15187-5649-4176-9CC6-A506B43DEA69}"/>
    <cellStyle name="20% - Accent1 4 7 4" xfId="29855" xr:uid="{0847106C-C772-41DD-BDEE-E692127B89F3}"/>
    <cellStyle name="20% - Accent1 4 8" xfId="8743" xr:uid="{358C018A-6CE3-4CB5-9D2D-EEAE83A22BF7}"/>
    <cellStyle name="20% - Accent1 4 9" xfId="17191" xr:uid="{C825B76F-9D40-4B57-BBC9-CA4721F70DA1}"/>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677D48CF-0A31-4F6F-B3F9-8FF82F4DAF98}"/>
    <cellStyle name="20% - Accent1 5 2 2 3" xfId="23960" xr:uid="{2DAFDC49-8919-46D4-85A8-30D6F36E0369}"/>
    <cellStyle name="20% - Accent1 5 2 2 4" xfId="32407" xr:uid="{A895331D-B751-4B72-9FD7-549873A72A94}"/>
    <cellStyle name="20% - Accent1 5 2 3" xfId="11295" xr:uid="{A35992F3-5877-4C21-B839-2CA0EC6F8560}"/>
    <cellStyle name="20% - Accent1 5 2 4" xfId="19743" xr:uid="{863BC195-1B4F-407C-859B-730B30EE9586}"/>
    <cellStyle name="20% - Accent1 5 2 5" xfId="28190" xr:uid="{9445944E-31C2-4F7B-B8A0-5A0AB8E22674}"/>
    <cellStyle name="20% - Accent1 5 3" xfId="4918" xr:uid="{00000000-0005-0000-0000-000091000000}"/>
    <cellStyle name="20% - Accent1 5 3 2" xfId="13368" xr:uid="{40B49FF3-B8B7-4C86-A5BB-1871E7B815F4}"/>
    <cellStyle name="20% - Accent1 5 3 3" xfId="21815" xr:uid="{CF0E9B2E-D32B-4D65-839B-8B22B7EC05DD}"/>
    <cellStyle name="20% - Accent1 5 3 4" xfId="30262" xr:uid="{A7F6AA68-BBB1-4B5D-BB0F-F80F830B8591}"/>
    <cellStyle name="20% - Accent1 5 4" xfId="9150" xr:uid="{788F0A34-2F00-4103-8EB4-1378F83DFAFC}"/>
    <cellStyle name="20% - Accent1 5 5" xfId="17598" xr:uid="{7D88DB3A-2324-4B64-A426-5464948486DB}"/>
    <cellStyle name="20% - Accent1 5 6" xfId="26045" xr:uid="{74B89E7A-5AED-449C-8824-596D9767AA34}"/>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84399E00-EFCD-46A8-AA0F-85F8B62AFD08}"/>
    <cellStyle name="20% - Accent1 6 2 2 3" xfId="24373" xr:uid="{6B10FD38-7226-45A2-A9D4-90D3718F1C3D}"/>
    <cellStyle name="20% - Accent1 6 2 2 4" xfId="32820" xr:uid="{7A92FF99-82B5-4FE2-A5C0-8AD6A9CF7E06}"/>
    <cellStyle name="20% - Accent1 6 2 3" xfId="11708" xr:uid="{8E9AD604-310E-414E-9879-126B92F660B1}"/>
    <cellStyle name="20% - Accent1 6 2 4" xfId="20156" xr:uid="{BBF67D41-7743-4A9D-9107-4E48D1E68C33}"/>
    <cellStyle name="20% - Accent1 6 2 5" xfId="28603" xr:uid="{D141FD5C-28B5-4919-B088-D67DB14275D8}"/>
    <cellStyle name="20% - Accent1 6 3" xfId="5331" xr:uid="{00000000-0005-0000-0000-000095000000}"/>
    <cellStyle name="20% - Accent1 6 3 2" xfId="13781" xr:uid="{2E695205-2D1E-4548-841C-3E5FED2A6DBC}"/>
    <cellStyle name="20% - Accent1 6 3 3" xfId="22228" xr:uid="{C804F6E9-D583-4EDA-B33B-A69CBA427763}"/>
    <cellStyle name="20% - Accent1 6 3 4" xfId="30675" xr:uid="{17125F0D-EF75-490B-8C4E-E79112B6ED41}"/>
    <cellStyle name="20% - Accent1 6 4" xfId="9563" xr:uid="{FF47DB67-786C-400B-8429-E26E2D3385D7}"/>
    <cellStyle name="20% - Accent1 6 5" xfId="18011" xr:uid="{BD345A66-28E0-4B4D-A041-7E89E114280A}"/>
    <cellStyle name="20% - Accent1 6 6" xfId="26458" xr:uid="{92679972-5ADF-45C2-9B85-98E5301BAF24}"/>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BEC580E0-A3BA-48F4-A699-4C65D915B056}"/>
    <cellStyle name="20% - Accent1 7 2 2 3" xfId="24786" xr:uid="{20A103DB-9FD7-4FC2-92B7-3CC2DC5B51CC}"/>
    <cellStyle name="20% - Accent1 7 2 2 4" xfId="33233" xr:uid="{058182E8-D6D2-41DB-B7F0-F74C8C1AA957}"/>
    <cellStyle name="20% - Accent1 7 2 3" xfId="12121" xr:uid="{466A44AE-348E-439A-9E2E-1789A341CAEA}"/>
    <cellStyle name="20% - Accent1 7 2 4" xfId="20569" xr:uid="{08714B3D-60B8-4E32-9028-38BF12DA8401}"/>
    <cellStyle name="20% - Accent1 7 2 5" xfId="29016" xr:uid="{53C59C24-F4C2-4BEE-B7E5-CD56641ABA3F}"/>
    <cellStyle name="20% - Accent1 7 3" xfId="5744" xr:uid="{00000000-0005-0000-0000-000099000000}"/>
    <cellStyle name="20% - Accent1 7 3 2" xfId="14194" xr:uid="{A97A29C2-055A-4634-9790-DEA03FD8FECF}"/>
    <cellStyle name="20% - Accent1 7 3 3" xfId="22641" xr:uid="{44394B57-2507-4AEB-92E4-CA1F45EBBEB8}"/>
    <cellStyle name="20% - Accent1 7 3 4" xfId="31088" xr:uid="{48551386-463D-4E87-B15F-7A8FD67E48EF}"/>
    <cellStyle name="20% - Accent1 7 4" xfId="9976" xr:uid="{FB238853-6427-4F5D-AD1F-A308D55C9F88}"/>
    <cellStyle name="20% - Accent1 7 5" xfId="18424" xr:uid="{D0AE9DA5-BA03-4468-ACEB-C1CD3B175178}"/>
    <cellStyle name="20% - Accent1 7 6" xfId="26871" xr:uid="{2D9C0038-1126-4BD0-8050-0177ED5753F2}"/>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5C927438-1ECC-48EB-8F34-D6A99C270B6E}"/>
    <cellStyle name="20% - Accent1 8 2 2 3" xfId="25199" xr:uid="{F4C6D9D5-3414-4FA9-8A21-0E3A7B784D6A}"/>
    <cellStyle name="20% - Accent1 8 2 2 4" xfId="33646" xr:uid="{398A9985-8CA5-45CB-8A6C-3C8745DCCC94}"/>
    <cellStyle name="20% - Accent1 8 2 3" xfId="12534" xr:uid="{F49E4DEB-10FA-4F7E-ADFD-27CE709F2614}"/>
    <cellStyle name="20% - Accent1 8 2 4" xfId="20982" xr:uid="{AE64802C-865B-452E-904E-9398A60D00F5}"/>
    <cellStyle name="20% - Accent1 8 2 5" xfId="29429" xr:uid="{C5205C8B-91A9-4D29-9332-FDD282CD8B84}"/>
    <cellStyle name="20% - Accent1 8 3" xfId="6157" xr:uid="{00000000-0005-0000-0000-00009D000000}"/>
    <cellStyle name="20% - Accent1 8 3 2" xfId="14607" xr:uid="{5956C48B-F1F2-4A7F-886C-9E879403DBB3}"/>
    <cellStyle name="20% - Accent1 8 3 3" xfId="23054" xr:uid="{AAA798AE-A70C-4C4E-9031-5F8F85CBF806}"/>
    <cellStyle name="20% - Accent1 8 3 4" xfId="31501" xr:uid="{65733279-2B11-4372-BD46-E9108F4DAEAE}"/>
    <cellStyle name="20% - Accent1 8 4" xfId="10389" xr:uid="{1685AC21-64F4-4F12-88CA-2BA6064E3F66}"/>
    <cellStyle name="20% - Accent1 8 5" xfId="18837" xr:uid="{8BB6A3DA-9C36-49F7-8C08-89227596068B}"/>
    <cellStyle name="20% - Accent1 8 6" xfId="27284" xr:uid="{8F05647E-D476-4786-AB1A-AFE9A4A60256}"/>
    <cellStyle name="20% - Accent1 9" xfId="2264" xr:uid="{00000000-0005-0000-0000-00009E000000}"/>
    <cellStyle name="20% - Accent1 9 2" xfId="6570" xr:uid="{00000000-0005-0000-0000-00009F000000}"/>
    <cellStyle name="20% - Accent1 9 2 2" xfId="15020" xr:uid="{8730828D-06C7-4614-AD2A-7042269BBE8A}"/>
    <cellStyle name="20% - Accent1 9 2 3" xfId="23467" xr:uid="{AE96B23C-DE86-427D-996C-6946FC2095E2}"/>
    <cellStyle name="20% - Accent1 9 2 4" xfId="31914" xr:uid="{9B905F58-EDE3-47DD-87B1-672A089EB253}"/>
    <cellStyle name="20% - Accent1 9 3" xfId="10802" xr:uid="{3D228FD3-51EF-4116-BC7F-CC6D60B81452}"/>
    <cellStyle name="20% - Accent1 9 4" xfId="19250" xr:uid="{5784481E-E75C-458D-B4B3-6DBBC88C48FF}"/>
    <cellStyle name="20% - Accent1 9 5" xfId="27697" xr:uid="{A3CD8DCD-1F1B-49F4-9298-81474919BB0D}"/>
    <cellStyle name="20% - Accent2" xfId="9" builtinId="34" customBuiltin="1"/>
    <cellStyle name="20% - Accent2 10" xfId="4512" xr:uid="{00000000-0005-0000-0000-0000A1000000}"/>
    <cellStyle name="20% - Accent2 10 2" xfId="12962" xr:uid="{8756FAA6-C72E-4DC3-BF09-360640B08E72}"/>
    <cellStyle name="20% - Accent2 10 3" xfId="21409" xr:uid="{9B296250-05F9-465F-A2A9-E1D3010308D7}"/>
    <cellStyle name="20% - Accent2 10 4" xfId="29856" xr:uid="{890187E3-A64B-437F-BC82-1438CD8A7746}"/>
    <cellStyle name="20% - Accent2 11" xfId="8744" xr:uid="{FBC3D489-06B1-4754-B7C9-B034ACFC4899}"/>
    <cellStyle name="20% - Accent2 12" xfId="17192" xr:uid="{A0B0F7FE-1F26-407D-984D-2039438EA509}"/>
    <cellStyle name="20% - Accent2 13" xfId="25639" xr:uid="{3D637BAC-847F-447D-BBDB-D2A1ACD48695}"/>
    <cellStyle name="20% - Accent2 2" xfId="10" xr:uid="{00000000-0005-0000-0000-0000A2000000}"/>
    <cellStyle name="20% - Accent2 2 10" xfId="8745" xr:uid="{C1D50581-16AB-42AD-B546-12CA5FFFDDDA}"/>
    <cellStyle name="20% - Accent2 2 11" xfId="17193" xr:uid="{6CFAC20A-AD2C-4109-871B-1B50DEF897F7}"/>
    <cellStyle name="20% - Accent2 2 12" xfId="25640" xr:uid="{774FC099-A042-43E1-A349-9E5716D8BFFA}"/>
    <cellStyle name="20% - Accent2 2 2" xfId="11" xr:uid="{00000000-0005-0000-0000-0000A3000000}"/>
    <cellStyle name="20% - Accent2 2 2 10" xfId="17194" xr:uid="{A5F4A139-19D3-4963-95DE-77CEEE013394}"/>
    <cellStyle name="20% - Accent2 2 2 11" xfId="25641" xr:uid="{E88C92A0-6FBA-493B-874A-552CEBC2EA54}"/>
    <cellStyle name="20% - Accent2 2 2 2" xfId="12" xr:uid="{00000000-0005-0000-0000-0000A4000000}"/>
    <cellStyle name="20% - Accent2 2 2 2 10" xfId="25642" xr:uid="{BB2D041A-0E28-4E2E-9E7C-DC5A55369B8D}"/>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A397A7F8-4154-4A87-9FD2-863020887741}"/>
    <cellStyle name="20% - Accent2 2 2 2 2 2 2 3" xfId="23971" xr:uid="{C635BED0-BBFD-4C41-95A1-F01856DC4E55}"/>
    <cellStyle name="20% - Accent2 2 2 2 2 2 2 4" xfId="32418" xr:uid="{86AF32B6-D8D0-4025-AFEA-F3A926F23756}"/>
    <cellStyle name="20% - Accent2 2 2 2 2 2 3" xfId="11306" xr:uid="{3CA3E5BD-0646-4E1F-8C3D-8CB93D28E12F}"/>
    <cellStyle name="20% - Accent2 2 2 2 2 2 4" xfId="19754" xr:uid="{889E4D7D-613E-47C8-8945-D26946254580}"/>
    <cellStyle name="20% - Accent2 2 2 2 2 2 5" xfId="28201" xr:uid="{452385DC-2713-44C8-BE16-08FD29654227}"/>
    <cellStyle name="20% - Accent2 2 2 2 2 3" xfId="4929" xr:uid="{00000000-0005-0000-0000-0000A8000000}"/>
    <cellStyle name="20% - Accent2 2 2 2 2 3 2" xfId="13379" xr:uid="{27240912-6593-4014-BF23-195A1BE60FC8}"/>
    <cellStyle name="20% - Accent2 2 2 2 2 3 3" xfId="21826" xr:uid="{806D6A07-9D30-4F80-B94E-2DB0148B3666}"/>
    <cellStyle name="20% - Accent2 2 2 2 2 3 4" xfId="30273" xr:uid="{5E9923EB-DBDC-41A3-9E66-616FBECEE896}"/>
    <cellStyle name="20% - Accent2 2 2 2 2 4" xfId="9161" xr:uid="{CB1C13F5-D6A4-4FB9-833C-548E0E739BCF}"/>
    <cellStyle name="20% - Accent2 2 2 2 2 5" xfId="17609" xr:uid="{C7B0C784-D658-47F7-A950-21300B386620}"/>
    <cellStyle name="20% - Accent2 2 2 2 2 6" xfId="26056" xr:uid="{593E83EB-344F-43E4-A9AD-D624289CD3C1}"/>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5946344D-8717-4FB6-ADD2-21FF7E268824}"/>
    <cellStyle name="20% - Accent2 2 2 2 3 2 2 3" xfId="24384" xr:uid="{9410678A-8395-4F8E-89C3-74BEC562F09D}"/>
    <cellStyle name="20% - Accent2 2 2 2 3 2 2 4" xfId="32831" xr:uid="{6B379A97-DF52-4938-BF7E-D28FDA5F120B}"/>
    <cellStyle name="20% - Accent2 2 2 2 3 2 3" xfId="11719" xr:uid="{24A767EF-38F9-4967-8624-F6BD30A90642}"/>
    <cellStyle name="20% - Accent2 2 2 2 3 2 4" xfId="20167" xr:uid="{1F9BB5C3-6473-4879-8391-DFB9B3F656D6}"/>
    <cellStyle name="20% - Accent2 2 2 2 3 2 5" xfId="28614" xr:uid="{9EE46A9C-B977-4314-A319-7FD4ABF151CB}"/>
    <cellStyle name="20% - Accent2 2 2 2 3 3" xfId="5342" xr:uid="{00000000-0005-0000-0000-0000AC000000}"/>
    <cellStyle name="20% - Accent2 2 2 2 3 3 2" xfId="13792" xr:uid="{28E42110-7549-40D4-8AC2-95C152B5A294}"/>
    <cellStyle name="20% - Accent2 2 2 2 3 3 3" xfId="22239" xr:uid="{95494A40-E76A-401B-AA06-BFE97304AD30}"/>
    <cellStyle name="20% - Accent2 2 2 2 3 3 4" xfId="30686" xr:uid="{6476A2FA-DCF1-4758-ACB7-B6948921AF1C}"/>
    <cellStyle name="20% - Accent2 2 2 2 3 4" xfId="9574" xr:uid="{8B2EC462-C215-4A67-A62A-4554B4B5412F}"/>
    <cellStyle name="20% - Accent2 2 2 2 3 5" xfId="18022" xr:uid="{0446B6ED-CA8A-4030-9789-856C3B1AC570}"/>
    <cellStyle name="20% - Accent2 2 2 2 3 6" xfId="26469" xr:uid="{EBCC8D7F-2DD9-4F22-A3AE-E6DF42026913}"/>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7B612034-1AEA-48C5-98BC-204004963DF8}"/>
    <cellStyle name="20% - Accent2 2 2 2 4 2 2 3" xfId="24797" xr:uid="{50D6A5F5-32FA-45C6-85F2-80329F75E5EE}"/>
    <cellStyle name="20% - Accent2 2 2 2 4 2 2 4" xfId="33244" xr:uid="{D53B49C5-5372-4428-9902-F1C898E14482}"/>
    <cellStyle name="20% - Accent2 2 2 2 4 2 3" xfId="12132" xr:uid="{5B044F7D-6F5C-4B08-9200-6EB5254D32C1}"/>
    <cellStyle name="20% - Accent2 2 2 2 4 2 4" xfId="20580" xr:uid="{DC93FF8D-1C30-43C3-B2E6-A30204A7C273}"/>
    <cellStyle name="20% - Accent2 2 2 2 4 2 5" xfId="29027" xr:uid="{5421FC53-F1EC-494A-BA84-478F66161EDA}"/>
    <cellStyle name="20% - Accent2 2 2 2 4 3" xfId="5755" xr:uid="{00000000-0005-0000-0000-0000B0000000}"/>
    <cellStyle name="20% - Accent2 2 2 2 4 3 2" xfId="14205" xr:uid="{D7E29833-C5A8-46BF-AF93-46F3F7962DBD}"/>
    <cellStyle name="20% - Accent2 2 2 2 4 3 3" xfId="22652" xr:uid="{09F38091-F8F4-420B-93B1-76D0F0DE0AC3}"/>
    <cellStyle name="20% - Accent2 2 2 2 4 3 4" xfId="31099" xr:uid="{B803B5CC-4259-4AC5-BC50-3559D7EB15CE}"/>
    <cellStyle name="20% - Accent2 2 2 2 4 4" xfId="9987" xr:uid="{FD7939EB-9C56-4A20-8E31-0351C5255C28}"/>
    <cellStyle name="20% - Accent2 2 2 2 4 5" xfId="18435" xr:uid="{66CDC3AB-3E91-4A76-9D4A-93B3E4E38F33}"/>
    <cellStyle name="20% - Accent2 2 2 2 4 6" xfId="26882" xr:uid="{E53ABEB5-FA64-4BB5-9784-63AAB97C3EC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D2F4B6C2-A01B-40F7-89E3-415E25AEB542}"/>
    <cellStyle name="20% - Accent2 2 2 2 5 2 2 3" xfId="25210" xr:uid="{3632E3F6-CA78-45FA-A545-57D1A88CC9D6}"/>
    <cellStyle name="20% - Accent2 2 2 2 5 2 2 4" xfId="33657" xr:uid="{33B54A5A-304A-46A9-AA17-AF1B03060428}"/>
    <cellStyle name="20% - Accent2 2 2 2 5 2 3" xfId="12545" xr:uid="{665BABEF-57FE-4070-90CF-2D40110F6CB9}"/>
    <cellStyle name="20% - Accent2 2 2 2 5 2 4" xfId="20993" xr:uid="{C6C020C2-5533-481B-AA2F-EFDDA0CEDA3C}"/>
    <cellStyle name="20% - Accent2 2 2 2 5 2 5" xfId="29440" xr:uid="{D9734372-771F-4AD8-A145-ED3656509CD2}"/>
    <cellStyle name="20% - Accent2 2 2 2 5 3" xfId="6168" xr:uid="{00000000-0005-0000-0000-0000B4000000}"/>
    <cellStyle name="20% - Accent2 2 2 2 5 3 2" xfId="14618" xr:uid="{E1244422-BD90-4B0D-82D9-70120BD6ABA5}"/>
    <cellStyle name="20% - Accent2 2 2 2 5 3 3" xfId="23065" xr:uid="{67572EFD-518E-4B46-B134-9662383C41E9}"/>
    <cellStyle name="20% - Accent2 2 2 2 5 3 4" xfId="31512" xr:uid="{A61DC02C-3247-4350-A3C4-F971FFBAD5DC}"/>
    <cellStyle name="20% - Accent2 2 2 2 5 4" xfId="10400" xr:uid="{06D3C7AF-3CFA-4827-9D3D-08892E81761D}"/>
    <cellStyle name="20% - Accent2 2 2 2 5 5" xfId="18848" xr:uid="{B02DF831-A9E3-45C9-BA43-D793D5C9B993}"/>
    <cellStyle name="20% - Accent2 2 2 2 5 6" xfId="27295" xr:uid="{D511D4FD-AFED-4060-AE7E-88BA1AFDC1C1}"/>
    <cellStyle name="20% - Accent2 2 2 2 6" xfId="2275" xr:uid="{00000000-0005-0000-0000-0000B5000000}"/>
    <cellStyle name="20% - Accent2 2 2 2 6 2" xfId="6581" xr:uid="{00000000-0005-0000-0000-0000B6000000}"/>
    <cellStyle name="20% - Accent2 2 2 2 6 2 2" xfId="15031" xr:uid="{04906040-C8DC-4355-B86E-572E433FC8B9}"/>
    <cellStyle name="20% - Accent2 2 2 2 6 2 3" xfId="23478" xr:uid="{63CF0733-F2E5-4DF6-AB58-D40F9E4BFF87}"/>
    <cellStyle name="20% - Accent2 2 2 2 6 2 4" xfId="31925" xr:uid="{066E0E6F-1B52-418E-AC72-D6CF5FB42C49}"/>
    <cellStyle name="20% - Accent2 2 2 2 6 3" xfId="10813" xr:uid="{9D2336DD-9604-4AB3-A8A9-43EC62FAAFC5}"/>
    <cellStyle name="20% - Accent2 2 2 2 6 4" xfId="19261" xr:uid="{4DA159EB-61EF-4C30-A987-9EA384B6D04A}"/>
    <cellStyle name="20% - Accent2 2 2 2 6 5" xfId="27708" xr:uid="{70B94064-5474-4AAE-A2D6-913A60576E1B}"/>
    <cellStyle name="20% - Accent2 2 2 2 7" xfId="4515" xr:uid="{00000000-0005-0000-0000-0000B7000000}"/>
    <cellStyle name="20% - Accent2 2 2 2 7 2" xfId="12965" xr:uid="{BC3BE83A-051A-4D6B-8982-3F309AF10608}"/>
    <cellStyle name="20% - Accent2 2 2 2 7 3" xfId="21412" xr:uid="{952AFE27-9F9B-4311-B17F-4A82E2828272}"/>
    <cellStyle name="20% - Accent2 2 2 2 7 4" xfId="29859" xr:uid="{D2FC5B21-25D6-4369-A0D9-5F1F4B1D79F0}"/>
    <cellStyle name="20% - Accent2 2 2 2 8" xfId="8747" xr:uid="{EE310F38-A6CE-4E3A-8088-E0ADC706A656}"/>
    <cellStyle name="20% - Accent2 2 2 2 9" xfId="17195" xr:uid="{E859A1F0-DB19-41AE-B336-A4E9287A818B}"/>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0624BF7C-8982-44F1-82AC-992B8777ED8C}"/>
    <cellStyle name="20% - Accent2 2 2 3 2 2 3" xfId="23970" xr:uid="{1AD8FC59-3AB0-4BD5-80CD-21B6A98BD04E}"/>
    <cellStyle name="20% - Accent2 2 2 3 2 2 4" xfId="32417" xr:uid="{88979171-F8F3-48DB-876D-5001C4DE37CD}"/>
    <cellStyle name="20% - Accent2 2 2 3 2 3" xfId="11305" xr:uid="{E186EE3C-A767-4B7E-972B-D3526846E879}"/>
    <cellStyle name="20% - Accent2 2 2 3 2 4" xfId="19753" xr:uid="{992540CF-AB84-4F99-A64F-32477657303D}"/>
    <cellStyle name="20% - Accent2 2 2 3 2 5" xfId="28200" xr:uid="{3E8C9B1A-8F40-4691-A329-EDFFDEF30130}"/>
    <cellStyle name="20% - Accent2 2 2 3 3" xfId="4928" xr:uid="{00000000-0005-0000-0000-0000BB000000}"/>
    <cellStyle name="20% - Accent2 2 2 3 3 2" xfId="13378" xr:uid="{C2DCEC81-C307-4EF1-9791-EAA54E47465B}"/>
    <cellStyle name="20% - Accent2 2 2 3 3 3" xfId="21825" xr:uid="{B9C25870-1D6F-493C-8D87-9B550106161B}"/>
    <cellStyle name="20% - Accent2 2 2 3 3 4" xfId="30272" xr:uid="{EFCA7097-09FE-431D-BBDB-2E26372A5604}"/>
    <cellStyle name="20% - Accent2 2 2 3 4" xfId="9160" xr:uid="{3FB1E5CF-2E94-407A-9DF3-3BF20453A858}"/>
    <cellStyle name="20% - Accent2 2 2 3 5" xfId="17608" xr:uid="{46789D53-3B1F-4620-B760-BC7F0C1F9003}"/>
    <cellStyle name="20% - Accent2 2 2 3 6" xfId="26055" xr:uid="{C1F00173-B5F6-4251-8ED7-82DC28FDBCDB}"/>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B18C233B-5FD1-4868-A106-D70AB2EF4E82}"/>
    <cellStyle name="20% - Accent2 2 2 4 2 2 3" xfId="24383" xr:uid="{1F55C844-B010-4FBC-ABC8-5C6F849702F4}"/>
    <cellStyle name="20% - Accent2 2 2 4 2 2 4" xfId="32830" xr:uid="{25AFC5EE-6D80-4FD6-99BF-6BC03AAC3140}"/>
    <cellStyle name="20% - Accent2 2 2 4 2 3" xfId="11718" xr:uid="{4B5C2021-B933-48E2-9E05-E84B1DC3DB1C}"/>
    <cellStyle name="20% - Accent2 2 2 4 2 4" xfId="20166" xr:uid="{13EB647E-D9CF-4812-B345-EBA7E2EE8482}"/>
    <cellStyle name="20% - Accent2 2 2 4 2 5" xfId="28613" xr:uid="{45A420EB-AFB9-466A-BE99-4F7D419F453A}"/>
    <cellStyle name="20% - Accent2 2 2 4 3" xfId="5341" xr:uid="{00000000-0005-0000-0000-0000BF000000}"/>
    <cellStyle name="20% - Accent2 2 2 4 3 2" xfId="13791" xr:uid="{581AB7E4-15C5-4618-AAF7-A5907ADAFB2E}"/>
    <cellStyle name="20% - Accent2 2 2 4 3 3" xfId="22238" xr:uid="{1DE8BCF2-F324-4ACD-9C0D-A4093986791D}"/>
    <cellStyle name="20% - Accent2 2 2 4 3 4" xfId="30685" xr:uid="{8D900F1A-F37A-4B31-9B51-92989114FCBC}"/>
    <cellStyle name="20% - Accent2 2 2 4 4" xfId="9573" xr:uid="{9AA6A244-730E-44A0-95E8-14CA32F14080}"/>
    <cellStyle name="20% - Accent2 2 2 4 5" xfId="18021" xr:uid="{6F5F588F-5765-4B81-A3A3-15AFBDA5051E}"/>
    <cellStyle name="20% - Accent2 2 2 4 6" xfId="26468" xr:uid="{2FBB0EA0-40A1-4EF8-8F19-3BB08C3E6F98}"/>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43523A61-6BD6-4C2A-B63F-506B4433348C}"/>
    <cellStyle name="20% - Accent2 2 2 5 2 2 3" xfId="24796" xr:uid="{454AF17D-138C-44E0-9B99-3BD5D4E93FA0}"/>
    <cellStyle name="20% - Accent2 2 2 5 2 2 4" xfId="33243" xr:uid="{07079AC8-2C6B-4A2C-909F-4DB3D263E42C}"/>
    <cellStyle name="20% - Accent2 2 2 5 2 3" xfId="12131" xr:uid="{34F4DCAF-634F-4545-84F3-D7C88053487D}"/>
    <cellStyle name="20% - Accent2 2 2 5 2 4" xfId="20579" xr:uid="{06D6CE54-F8D4-4938-BA11-E41FF897C9E5}"/>
    <cellStyle name="20% - Accent2 2 2 5 2 5" xfId="29026" xr:uid="{425CF85B-6795-48E5-958A-8CBCDB134B4F}"/>
    <cellStyle name="20% - Accent2 2 2 5 3" xfId="5754" xr:uid="{00000000-0005-0000-0000-0000C3000000}"/>
    <cellStyle name="20% - Accent2 2 2 5 3 2" xfId="14204" xr:uid="{0395A778-DD75-48B9-AD99-16C92C4C3A34}"/>
    <cellStyle name="20% - Accent2 2 2 5 3 3" xfId="22651" xr:uid="{0D20F939-CABB-449D-AEA1-96979522CC21}"/>
    <cellStyle name="20% - Accent2 2 2 5 3 4" xfId="31098" xr:uid="{045EB3F9-514A-496F-BAAF-7C59E6AB0905}"/>
    <cellStyle name="20% - Accent2 2 2 5 4" xfId="9986" xr:uid="{3B6C43F8-7D63-44DC-AB18-871380AC5FF8}"/>
    <cellStyle name="20% - Accent2 2 2 5 5" xfId="18434" xr:uid="{64B6526A-DCC9-47CE-AFF4-18752C551C07}"/>
    <cellStyle name="20% - Accent2 2 2 5 6" xfId="26881" xr:uid="{035070D5-74C8-40C3-A5D3-49A1CF794CA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81EE3E76-246B-4DDD-9510-A466BBA10273}"/>
    <cellStyle name="20% - Accent2 2 2 6 2 2 3" xfId="25209" xr:uid="{B3022652-9A8B-40E6-8B61-B2427E0EF7DA}"/>
    <cellStyle name="20% - Accent2 2 2 6 2 2 4" xfId="33656" xr:uid="{0F4FF424-0571-42D3-951E-CEBD8DCF05FE}"/>
    <cellStyle name="20% - Accent2 2 2 6 2 3" xfId="12544" xr:uid="{180F25B0-CDFF-4584-9FBF-1F80767CF258}"/>
    <cellStyle name="20% - Accent2 2 2 6 2 4" xfId="20992" xr:uid="{6157242A-3731-44E2-ACB4-B744E4D320E8}"/>
    <cellStyle name="20% - Accent2 2 2 6 2 5" xfId="29439" xr:uid="{F2BDFCE5-3D03-405E-8415-1107C54EC70E}"/>
    <cellStyle name="20% - Accent2 2 2 6 3" xfId="6167" xr:uid="{00000000-0005-0000-0000-0000C7000000}"/>
    <cellStyle name="20% - Accent2 2 2 6 3 2" xfId="14617" xr:uid="{B639F9C7-FFF9-4E06-B2F3-07778F19E599}"/>
    <cellStyle name="20% - Accent2 2 2 6 3 3" xfId="23064" xr:uid="{B2198CB1-D7D7-43BF-81E3-C1A84AB8E381}"/>
    <cellStyle name="20% - Accent2 2 2 6 3 4" xfId="31511" xr:uid="{A08EEC68-C5B1-4B20-BDE5-E86AE569225F}"/>
    <cellStyle name="20% - Accent2 2 2 6 4" xfId="10399" xr:uid="{0B2C40F7-955A-436D-92BD-BC6423CD1BDC}"/>
    <cellStyle name="20% - Accent2 2 2 6 5" xfId="18847" xr:uid="{F94B9A01-AF26-42F5-88A6-480CEF213EC8}"/>
    <cellStyle name="20% - Accent2 2 2 6 6" xfId="27294" xr:uid="{8E9A3501-368D-477D-AD95-1F03816AAD82}"/>
    <cellStyle name="20% - Accent2 2 2 7" xfId="2274" xr:uid="{00000000-0005-0000-0000-0000C8000000}"/>
    <cellStyle name="20% - Accent2 2 2 7 2" xfId="6580" xr:uid="{00000000-0005-0000-0000-0000C9000000}"/>
    <cellStyle name="20% - Accent2 2 2 7 2 2" xfId="15030" xr:uid="{17CB02B4-F4E8-4FCB-8E31-D6F721266CBD}"/>
    <cellStyle name="20% - Accent2 2 2 7 2 3" xfId="23477" xr:uid="{FD88E352-39B3-4E16-9827-04AC404A1B1B}"/>
    <cellStyle name="20% - Accent2 2 2 7 2 4" xfId="31924" xr:uid="{7A0DC750-6226-425E-878A-7C56AF7D7790}"/>
    <cellStyle name="20% - Accent2 2 2 7 3" xfId="10812" xr:uid="{7651E4AE-D926-4DC0-8884-7424A1BFF416}"/>
    <cellStyle name="20% - Accent2 2 2 7 4" xfId="19260" xr:uid="{999295DF-7765-4970-A5A4-9B48FE717197}"/>
    <cellStyle name="20% - Accent2 2 2 7 5" xfId="27707" xr:uid="{971B8218-50B2-4D55-A424-DF74246818D1}"/>
    <cellStyle name="20% - Accent2 2 2 8" xfId="4514" xr:uid="{00000000-0005-0000-0000-0000CA000000}"/>
    <cellStyle name="20% - Accent2 2 2 8 2" xfId="12964" xr:uid="{5DD7EE66-0307-4F1C-9713-C83EF04EF832}"/>
    <cellStyle name="20% - Accent2 2 2 8 3" xfId="21411" xr:uid="{077127BB-0313-44C5-9FB0-A37330FEB176}"/>
    <cellStyle name="20% - Accent2 2 2 8 4" xfId="29858" xr:uid="{8D1E4E9F-E227-41B8-A077-0BF3C7033D09}"/>
    <cellStyle name="20% - Accent2 2 2 9" xfId="8746" xr:uid="{0BC8E98B-A148-47E4-BA06-F98BC3037EA7}"/>
    <cellStyle name="20% - Accent2 2 3" xfId="13" xr:uid="{00000000-0005-0000-0000-0000CB000000}"/>
    <cellStyle name="20% - Accent2 2 3 10" xfId="25643" xr:uid="{9A2B8AC5-C6AA-4A41-91F7-9A46C3E9F0B3}"/>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F5A7CA94-B5D6-435B-9C3C-76351FB327FF}"/>
    <cellStyle name="20% - Accent2 2 3 2 2 2 3" xfId="23972" xr:uid="{0A30A401-42B1-42A8-99FA-09E2ECDF2727}"/>
    <cellStyle name="20% - Accent2 2 3 2 2 2 4" xfId="32419" xr:uid="{3CDB4A3B-35C7-4A57-909B-98F4D726AA5A}"/>
    <cellStyle name="20% - Accent2 2 3 2 2 3" xfId="11307" xr:uid="{8FE40B79-2BB2-4B86-B7FC-669D787570C7}"/>
    <cellStyle name="20% - Accent2 2 3 2 2 4" xfId="19755" xr:uid="{719911D4-995C-4CDE-B406-A73D88C42FE1}"/>
    <cellStyle name="20% - Accent2 2 3 2 2 5" xfId="28202" xr:uid="{FEE9D6F5-EF2B-4495-B8F1-A4A6D7B17C65}"/>
    <cellStyle name="20% - Accent2 2 3 2 3" xfId="4930" xr:uid="{00000000-0005-0000-0000-0000CF000000}"/>
    <cellStyle name="20% - Accent2 2 3 2 3 2" xfId="13380" xr:uid="{1B1E891A-BFFF-457E-BCDB-FA616CB1C841}"/>
    <cellStyle name="20% - Accent2 2 3 2 3 3" xfId="21827" xr:uid="{6A448A49-2304-4BF5-85F7-AFE8A8C15855}"/>
    <cellStyle name="20% - Accent2 2 3 2 3 4" xfId="30274" xr:uid="{FF4D0779-0465-4E6A-96AF-206CD120DE40}"/>
    <cellStyle name="20% - Accent2 2 3 2 4" xfId="9162" xr:uid="{E2B21039-DD7F-4649-A4F9-3611AB04B8C4}"/>
    <cellStyle name="20% - Accent2 2 3 2 5" xfId="17610" xr:uid="{FEE90536-85AE-4F20-A908-FB8C21A198D9}"/>
    <cellStyle name="20% - Accent2 2 3 2 6" xfId="26057" xr:uid="{5A60C398-EBD4-4373-AEFA-183765AF4025}"/>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38964D11-5ED4-44BB-83E2-6F67F9B55B23}"/>
    <cellStyle name="20% - Accent2 2 3 3 2 2 3" xfId="24385" xr:uid="{789C0AD7-E838-4641-B813-D1C5B07F79BB}"/>
    <cellStyle name="20% - Accent2 2 3 3 2 2 4" xfId="32832" xr:uid="{ECF75AC1-D9A1-4A39-B598-9A574C6A61B0}"/>
    <cellStyle name="20% - Accent2 2 3 3 2 3" xfId="11720" xr:uid="{DF597DE1-ADE4-43AA-BA77-65CAD3A1A781}"/>
    <cellStyle name="20% - Accent2 2 3 3 2 4" xfId="20168" xr:uid="{2524EB85-6673-4A54-A328-E05849C232A3}"/>
    <cellStyle name="20% - Accent2 2 3 3 2 5" xfId="28615" xr:uid="{072F2B3C-E67E-4997-A5E3-B90FBBE4F97F}"/>
    <cellStyle name="20% - Accent2 2 3 3 3" xfId="5343" xr:uid="{00000000-0005-0000-0000-0000D3000000}"/>
    <cellStyle name="20% - Accent2 2 3 3 3 2" xfId="13793" xr:uid="{601257C0-3C66-4FFF-8CB3-144CDF4C9A5F}"/>
    <cellStyle name="20% - Accent2 2 3 3 3 3" xfId="22240" xr:uid="{766E8219-41F5-4CEA-B447-6CA6764A79D6}"/>
    <cellStyle name="20% - Accent2 2 3 3 3 4" xfId="30687" xr:uid="{3A224216-6607-4644-B6D2-406CBC7640F9}"/>
    <cellStyle name="20% - Accent2 2 3 3 4" xfId="9575" xr:uid="{BC252D8A-2EE4-4B9F-BFFC-1142493EF1F0}"/>
    <cellStyle name="20% - Accent2 2 3 3 5" xfId="18023" xr:uid="{61FD6DDC-094B-44DF-BC0B-1CE88593C1BC}"/>
    <cellStyle name="20% - Accent2 2 3 3 6" xfId="26470" xr:uid="{B67EF662-6136-4704-A6B0-5BB7AC25399F}"/>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8C420AEC-881F-49B7-B810-4F6FD4BE7B81}"/>
    <cellStyle name="20% - Accent2 2 3 4 2 2 3" xfId="24798" xr:uid="{AA3B1A60-EA5D-4F54-98B4-60A0B29B7F5E}"/>
    <cellStyle name="20% - Accent2 2 3 4 2 2 4" xfId="33245" xr:uid="{F917309A-C2D9-495A-813B-F505DE93DB5B}"/>
    <cellStyle name="20% - Accent2 2 3 4 2 3" xfId="12133" xr:uid="{1F9ED8FF-2BCC-4908-B95F-C166DCA72659}"/>
    <cellStyle name="20% - Accent2 2 3 4 2 4" xfId="20581" xr:uid="{0299F80A-F1C2-4705-BADC-0463E4C043AC}"/>
    <cellStyle name="20% - Accent2 2 3 4 2 5" xfId="29028" xr:uid="{9D093F49-6FED-4D5B-B465-F27131DAF254}"/>
    <cellStyle name="20% - Accent2 2 3 4 3" xfId="5756" xr:uid="{00000000-0005-0000-0000-0000D7000000}"/>
    <cellStyle name="20% - Accent2 2 3 4 3 2" xfId="14206" xr:uid="{065DD42D-C3B8-486A-83E6-BC45B101A537}"/>
    <cellStyle name="20% - Accent2 2 3 4 3 3" xfId="22653" xr:uid="{2CF0ECB1-D275-4753-BC5B-08E63F1D332F}"/>
    <cellStyle name="20% - Accent2 2 3 4 3 4" xfId="31100" xr:uid="{1140F3F9-09C8-43EF-B69C-036A15280E6C}"/>
    <cellStyle name="20% - Accent2 2 3 4 4" xfId="9988" xr:uid="{4EE50C0C-DA18-4656-92A3-69979E85E21E}"/>
    <cellStyle name="20% - Accent2 2 3 4 5" xfId="18436" xr:uid="{5A16913E-9494-460C-AC2B-09899AAFB9ED}"/>
    <cellStyle name="20% - Accent2 2 3 4 6" xfId="26883" xr:uid="{CFC24FF7-1ECA-498E-AFEE-31651FDDC513}"/>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8AFAB69A-AD60-42F1-A5B9-2DDA78BC55FE}"/>
    <cellStyle name="20% - Accent2 2 3 5 2 2 3" xfId="25211" xr:uid="{FA6C6577-622F-4FDC-8BE7-863A69A06A9F}"/>
    <cellStyle name="20% - Accent2 2 3 5 2 2 4" xfId="33658" xr:uid="{6DD6BE1F-E2C8-4BAC-924F-A910C6CD3160}"/>
    <cellStyle name="20% - Accent2 2 3 5 2 3" xfId="12546" xr:uid="{C9484D4A-5B49-45B7-A831-22ECC878D6F8}"/>
    <cellStyle name="20% - Accent2 2 3 5 2 4" xfId="20994" xr:uid="{E87F6B51-B58B-4826-A843-C8B9E636DB14}"/>
    <cellStyle name="20% - Accent2 2 3 5 2 5" xfId="29441" xr:uid="{6F642990-F9C3-4AB7-91D9-0B72206BF002}"/>
    <cellStyle name="20% - Accent2 2 3 5 3" xfId="6169" xr:uid="{00000000-0005-0000-0000-0000DB000000}"/>
    <cellStyle name="20% - Accent2 2 3 5 3 2" xfId="14619" xr:uid="{518ACAD7-070C-4B87-A4D3-1E0622C18D4B}"/>
    <cellStyle name="20% - Accent2 2 3 5 3 3" xfId="23066" xr:uid="{8010F61F-EBF2-49BE-AE25-0C8297D47015}"/>
    <cellStyle name="20% - Accent2 2 3 5 3 4" xfId="31513" xr:uid="{A932FB71-613A-469B-AE18-D129F5097B4E}"/>
    <cellStyle name="20% - Accent2 2 3 5 4" xfId="10401" xr:uid="{39271FA9-A906-434C-B283-A8C90DB84043}"/>
    <cellStyle name="20% - Accent2 2 3 5 5" xfId="18849" xr:uid="{20A6622B-B143-4446-B351-A1F77D211F84}"/>
    <cellStyle name="20% - Accent2 2 3 5 6" xfId="27296" xr:uid="{6D8AA35D-978C-4A2F-A9C2-FADFF618A29D}"/>
    <cellStyle name="20% - Accent2 2 3 6" xfId="2276" xr:uid="{00000000-0005-0000-0000-0000DC000000}"/>
    <cellStyle name="20% - Accent2 2 3 6 2" xfId="6582" xr:uid="{00000000-0005-0000-0000-0000DD000000}"/>
    <cellStyle name="20% - Accent2 2 3 6 2 2" xfId="15032" xr:uid="{A3CEADA3-6B20-4400-A7CE-569339BBDF69}"/>
    <cellStyle name="20% - Accent2 2 3 6 2 3" xfId="23479" xr:uid="{58A4DAF6-0FC0-4E5B-894B-94328AE10457}"/>
    <cellStyle name="20% - Accent2 2 3 6 2 4" xfId="31926" xr:uid="{6484CE8E-96CC-4D90-AFC1-8FEFBCE38C6F}"/>
    <cellStyle name="20% - Accent2 2 3 6 3" xfId="10814" xr:uid="{89C31178-A62A-48C6-929F-35218F391B43}"/>
    <cellStyle name="20% - Accent2 2 3 6 4" xfId="19262" xr:uid="{94A46CF5-3336-460A-9A6A-C71084AE09E8}"/>
    <cellStyle name="20% - Accent2 2 3 6 5" xfId="27709" xr:uid="{3C933BE6-1CE4-4B82-925D-19579B4E7533}"/>
    <cellStyle name="20% - Accent2 2 3 7" xfId="4516" xr:uid="{00000000-0005-0000-0000-0000DE000000}"/>
    <cellStyle name="20% - Accent2 2 3 7 2" xfId="12966" xr:uid="{59CD0104-599C-44B9-A5F3-0F5AD0DFF5C4}"/>
    <cellStyle name="20% - Accent2 2 3 7 3" xfId="21413" xr:uid="{F3838DF5-36FC-4C7B-B9B3-08D5B688D170}"/>
    <cellStyle name="20% - Accent2 2 3 7 4" xfId="29860" xr:uid="{9C9E06D9-7ED7-40EB-B168-18EB77A52F96}"/>
    <cellStyle name="20% - Accent2 2 3 8" xfId="8748" xr:uid="{DF168097-8A7D-463F-8DD4-A3176C083B0D}"/>
    <cellStyle name="20% - Accent2 2 3 9" xfId="17196" xr:uid="{1C713EBE-D55A-4199-AC53-D5598D6A008D}"/>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57CC60FA-62F0-488C-829A-FA6B5BEF41CD}"/>
    <cellStyle name="20% - Accent2 2 4 2 2 3" xfId="23969" xr:uid="{73CD7146-7609-497A-85B1-774D4C432521}"/>
    <cellStyle name="20% - Accent2 2 4 2 2 4" xfId="32416" xr:uid="{7B4920CE-563C-4415-B5F5-5C1195639289}"/>
    <cellStyle name="20% - Accent2 2 4 2 3" xfId="11304" xr:uid="{BB3641C8-C443-4367-8136-E54B4482D3E2}"/>
    <cellStyle name="20% - Accent2 2 4 2 4" xfId="19752" xr:uid="{CCF7990E-050B-4F04-A89F-889E54A94DF2}"/>
    <cellStyle name="20% - Accent2 2 4 2 5" xfId="28199" xr:uid="{4851D75C-F1A0-4056-90F8-F8DB1DA184CF}"/>
    <cellStyle name="20% - Accent2 2 4 3" xfId="4927" xr:uid="{00000000-0005-0000-0000-0000E2000000}"/>
    <cellStyle name="20% - Accent2 2 4 3 2" xfId="13377" xr:uid="{B48C2469-6614-40B4-848B-1C4E5C5B1EC9}"/>
    <cellStyle name="20% - Accent2 2 4 3 3" xfId="21824" xr:uid="{D4B1DA7B-4F9F-4DDF-A6B3-B271279775BE}"/>
    <cellStyle name="20% - Accent2 2 4 3 4" xfId="30271" xr:uid="{C71DB403-F640-48DC-A0D6-7927D886AC9C}"/>
    <cellStyle name="20% - Accent2 2 4 4" xfId="9159" xr:uid="{5FC5B2C0-9277-42EA-80D2-EDD76569C143}"/>
    <cellStyle name="20% - Accent2 2 4 5" xfId="17607" xr:uid="{1864B04A-5ACE-488C-A19F-0C62F638B5E3}"/>
    <cellStyle name="20% - Accent2 2 4 6" xfId="26054" xr:uid="{30F85236-6EA9-4529-B281-56711C8E269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B34A6761-35BB-4D8E-A660-3F719F16E437}"/>
    <cellStyle name="20% - Accent2 2 5 2 2 3" xfId="24382" xr:uid="{0E03D0EA-F996-4661-8855-3255A1C482E1}"/>
    <cellStyle name="20% - Accent2 2 5 2 2 4" xfId="32829" xr:uid="{48F77883-4EAE-417F-B591-57361B4D53D8}"/>
    <cellStyle name="20% - Accent2 2 5 2 3" xfId="11717" xr:uid="{F13B08AF-4241-4A2B-890D-4C2467312B5C}"/>
    <cellStyle name="20% - Accent2 2 5 2 4" xfId="20165" xr:uid="{642DA8AD-9422-44D1-BD32-451E262C921C}"/>
    <cellStyle name="20% - Accent2 2 5 2 5" xfId="28612" xr:uid="{5F126ED9-6B18-4FEB-A36C-FC8B8C1818D3}"/>
    <cellStyle name="20% - Accent2 2 5 3" xfId="5340" xr:uid="{00000000-0005-0000-0000-0000E6000000}"/>
    <cellStyle name="20% - Accent2 2 5 3 2" xfId="13790" xr:uid="{C64ACA39-33FA-41B9-ADA5-B479073CDEE6}"/>
    <cellStyle name="20% - Accent2 2 5 3 3" xfId="22237" xr:uid="{08EDB7B2-D994-4A58-AF69-5A6BA5FCDD56}"/>
    <cellStyle name="20% - Accent2 2 5 3 4" xfId="30684" xr:uid="{08F77B77-5FC9-4CBB-9C95-07A0D1ADC38C}"/>
    <cellStyle name="20% - Accent2 2 5 4" xfId="9572" xr:uid="{83EBE005-F9FB-4B6D-BE2B-F87C37A1F815}"/>
    <cellStyle name="20% - Accent2 2 5 5" xfId="18020" xr:uid="{7BA0E4BE-DE54-4181-B49B-7CA6F0ADAC69}"/>
    <cellStyle name="20% - Accent2 2 5 6" xfId="26467" xr:uid="{A0EE6679-6BA4-44B4-A527-D415CB82BE69}"/>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4DE70759-594F-44DA-AFF2-814B79B1FE8F}"/>
    <cellStyle name="20% - Accent2 2 6 2 2 3" xfId="24795" xr:uid="{21A03DB0-8C15-4A09-A0ED-F49D0C12814A}"/>
    <cellStyle name="20% - Accent2 2 6 2 2 4" xfId="33242" xr:uid="{0A4F0BE0-8F64-4D3D-B1B4-212EB1CAE4F6}"/>
    <cellStyle name="20% - Accent2 2 6 2 3" xfId="12130" xr:uid="{932ACD45-25B1-4939-BB93-BF30E3152A43}"/>
    <cellStyle name="20% - Accent2 2 6 2 4" xfId="20578" xr:uid="{905267FD-BD9F-466C-B236-354C52EEDC9E}"/>
    <cellStyle name="20% - Accent2 2 6 2 5" xfId="29025" xr:uid="{ED6BD4C0-030B-455F-BA1D-32BC5A617A2E}"/>
    <cellStyle name="20% - Accent2 2 6 3" xfId="5753" xr:uid="{00000000-0005-0000-0000-0000EA000000}"/>
    <cellStyle name="20% - Accent2 2 6 3 2" xfId="14203" xr:uid="{C2B9AE82-5A81-49F5-9EA4-9C2A4F0B83B2}"/>
    <cellStyle name="20% - Accent2 2 6 3 3" xfId="22650" xr:uid="{EFDA033B-BB38-4A74-8B90-E3ACBCA5250D}"/>
    <cellStyle name="20% - Accent2 2 6 3 4" xfId="31097" xr:uid="{55E571A8-F58D-47B4-83D2-970FE9DB1810}"/>
    <cellStyle name="20% - Accent2 2 6 4" xfId="9985" xr:uid="{65D2274F-6A03-4FF1-B761-DAA6E13D67D1}"/>
    <cellStyle name="20% - Accent2 2 6 5" xfId="18433" xr:uid="{3D2C4F64-0669-48EA-90A3-BDF3AEED4040}"/>
    <cellStyle name="20% - Accent2 2 6 6" xfId="26880" xr:uid="{4B6AC30F-9534-40B4-8969-FFC8FAF1B95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A4B0828C-9EFA-4E13-AEEA-0281D5736FC0}"/>
    <cellStyle name="20% - Accent2 2 7 2 2 3" xfId="25208" xr:uid="{5F3A1E1E-79CE-4833-909C-6CE8AE4016F1}"/>
    <cellStyle name="20% - Accent2 2 7 2 2 4" xfId="33655" xr:uid="{E71B727B-9253-4622-9030-1A1CDF049506}"/>
    <cellStyle name="20% - Accent2 2 7 2 3" xfId="12543" xr:uid="{1196D7BA-9713-4030-8EDB-FE064EEA2206}"/>
    <cellStyle name="20% - Accent2 2 7 2 4" xfId="20991" xr:uid="{6C7A70AA-BC5E-48F6-8427-1A0C02BEE566}"/>
    <cellStyle name="20% - Accent2 2 7 2 5" xfId="29438" xr:uid="{8B8A238B-1DBE-45BF-87CB-498E2884EAE4}"/>
    <cellStyle name="20% - Accent2 2 7 3" xfId="6166" xr:uid="{00000000-0005-0000-0000-0000EE000000}"/>
    <cellStyle name="20% - Accent2 2 7 3 2" xfId="14616" xr:uid="{496BB200-612A-4EF2-8845-0159E4B8B758}"/>
    <cellStyle name="20% - Accent2 2 7 3 3" xfId="23063" xr:uid="{DA0D0E65-9CFF-4DBF-A0EE-C82EE1861703}"/>
    <cellStyle name="20% - Accent2 2 7 3 4" xfId="31510" xr:uid="{3F1311C6-6706-427E-8925-3EF8CD8CB651}"/>
    <cellStyle name="20% - Accent2 2 7 4" xfId="10398" xr:uid="{921EA801-37AA-4825-B30B-616834720266}"/>
    <cellStyle name="20% - Accent2 2 7 5" xfId="18846" xr:uid="{25221DD0-E220-4A7D-B4A1-2C5017FCA936}"/>
    <cellStyle name="20% - Accent2 2 7 6" xfId="27293" xr:uid="{9ABF6802-FC9F-4EE6-A543-48D1925B4C73}"/>
    <cellStyle name="20% - Accent2 2 8" xfId="2273" xr:uid="{00000000-0005-0000-0000-0000EF000000}"/>
    <cellStyle name="20% - Accent2 2 8 2" xfId="6579" xr:uid="{00000000-0005-0000-0000-0000F0000000}"/>
    <cellStyle name="20% - Accent2 2 8 2 2" xfId="15029" xr:uid="{0314F2C3-E22B-4E5E-AABC-622ED42C6F26}"/>
    <cellStyle name="20% - Accent2 2 8 2 3" xfId="23476" xr:uid="{986C43A3-B64E-42F4-A670-EE0474E67140}"/>
    <cellStyle name="20% - Accent2 2 8 2 4" xfId="31923" xr:uid="{EE2B934E-4B23-416A-93A8-D03E6E93BE2C}"/>
    <cellStyle name="20% - Accent2 2 8 3" xfId="10811" xr:uid="{7D501D25-08F5-4733-9AF7-CA3D0754207E}"/>
    <cellStyle name="20% - Accent2 2 8 4" xfId="19259" xr:uid="{40BFDDD4-80F4-4893-833C-7D66FB91E746}"/>
    <cellStyle name="20% - Accent2 2 8 5" xfId="27706" xr:uid="{D3288553-19DB-4FF6-A0AA-78F4ABB2C094}"/>
    <cellStyle name="20% - Accent2 2 9" xfId="4513" xr:uid="{00000000-0005-0000-0000-0000F1000000}"/>
    <cellStyle name="20% - Accent2 2 9 2" xfId="12963" xr:uid="{6C73215A-E97D-4310-B29A-3FAF1826D777}"/>
    <cellStyle name="20% - Accent2 2 9 3" xfId="21410" xr:uid="{F54B8F9C-0F07-4A20-A5E1-CA5F04B2BAD5}"/>
    <cellStyle name="20% - Accent2 2 9 4" xfId="29857" xr:uid="{7DAA651B-1886-4F7D-BAF2-DF884906A1BE}"/>
    <cellStyle name="20% - Accent2 3" xfId="14" xr:uid="{00000000-0005-0000-0000-0000F2000000}"/>
    <cellStyle name="20% - Accent2 3 10" xfId="17197" xr:uid="{B943B06C-0643-4E0C-88A3-DFAD6EEDB327}"/>
    <cellStyle name="20% - Accent2 3 11" xfId="25644" xr:uid="{35231628-18EB-4F41-A073-980E157B3D26}"/>
    <cellStyle name="20% - Accent2 3 2" xfId="15" xr:uid="{00000000-0005-0000-0000-0000F3000000}"/>
    <cellStyle name="20% - Accent2 3 2 10" xfId="25645" xr:uid="{806CB378-9413-42A6-993A-DED3E7C0CF1A}"/>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6410E2C1-ACC9-42E7-B550-B511C766BC59}"/>
    <cellStyle name="20% - Accent2 3 2 2 2 2 3" xfId="23974" xr:uid="{3D13673B-67AB-4BED-A36C-DA54C347CBC3}"/>
    <cellStyle name="20% - Accent2 3 2 2 2 2 4" xfId="32421" xr:uid="{C8EE7B80-C3A0-44F4-8F8A-B0F095A0D627}"/>
    <cellStyle name="20% - Accent2 3 2 2 2 3" xfId="11309" xr:uid="{1D333C6C-903A-4F4B-8C78-10FC016098DF}"/>
    <cellStyle name="20% - Accent2 3 2 2 2 4" xfId="19757" xr:uid="{961F61AB-050C-417F-BC55-D58C28C5BC96}"/>
    <cellStyle name="20% - Accent2 3 2 2 2 5" xfId="28204" xr:uid="{D04686FA-603F-4C94-AD25-27E8B9975306}"/>
    <cellStyle name="20% - Accent2 3 2 2 3" xfId="4932" xr:uid="{00000000-0005-0000-0000-0000F7000000}"/>
    <cellStyle name="20% - Accent2 3 2 2 3 2" xfId="13382" xr:uid="{8A95898C-E688-44FD-B0D8-C8F44208320C}"/>
    <cellStyle name="20% - Accent2 3 2 2 3 3" xfId="21829" xr:uid="{8B598BD3-24AB-4436-AB4E-5ECA02AE5887}"/>
    <cellStyle name="20% - Accent2 3 2 2 3 4" xfId="30276" xr:uid="{C4B4FDDD-01D9-4844-8968-7F8EF9D8BFA2}"/>
    <cellStyle name="20% - Accent2 3 2 2 4" xfId="9164" xr:uid="{73BB8F25-9EAC-447D-9DDD-50E993B8776A}"/>
    <cellStyle name="20% - Accent2 3 2 2 5" xfId="17612" xr:uid="{F40CCCA2-F960-49AE-BE1B-F6C00D37A055}"/>
    <cellStyle name="20% - Accent2 3 2 2 6" xfId="26059" xr:uid="{2C57DF30-8B2D-479F-9860-1AE08B17E35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EE3706E5-CF63-4448-89CF-263FD59290F1}"/>
    <cellStyle name="20% - Accent2 3 2 3 2 2 3" xfId="24387" xr:uid="{C3E66263-5A7A-4824-A52E-34A0ED788F76}"/>
    <cellStyle name="20% - Accent2 3 2 3 2 2 4" xfId="32834" xr:uid="{5B3D876E-F4BA-448F-B38D-FF04D4D08406}"/>
    <cellStyle name="20% - Accent2 3 2 3 2 3" xfId="11722" xr:uid="{86599A30-3B9F-4136-845F-D44E3E2CA5CA}"/>
    <cellStyle name="20% - Accent2 3 2 3 2 4" xfId="20170" xr:uid="{A9F95779-0305-43E0-B6D1-A6E9CF824360}"/>
    <cellStyle name="20% - Accent2 3 2 3 2 5" xfId="28617" xr:uid="{EB1F5861-F41D-42E6-A6E6-3A8B91C3E631}"/>
    <cellStyle name="20% - Accent2 3 2 3 3" xfId="5345" xr:uid="{00000000-0005-0000-0000-0000FB000000}"/>
    <cellStyle name="20% - Accent2 3 2 3 3 2" xfId="13795" xr:uid="{3463DAF3-9BE6-4DC5-8C9C-890155820C68}"/>
    <cellStyle name="20% - Accent2 3 2 3 3 3" xfId="22242" xr:uid="{47E2CA23-36D6-4353-8C86-E1159C885C54}"/>
    <cellStyle name="20% - Accent2 3 2 3 3 4" xfId="30689" xr:uid="{B8C60731-6063-488C-8B11-6D6BE6084E60}"/>
    <cellStyle name="20% - Accent2 3 2 3 4" xfId="9577" xr:uid="{3766E64E-2378-4111-A9AD-731BDAFD15CC}"/>
    <cellStyle name="20% - Accent2 3 2 3 5" xfId="18025" xr:uid="{F47EEF40-4A31-4005-A9EB-9E1E6F8EF416}"/>
    <cellStyle name="20% - Accent2 3 2 3 6" xfId="26472" xr:uid="{1CDEC4C7-8343-4829-8950-F087FFE465D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F5127DD3-4F4B-4D75-817D-6929D84DE0C7}"/>
    <cellStyle name="20% - Accent2 3 2 4 2 2 3" xfId="24800" xr:uid="{38D04C84-4C2C-4AF7-8D75-B0184243AEE3}"/>
    <cellStyle name="20% - Accent2 3 2 4 2 2 4" xfId="33247" xr:uid="{572E84D4-71CB-4DF2-9C0F-08786C2F6565}"/>
    <cellStyle name="20% - Accent2 3 2 4 2 3" xfId="12135" xr:uid="{D6BDEFAD-3F55-41D2-947E-AE353CC7D934}"/>
    <cellStyle name="20% - Accent2 3 2 4 2 4" xfId="20583" xr:uid="{3919A897-6C81-46F6-9A22-8ECFF592578C}"/>
    <cellStyle name="20% - Accent2 3 2 4 2 5" xfId="29030" xr:uid="{AD09B401-43DE-4C9B-B2C4-C5B15FC7002C}"/>
    <cellStyle name="20% - Accent2 3 2 4 3" xfId="5758" xr:uid="{00000000-0005-0000-0000-0000FF000000}"/>
    <cellStyle name="20% - Accent2 3 2 4 3 2" xfId="14208" xr:uid="{0E61EEB1-A4D3-4D2B-BAB9-9BABEA2FFF16}"/>
    <cellStyle name="20% - Accent2 3 2 4 3 3" xfId="22655" xr:uid="{FF288098-64FD-41CB-A47A-49E521D633CF}"/>
    <cellStyle name="20% - Accent2 3 2 4 3 4" xfId="31102" xr:uid="{062BF681-F661-42A5-BC56-FB7C6E6E19DE}"/>
    <cellStyle name="20% - Accent2 3 2 4 4" xfId="9990" xr:uid="{0CAB04C5-1DCE-433C-92CC-CEC8A7AFAAC3}"/>
    <cellStyle name="20% - Accent2 3 2 4 5" xfId="18438" xr:uid="{31E0CEF7-2335-425B-819E-9B7BE118DE67}"/>
    <cellStyle name="20% - Accent2 3 2 4 6" xfId="26885" xr:uid="{02BB66AC-E1CB-4541-8402-36727C82B67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42A97ED3-E6A1-48EF-A524-0DB6B7906B5B}"/>
    <cellStyle name="20% - Accent2 3 2 5 2 2 3" xfId="25213" xr:uid="{7EEC3684-1D2A-40C1-BC48-210362092048}"/>
    <cellStyle name="20% - Accent2 3 2 5 2 2 4" xfId="33660" xr:uid="{035B959A-6189-4949-99B1-E66A880F7BB2}"/>
    <cellStyle name="20% - Accent2 3 2 5 2 3" xfId="12548" xr:uid="{D0060F4E-7C56-4351-B179-E7C1B724377E}"/>
    <cellStyle name="20% - Accent2 3 2 5 2 4" xfId="20996" xr:uid="{BD3495A7-821A-4B89-868F-29D3D56DDB64}"/>
    <cellStyle name="20% - Accent2 3 2 5 2 5" xfId="29443" xr:uid="{1AB13986-D2E6-4233-AF61-A5CA79583236}"/>
    <cellStyle name="20% - Accent2 3 2 5 3" xfId="6171" xr:uid="{00000000-0005-0000-0000-000003010000}"/>
    <cellStyle name="20% - Accent2 3 2 5 3 2" xfId="14621" xr:uid="{F8124C99-5A8D-450C-96C5-4ED9BD0A709C}"/>
    <cellStyle name="20% - Accent2 3 2 5 3 3" xfId="23068" xr:uid="{E0915853-99EB-4257-B166-5B9BB1F64779}"/>
    <cellStyle name="20% - Accent2 3 2 5 3 4" xfId="31515" xr:uid="{154AAF4D-EBB3-4E28-81E3-082C558C4C98}"/>
    <cellStyle name="20% - Accent2 3 2 5 4" xfId="10403" xr:uid="{E9A43809-F9DC-4582-9E96-D8A93BDAC669}"/>
    <cellStyle name="20% - Accent2 3 2 5 5" xfId="18851" xr:uid="{BC72A279-E665-4F61-B592-F9F516A841DE}"/>
    <cellStyle name="20% - Accent2 3 2 5 6" xfId="27298" xr:uid="{D27AC5A4-5827-4E25-A4A0-AAD0B4DA05C7}"/>
    <cellStyle name="20% - Accent2 3 2 6" xfId="2278" xr:uid="{00000000-0005-0000-0000-000004010000}"/>
    <cellStyle name="20% - Accent2 3 2 6 2" xfId="6584" xr:uid="{00000000-0005-0000-0000-000005010000}"/>
    <cellStyle name="20% - Accent2 3 2 6 2 2" xfId="15034" xr:uid="{903AE06C-0528-4E7A-ABC3-B1C7BFD6A18D}"/>
    <cellStyle name="20% - Accent2 3 2 6 2 3" xfId="23481" xr:uid="{B4D6EF7A-4340-4F9C-A8EC-6957AABD6CCE}"/>
    <cellStyle name="20% - Accent2 3 2 6 2 4" xfId="31928" xr:uid="{1D9DD8CA-477A-40D7-8611-CD19CACE3461}"/>
    <cellStyle name="20% - Accent2 3 2 6 3" xfId="10816" xr:uid="{CBBD5E0D-C8E9-416C-A99E-179F9B32C3F8}"/>
    <cellStyle name="20% - Accent2 3 2 6 4" xfId="19264" xr:uid="{83A4F500-C6A0-459B-9566-75CE4310C8E3}"/>
    <cellStyle name="20% - Accent2 3 2 6 5" xfId="27711" xr:uid="{47EEE50B-5FBF-49EC-820A-8AE22A458B6D}"/>
    <cellStyle name="20% - Accent2 3 2 7" xfId="4518" xr:uid="{00000000-0005-0000-0000-000006010000}"/>
    <cellStyle name="20% - Accent2 3 2 7 2" xfId="12968" xr:uid="{E69DCEE6-566B-40FE-9305-FC15C4C878F0}"/>
    <cellStyle name="20% - Accent2 3 2 7 3" xfId="21415" xr:uid="{2C87F947-DAF3-4A10-86D5-4449AD4DE370}"/>
    <cellStyle name="20% - Accent2 3 2 7 4" xfId="29862" xr:uid="{86F49037-2AEE-461D-99F6-EBC45B0BFE4C}"/>
    <cellStyle name="20% - Accent2 3 2 8" xfId="8750" xr:uid="{1D06D276-0699-4BB2-8377-D81FA58070E6}"/>
    <cellStyle name="20% - Accent2 3 2 9" xfId="17198" xr:uid="{C776CD22-C9C2-457D-B8D1-A07646DF7AAB}"/>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8F407B6E-851F-402E-BC4F-3D5ED84E637D}"/>
    <cellStyle name="20% - Accent2 3 3 2 2 3" xfId="23973" xr:uid="{6AB9F507-5A05-4F68-8FF5-E856D44F909E}"/>
    <cellStyle name="20% - Accent2 3 3 2 2 4" xfId="32420" xr:uid="{89F95874-C8E3-4C70-876B-EFEAE65C640A}"/>
    <cellStyle name="20% - Accent2 3 3 2 3" xfId="11308" xr:uid="{A9B10058-0960-4709-9032-33D9A1065D78}"/>
    <cellStyle name="20% - Accent2 3 3 2 4" xfId="19756" xr:uid="{80C2375A-2E7D-4619-B7B4-FB9687B23A1B}"/>
    <cellStyle name="20% - Accent2 3 3 2 5" xfId="28203" xr:uid="{ABD4DD40-E652-41A9-86CD-3F119913C6B8}"/>
    <cellStyle name="20% - Accent2 3 3 3" xfId="4931" xr:uid="{00000000-0005-0000-0000-00000A010000}"/>
    <cellStyle name="20% - Accent2 3 3 3 2" xfId="13381" xr:uid="{33F47D46-CC0C-4DF1-A4BF-53AC2F00EB7D}"/>
    <cellStyle name="20% - Accent2 3 3 3 3" xfId="21828" xr:uid="{DB6C0651-3BE4-40EA-838D-CAFAA69EF234}"/>
    <cellStyle name="20% - Accent2 3 3 3 4" xfId="30275" xr:uid="{318F8B09-22D3-4799-958D-F76962CB9B5C}"/>
    <cellStyle name="20% - Accent2 3 3 4" xfId="9163" xr:uid="{CC2B315D-143B-4C05-A9CA-731B2F346F99}"/>
    <cellStyle name="20% - Accent2 3 3 5" xfId="17611" xr:uid="{28CB3E72-333F-40A2-B799-BCA167059137}"/>
    <cellStyle name="20% - Accent2 3 3 6" xfId="26058" xr:uid="{96FB031F-3267-42C1-9A2A-759D55E9D565}"/>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B58FFC5C-8938-4923-9503-10BAB75B2486}"/>
    <cellStyle name="20% - Accent2 3 4 2 2 3" xfId="24386" xr:uid="{8EB84A45-B7BB-4EF3-96DC-6989FC881906}"/>
    <cellStyle name="20% - Accent2 3 4 2 2 4" xfId="32833" xr:uid="{B9B1F604-7A66-4386-A5EF-DAF399F1437F}"/>
    <cellStyle name="20% - Accent2 3 4 2 3" xfId="11721" xr:uid="{778B8301-F133-4B6C-B32D-61FC576A438A}"/>
    <cellStyle name="20% - Accent2 3 4 2 4" xfId="20169" xr:uid="{FEEA7F26-B341-4462-9088-C52FFB29C068}"/>
    <cellStyle name="20% - Accent2 3 4 2 5" xfId="28616" xr:uid="{CB7EF2F4-36F8-49EA-B0F3-431A0CF70472}"/>
    <cellStyle name="20% - Accent2 3 4 3" xfId="5344" xr:uid="{00000000-0005-0000-0000-00000E010000}"/>
    <cellStyle name="20% - Accent2 3 4 3 2" xfId="13794" xr:uid="{073DDF0A-6FC5-4CD0-9219-539235626C9D}"/>
    <cellStyle name="20% - Accent2 3 4 3 3" xfId="22241" xr:uid="{D5A4370B-C582-4EF8-8137-65D7B8E5F95D}"/>
    <cellStyle name="20% - Accent2 3 4 3 4" xfId="30688" xr:uid="{A82B7A06-619D-4636-BF78-6F07BC8F14AF}"/>
    <cellStyle name="20% - Accent2 3 4 4" xfId="9576" xr:uid="{56EE5F8A-A6DD-4926-A9B1-D602E92625F5}"/>
    <cellStyle name="20% - Accent2 3 4 5" xfId="18024" xr:uid="{33A25F3F-895C-4F05-8520-7EBEF049D31F}"/>
    <cellStyle name="20% - Accent2 3 4 6" xfId="26471" xr:uid="{F9C95943-603F-4215-BC5E-08393785AC1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E920A7E3-136E-4D5F-A623-66831CD6A503}"/>
    <cellStyle name="20% - Accent2 3 5 2 2 3" xfId="24799" xr:uid="{4FF0EC9E-61AC-4293-B930-4CF607BA4483}"/>
    <cellStyle name="20% - Accent2 3 5 2 2 4" xfId="33246" xr:uid="{C88E6541-00CE-47A2-B122-962CBAB4D700}"/>
    <cellStyle name="20% - Accent2 3 5 2 3" xfId="12134" xr:uid="{287CD3DD-C671-4A23-AD8E-3C80D74CD95A}"/>
    <cellStyle name="20% - Accent2 3 5 2 4" xfId="20582" xr:uid="{2FDD028F-830C-4155-83B4-D6205874E1C1}"/>
    <cellStyle name="20% - Accent2 3 5 2 5" xfId="29029" xr:uid="{99B55B95-3370-4553-97F4-840C077701A8}"/>
    <cellStyle name="20% - Accent2 3 5 3" xfId="5757" xr:uid="{00000000-0005-0000-0000-000012010000}"/>
    <cellStyle name="20% - Accent2 3 5 3 2" xfId="14207" xr:uid="{5088B1FC-4CC5-4D5B-8525-A674E64AE97C}"/>
    <cellStyle name="20% - Accent2 3 5 3 3" xfId="22654" xr:uid="{C4A7EF53-4FD4-4D50-80A7-1A439E8A73C5}"/>
    <cellStyle name="20% - Accent2 3 5 3 4" xfId="31101" xr:uid="{F888AD01-3F13-4702-931E-79ADA0599DCC}"/>
    <cellStyle name="20% - Accent2 3 5 4" xfId="9989" xr:uid="{84857135-470A-4006-832B-370FA186BED3}"/>
    <cellStyle name="20% - Accent2 3 5 5" xfId="18437" xr:uid="{05200918-AFD8-4CC9-A5C9-95DE36463715}"/>
    <cellStyle name="20% - Accent2 3 5 6" xfId="26884" xr:uid="{1D105441-E6CE-4475-931E-81017A03306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D0BF8863-8C8A-48DE-8C8C-938E7777B1D6}"/>
    <cellStyle name="20% - Accent2 3 6 2 2 3" xfId="25212" xr:uid="{DDE3F226-C33B-4027-BBCC-5B49349C093D}"/>
    <cellStyle name="20% - Accent2 3 6 2 2 4" xfId="33659" xr:uid="{4E021B0A-2EC5-49AE-8EB0-603D9F39E2E2}"/>
    <cellStyle name="20% - Accent2 3 6 2 3" xfId="12547" xr:uid="{E2A1C888-E9CA-46BE-B1C3-5059DCD145F4}"/>
    <cellStyle name="20% - Accent2 3 6 2 4" xfId="20995" xr:uid="{B2E76F87-7D10-4C3E-8248-1AEF4421EBE0}"/>
    <cellStyle name="20% - Accent2 3 6 2 5" xfId="29442" xr:uid="{1A6BD03F-DD7A-4A9D-93ED-E002819E76C5}"/>
    <cellStyle name="20% - Accent2 3 6 3" xfId="6170" xr:uid="{00000000-0005-0000-0000-000016010000}"/>
    <cellStyle name="20% - Accent2 3 6 3 2" xfId="14620" xr:uid="{53AD9C1C-72BC-46A8-824C-29B996BA2F85}"/>
    <cellStyle name="20% - Accent2 3 6 3 3" xfId="23067" xr:uid="{4B30B22F-EF96-441A-B7D9-335F588EA736}"/>
    <cellStyle name="20% - Accent2 3 6 3 4" xfId="31514" xr:uid="{ED992794-6110-45AB-90DB-A8E3A9EC47AC}"/>
    <cellStyle name="20% - Accent2 3 6 4" xfId="10402" xr:uid="{48E761FB-4CC1-45DD-8C38-3CE280A9006C}"/>
    <cellStyle name="20% - Accent2 3 6 5" xfId="18850" xr:uid="{2B8D5781-53B8-41FF-9CC0-15825FD507BF}"/>
    <cellStyle name="20% - Accent2 3 6 6" xfId="27297" xr:uid="{957346DA-8157-4AF4-8920-54931B89F4F4}"/>
    <cellStyle name="20% - Accent2 3 7" xfId="2277" xr:uid="{00000000-0005-0000-0000-000017010000}"/>
    <cellStyle name="20% - Accent2 3 7 2" xfId="6583" xr:uid="{00000000-0005-0000-0000-000018010000}"/>
    <cellStyle name="20% - Accent2 3 7 2 2" xfId="15033" xr:uid="{B1966F85-1506-44AE-BBF2-6DB2DD8E9370}"/>
    <cellStyle name="20% - Accent2 3 7 2 3" xfId="23480" xr:uid="{B8DE7183-4C99-4B50-8AD5-4A2C77E7EEF8}"/>
    <cellStyle name="20% - Accent2 3 7 2 4" xfId="31927" xr:uid="{95B547F4-E9E5-43A4-B931-43962B936445}"/>
    <cellStyle name="20% - Accent2 3 7 3" xfId="10815" xr:uid="{66EE4BBD-6297-4D98-B2F9-111A3BB1C9EB}"/>
    <cellStyle name="20% - Accent2 3 7 4" xfId="19263" xr:uid="{4F0AE15E-2750-41D0-942F-B7B5BAED6316}"/>
    <cellStyle name="20% - Accent2 3 7 5" xfId="27710" xr:uid="{058CD929-7D4F-4B03-950E-C72F7D0511EB}"/>
    <cellStyle name="20% - Accent2 3 8" xfId="4517" xr:uid="{00000000-0005-0000-0000-000019010000}"/>
    <cellStyle name="20% - Accent2 3 8 2" xfId="12967" xr:uid="{78E768F6-8256-46B0-820C-25F4157FCDC6}"/>
    <cellStyle name="20% - Accent2 3 8 3" xfId="21414" xr:uid="{F0DC3A79-723D-4DE3-A719-7B549ACF3D3B}"/>
    <cellStyle name="20% - Accent2 3 8 4" xfId="29861" xr:uid="{8F3CF8F5-FF80-42B9-A3E8-4420DE473FA4}"/>
    <cellStyle name="20% - Accent2 3 9" xfId="8749" xr:uid="{14B5100D-BB70-4DF6-ACC2-175E5FCCAA2D}"/>
    <cellStyle name="20% - Accent2 4" xfId="16" xr:uid="{00000000-0005-0000-0000-00001A010000}"/>
    <cellStyle name="20% - Accent2 4 10" xfId="25646" xr:uid="{4E7E6E47-EB46-463C-BFDA-4BFBB665FDC4}"/>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26CC692C-A9DF-4770-8E9F-46AF9C02C6BB}"/>
    <cellStyle name="20% - Accent2 4 2 2 2 3" xfId="23975" xr:uid="{47A54D01-9EB2-453D-A919-158E014C6FA5}"/>
    <cellStyle name="20% - Accent2 4 2 2 2 4" xfId="32422" xr:uid="{9F101601-184D-4DFF-8982-86788221DA14}"/>
    <cellStyle name="20% - Accent2 4 2 2 3" xfId="11310" xr:uid="{482E8B8A-1D5F-491A-8F81-878476B6962C}"/>
    <cellStyle name="20% - Accent2 4 2 2 4" xfId="19758" xr:uid="{EE9896C0-05B1-419C-9BBA-DC101F0E0FBE}"/>
    <cellStyle name="20% - Accent2 4 2 2 5" xfId="28205" xr:uid="{7A71C0EB-DD89-4041-A3FE-A5575C8A5D40}"/>
    <cellStyle name="20% - Accent2 4 2 3" xfId="4933" xr:uid="{00000000-0005-0000-0000-00001E010000}"/>
    <cellStyle name="20% - Accent2 4 2 3 2" xfId="13383" xr:uid="{B00325BC-A42C-4B53-9098-F1C2A7BE639D}"/>
    <cellStyle name="20% - Accent2 4 2 3 3" xfId="21830" xr:uid="{0C5F0A74-636A-42AC-8091-1DFE7A45462A}"/>
    <cellStyle name="20% - Accent2 4 2 3 4" xfId="30277" xr:uid="{35D5E9F1-6018-4283-86BB-F422D405BF21}"/>
    <cellStyle name="20% - Accent2 4 2 4" xfId="9165" xr:uid="{2B4C9773-1F22-4C28-B2AF-36D851D76AA9}"/>
    <cellStyle name="20% - Accent2 4 2 5" xfId="17613" xr:uid="{ECBD0963-884A-4129-B974-46BFCF626E1C}"/>
    <cellStyle name="20% - Accent2 4 2 6" xfId="26060" xr:uid="{40105260-C8E0-4066-9E6A-0D55A8CDDC86}"/>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68B46516-AAA1-4848-8DB2-CA069B2B750B}"/>
    <cellStyle name="20% - Accent2 4 3 2 2 3" xfId="24388" xr:uid="{FC43FBF6-8290-48B9-BC5E-1707094B3AB1}"/>
    <cellStyle name="20% - Accent2 4 3 2 2 4" xfId="32835" xr:uid="{33666276-A414-450F-8797-1F20E761844E}"/>
    <cellStyle name="20% - Accent2 4 3 2 3" xfId="11723" xr:uid="{898BB31C-CB31-4113-BCE0-F6A386F5AECD}"/>
    <cellStyle name="20% - Accent2 4 3 2 4" xfId="20171" xr:uid="{8154EFD9-D67A-42C6-B61C-9A5411A60D83}"/>
    <cellStyle name="20% - Accent2 4 3 2 5" xfId="28618" xr:uid="{3870C7D5-86B7-415B-AF07-BD14FDA8BC6C}"/>
    <cellStyle name="20% - Accent2 4 3 3" xfId="5346" xr:uid="{00000000-0005-0000-0000-000022010000}"/>
    <cellStyle name="20% - Accent2 4 3 3 2" xfId="13796" xr:uid="{2165DEAF-14A3-405B-B4C9-89E06440B0A8}"/>
    <cellStyle name="20% - Accent2 4 3 3 3" xfId="22243" xr:uid="{4D5BE75A-7E81-4D04-B9BF-7F4E32578EA1}"/>
    <cellStyle name="20% - Accent2 4 3 3 4" xfId="30690" xr:uid="{1454E8BF-3FD1-460F-BD42-A9451232ECAC}"/>
    <cellStyle name="20% - Accent2 4 3 4" xfId="9578" xr:uid="{3BF6C0A4-9E89-4327-8CE3-7075A1650523}"/>
    <cellStyle name="20% - Accent2 4 3 5" xfId="18026" xr:uid="{3926160C-C44D-4EEF-BFC0-DC50A74B766F}"/>
    <cellStyle name="20% - Accent2 4 3 6" xfId="26473" xr:uid="{CBE33EF7-8680-49E7-9B79-CEFE10C2D36D}"/>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B6B5B2B-C5F7-44C7-91BC-B148F997EA6C}"/>
    <cellStyle name="20% - Accent2 4 4 2 2 3" xfId="24801" xr:uid="{AAC7BACA-3E34-4663-87BF-FD1A6DAB7BA6}"/>
    <cellStyle name="20% - Accent2 4 4 2 2 4" xfId="33248" xr:uid="{3E96D4FF-516C-4777-9FAE-A65C2C3362E8}"/>
    <cellStyle name="20% - Accent2 4 4 2 3" xfId="12136" xr:uid="{03C46923-AE87-4361-84DE-A72928A439FC}"/>
    <cellStyle name="20% - Accent2 4 4 2 4" xfId="20584" xr:uid="{72EA3985-38D0-43B4-8B46-B86971A73132}"/>
    <cellStyle name="20% - Accent2 4 4 2 5" xfId="29031" xr:uid="{F0EB158A-BBF1-40EC-AC24-DBBF87C56358}"/>
    <cellStyle name="20% - Accent2 4 4 3" xfId="5759" xr:uid="{00000000-0005-0000-0000-000026010000}"/>
    <cellStyle name="20% - Accent2 4 4 3 2" xfId="14209" xr:uid="{274DBC76-E4EF-4E5A-8908-EDFE5F96DD1F}"/>
    <cellStyle name="20% - Accent2 4 4 3 3" xfId="22656" xr:uid="{E8720626-E04F-4B1C-8C8C-9009B3054CE7}"/>
    <cellStyle name="20% - Accent2 4 4 3 4" xfId="31103" xr:uid="{3369BE5C-DA2B-45F8-96C9-3838FAA79739}"/>
    <cellStyle name="20% - Accent2 4 4 4" xfId="9991" xr:uid="{0601AF7C-5FD6-4442-9BE4-78D5C35E9487}"/>
    <cellStyle name="20% - Accent2 4 4 5" xfId="18439" xr:uid="{63105A18-2AD2-4253-BF66-FE2063053866}"/>
    <cellStyle name="20% - Accent2 4 4 6" xfId="26886" xr:uid="{2E8B3CE8-4EDB-49A9-9AAA-B2406C38490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F2987CCC-287E-4940-BA7F-2128CCB2C076}"/>
    <cellStyle name="20% - Accent2 4 5 2 2 3" xfId="25214" xr:uid="{646112F0-004E-4EBE-9E2A-D8AB79C49698}"/>
    <cellStyle name="20% - Accent2 4 5 2 2 4" xfId="33661" xr:uid="{DD386127-3F98-4044-AD18-86F3F9D430EB}"/>
    <cellStyle name="20% - Accent2 4 5 2 3" xfId="12549" xr:uid="{CDC7EDD6-39DE-4548-9A62-93AFA1324A56}"/>
    <cellStyle name="20% - Accent2 4 5 2 4" xfId="20997" xr:uid="{4FDABF7A-4A15-490C-BC56-3B14A317430C}"/>
    <cellStyle name="20% - Accent2 4 5 2 5" xfId="29444" xr:uid="{DB63AA6B-EA8E-473E-A38F-88AB8975626F}"/>
    <cellStyle name="20% - Accent2 4 5 3" xfId="6172" xr:uid="{00000000-0005-0000-0000-00002A010000}"/>
    <cellStyle name="20% - Accent2 4 5 3 2" xfId="14622" xr:uid="{F3B0BB43-7E80-4E7A-8008-00D6451FA0C5}"/>
    <cellStyle name="20% - Accent2 4 5 3 3" xfId="23069" xr:uid="{029C6E01-4688-4D17-84AA-70F95C2A132D}"/>
    <cellStyle name="20% - Accent2 4 5 3 4" xfId="31516" xr:uid="{1CAAAC7A-1490-4982-8606-5E91E11372F8}"/>
    <cellStyle name="20% - Accent2 4 5 4" xfId="10404" xr:uid="{9ADB0E9B-7099-476A-954D-CB610BD7290E}"/>
    <cellStyle name="20% - Accent2 4 5 5" xfId="18852" xr:uid="{9501210F-BFCD-4D8E-A910-C8D42866EA46}"/>
    <cellStyle name="20% - Accent2 4 5 6" xfId="27299" xr:uid="{0B63D69E-0083-42DD-8731-F75244DE4122}"/>
    <cellStyle name="20% - Accent2 4 6" xfId="2279" xr:uid="{00000000-0005-0000-0000-00002B010000}"/>
    <cellStyle name="20% - Accent2 4 6 2" xfId="6585" xr:uid="{00000000-0005-0000-0000-00002C010000}"/>
    <cellStyle name="20% - Accent2 4 6 2 2" xfId="15035" xr:uid="{E257DAE0-5B6A-4FFE-AF3F-0BBDA2FC85F6}"/>
    <cellStyle name="20% - Accent2 4 6 2 3" xfId="23482" xr:uid="{643B890F-967E-4B6E-949B-D4062E43D3BB}"/>
    <cellStyle name="20% - Accent2 4 6 2 4" xfId="31929" xr:uid="{488903DB-D3E3-4D4B-B479-6D1A34211DD3}"/>
    <cellStyle name="20% - Accent2 4 6 3" xfId="10817" xr:uid="{DB7E6EA8-12A1-4B5A-A68D-5A0A41CA541E}"/>
    <cellStyle name="20% - Accent2 4 6 4" xfId="19265" xr:uid="{7F450E81-F434-4ED9-BAB9-9E3240B681E5}"/>
    <cellStyle name="20% - Accent2 4 6 5" xfId="27712" xr:uid="{1105911F-0366-49F1-8636-188094C59C23}"/>
    <cellStyle name="20% - Accent2 4 7" xfId="4519" xr:uid="{00000000-0005-0000-0000-00002D010000}"/>
    <cellStyle name="20% - Accent2 4 7 2" xfId="12969" xr:uid="{54F837A1-4421-457C-9C1E-1520B43B73BB}"/>
    <cellStyle name="20% - Accent2 4 7 3" xfId="21416" xr:uid="{13019C4D-32C3-4404-8A28-741E53C00B37}"/>
    <cellStyle name="20% - Accent2 4 7 4" xfId="29863" xr:uid="{BEF87BD0-EB5F-4932-A949-FC4C033762E2}"/>
    <cellStyle name="20% - Accent2 4 8" xfId="8751" xr:uid="{D21BABE2-5194-43F3-953B-F4ED0B2CCD5A}"/>
    <cellStyle name="20% - Accent2 4 9" xfId="17199" xr:uid="{95AB1581-1F89-442E-A349-0CB292F57B6A}"/>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46E98449-96C8-4E16-9D3B-96083B826056}"/>
    <cellStyle name="20% - Accent2 5 2 2 3" xfId="23968" xr:uid="{5FC2FCAA-FDB2-477B-9363-4CDCCCE6C520}"/>
    <cellStyle name="20% - Accent2 5 2 2 4" xfId="32415" xr:uid="{F5BAE9EE-6BCB-496B-A534-C326FC69DB61}"/>
    <cellStyle name="20% - Accent2 5 2 3" xfId="11303" xr:uid="{72933D19-941F-4253-9681-CC117BE6ABDB}"/>
    <cellStyle name="20% - Accent2 5 2 4" xfId="19751" xr:uid="{9B8D320E-B205-443F-9420-5A67575EF056}"/>
    <cellStyle name="20% - Accent2 5 2 5" xfId="28198" xr:uid="{9B8E388F-CA52-4894-B4E2-A2BA883ACC23}"/>
    <cellStyle name="20% - Accent2 5 3" xfId="4926" xr:uid="{00000000-0005-0000-0000-000031010000}"/>
    <cellStyle name="20% - Accent2 5 3 2" xfId="13376" xr:uid="{3DAA2681-11D8-4033-ABA1-FDF8E8F4481A}"/>
    <cellStyle name="20% - Accent2 5 3 3" xfId="21823" xr:uid="{21A9E007-319A-429B-939A-D30863F6E005}"/>
    <cellStyle name="20% - Accent2 5 3 4" xfId="30270" xr:uid="{20E38260-2BB8-4B0A-A9E5-0BD5B6E6BB3A}"/>
    <cellStyle name="20% - Accent2 5 4" xfId="9158" xr:uid="{7EA2EFB0-8C1F-4D4B-A6E9-0D561A613889}"/>
    <cellStyle name="20% - Accent2 5 5" xfId="17606" xr:uid="{16FF7094-E038-4417-BF54-130BDF249ECD}"/>
    <cellStyle name="20% - Accent2 5 6" xfId="26053" xr:uid="{5AB191FD-40D1-495C-A2F6-54FE96C79611}"/>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56CA1781-2DDA-4568-8FC3-4E7F85F69945}"/>
    <cellStyle name="20% - Accent2 6 2 2 3" xfId="24381" xr:uid="{3FE5312D-692E-4DF1-8442-45B9C7EF99B5}"/>
    <cellStyle name="20% - Accent2 6 2 2 4" xfId="32828" xr:uid="{76B4EC3C-D1DB-4757-A6D5-3183847710EA}"/>
    <cellStyle name="20% - Accent2 6 2 3" xfId="11716" xr:uid="{1F66B144-105C-4AE8-AD68-EBD67223D240}"/>
    <cellStyle name="20% - Accent2 6 2 4" xfId="20164" xr:uid="{8E50A615-0A84-4ECC-90F7-129FEEF2E029}"/>
    <cellStyle name="20% - Accent2 6 2 5" xfId="28611" xr:uid="{821E47DD-01B9-416E-A56C-6C8808DF1DD6}"/>
    <cellStyle name="20% - Accent2 6 3" xfId="5339" xr:uid="{00000000-0005-0000-0000-000035010000}"/>
    <cellStyle name="20% - Accent2 6 3 2" xfId="13789" xr:uid="{1AB6F146-8094-4731-95BD-F418B0045BD5}"/>
    <cellStyle name="20% - Accent2 6 3 3" xfId="22236" xr:uid="{9A3D80D8-5562-4030-8E74-65DA25413183}"/>
    <cellStyle name="20% - Accent2 6 3 4" xfId="30683" xr:uid="{277CC8F1-07BA-48F9-B823-F25B99CE0BBA}"/>
    <cellStyle name="20% - Accent2 6 4" xfId="9571" xr:uid="{265103AA-D116-46AB-A368-D898B6FA0610}"/>
    <cellStyle name="20% - Accent2 6 5" xfId="18019" xr:uid="{5539D352-D359-45C1-8B94-0A3F2B794203}"/>
    <cellStyle name="20% - Accent2 6 6" xfId="26466" xr:uid="{5AC6B0BB-37A2-4C97-BB5B-80CF4489CF9F}"/>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4BE0EB06-F2F0-4F87-99E5-419D810AECF5}"/>
    <cellStyle name="20% - Accent2 7 2 2 3" xfId="24794" xr:uid="{9C480732-DF3F-491D-AA81-5BDC9F9C8BE1}"/>
    <cellStyle name="20% - Accent2 7 2 2 4" xfId="33241" xr:uid="{65202D43-BF7B-4F40-83AD-754218E21D71}"/>
    <cellStyle name="20% - Accent2 7 2 3" xfId="12129" xr:uid="{5B836936-336A-4DBD-A3B6-5E42CA0080CA}"/>
    <cellStyle name="20% - Accent2 7 2 4" xfId="20577" xr:uid="{EC6EF23E-158C-4B90-9D4A-33384219EE83}"/>
    <cellStyle name="20% - Accent2 7 2 5" xfId="29024" xr:uid="{2CBBA865-DF63-4C14-86A2-5E51F7DEBE43}"/>
    <cellStyle name="20% - Accent2 7 3" xfId="5752" xr:uid="{00000000-0005-0000-0000-000039010000}"/>
    <cellStyle name="20% - Accent2 7 3 2" xfId="14202" xr:uid="{9972755E-F776-4803-9B9A-325853F5CF0F}"/>
    <cellStyle name="20% - Accent2 7 3 3" xfId="22649" xr:uid="{1ABFFFE5-568D-436B-AC50-06AEC7A98B2D}"/>
    <cellStyle name="20% - Accent2 7 3 4" xfId="31096" xr:uid="{0329FCC5-383B-4E66-A1D7-C549CB6DE4AB}"/>
    <cellStyle name="20% - Accent2 7 4" xfId="9984" xr:uid="{F06BD281-CCC1-432F-9857-B2240DA98091}"/>
    <cellStyle name="20% - Accent2 7 5" xfId="18432" xr:uid="{C48268D8-A714-45C2-BC5C-387582B9CE71}"/>
    <cellStyle name="20% - Accent2 7 6" xfId="26879" xr:uid="{18ABECA7-5789-42B2-A426-189FEE193A1B}"/>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21ED5612-D192-4E7D-89F2-D9366DD83BA8}"/>
    <cellStyle name="20% - Accent2 8 2 2 3" xfId="25207" xr:uid="{44FCD0B1-0AC8-4CDB-9DD5-B84C64B746C0}"/>
    <cellStyle name="20% - Accent2 8 2 2 4" xfId="33654" xr:uid="{76F2BE0E-4F98-4F46-BCA6-6CF37EC5400A}"/>
    <cellStyle name="20% - Accent2 8 2 3" xfId="12542" xr:uid="{105DFDDE-8462-474D-8EBD-BB0F93F972E0}"/>
    <cellStyle name="20% - Accent2 8 2 4" xfId="20990" xr:uid="{E7103E14-F9AA-4D10-A048-748AED0242C3}"/>
    <cellStyle name="20% - Accent2 8 2 5" xfId="29437" xr:uid="{0C448A93-482D-4CE9-A160-C081BD4FB52E}"/>
    <cellStyle name="20% - Accent2 8 3" xfId="6165" xr:uid="{00000000-0005-0000-0000-00003D010000}"/>
    <cellStyle name="20% - Accent2 8 3 2" xfId="14615" xr:uid="{FA28DFC0-0AD7-46C5-AA13-15C162650ED4}"/>
    <cellStyle name="20% - Accent2 8 3 3" xfId="23062" xr:uid="{A18C953D-FCB4-4E99-AF65-76A2CE2A777A}"/>
    <cellStyle name="20% - Accent2 8 3 4" xfId="31509" xr:uid="{203BEA80-719F-45B1-B18F-3FB91DBD23BC}"/>
    <cellStyle name="20% - Accent2 8 4" xfId="10397" xr:uid="{EA0E8EF7-81C9-4FBC-BF37-D517FEF1BE0B}"/>
    <cellStyle name="20% - Accent2 8 5" xfId="18845" xr:uid="{CE8673E6-EAA7-4D4B-92E0-9B8731F7D65A}"/>
    <cellStyle name="20% - Accent2 8 6" xfId="27292" xr:uid="{3A1CD0A2-1D03-4B00-8D77-CEC56FF1C7F1}"/>
    <cellStyle name="20% - Accent2 9" xfId="2272" xr:uid="{00000000-0005-0000-0000-00003E010000}"/>
    <cellStyle name="20% - Accent2 9 2" xfId="6578" xr:uid="{00000000-0005-0000-0000-00003F010000}"/>
    <cellStyle name="20% - Accent2 9 2 2" xfId="15028" xr:uid="{7EA775CF-3A7A-4274-8825-1F1A7F7881ED}"/>
    <cellStyle name="20% - Accent2 9 2 3" xfId="23475" xr:uid="{47814A80-3410-4B9F-85F7-6FA3CF3B7E12}"/>
    <cellStyle name="20% - Accent2 9 2 4" xfId="31922" xr:uid="{1EDD45EB-B0D9-4382-B3A7-5F730CFE7E17}"/>
    <cellStyle name="20% - Accent2 9 3" xfId="10810" xr:uid="{1A768E9A-5789-4810-B1F7-0F8B283505FE}"/>
    <cellStyle name="20% - Accent2 9 4" xfId="19258" xr:uid="{1F09FDE7-7307-44C4-9DD7-A39FD398D290}"/>
    <cellStyle name="20% - Accent2 9 5" xfId="27705" xr:uid="{93F59218-0310-4CCC-9F4D-BE8BF75220BB}"/>
    <cellStyle name="20% - Accent3" xfId="17" builtinId="38" customBuiltin="1"/>
    <cellStyle name="20% - Accent3 10" xfId="4520" xr:uid="{00000000-0005-0000-0000-000041010000}"/>
    <cellStyle name="20% - Accent3 10 2" xfId="12970" xr:uid="{B7AC3AC9-7D83-47B3-A633-E2EE1A5D93C4}"/>
    <cellStyle name="20% - Accent3 10 3" xfId="21417" xr:uid="{B1F87AEE-31AF-4081-864B-0762C4865EF5}"/>
    <cellStyle name="20% - Accent3 10 4" xfId="29864" xr:uid="{E46BAD93-EEA2-421D-93B8-6532AD983CC0}"/>
    <cellStyle name="20% - Accent3 11" xfId="8752" xr:uid="{4635CD32-14E6-4523-AD08-18D2A837EF15}"/>
    <cellStyle name="20% - Accent3 12" xfId="17200" xr:uid="{34FC0DA7-8265-46E6-BAE9-31BCBA17F2A2}"/>
    <cellStyle name="20% - Accent3 13" xfId="25647" xr:uid="{05772A0A-CE26-438E-BD7A-AB1CA62D9B52}"/>
    <cellStyle name="20% - Accent3 2" xfId="18" xr:uid="{00000000-0005-0000-0000-000042010000}"/>
    <cellStyle name="20% - Accent3 2 10" xfId="8753" xr:uid="{EFC5E080-6FD5-4274-9542-2B558A932727}"/>
    <cellStyle name="20% - Accent3 2 11" xfId="17201" xr:uid="{9EE60524-108D-4FB7-85BB-E9CD85209A4E}"/>
    <cellStyle name="20% - Accent3 2 12" xfId="25648" xr:uid="{558398A0-FEB4-4B45-9F79-5FD7D5B97E53}"/>
    <cellStyle name="20% - Accent3 2 2" xfId="19" xr:uid="{00000000-0005-0000-0000-000043010000}"/>
    <cellStyle name="20% - Accent3 2 2 10" xfId="17202" xr:uid="{5A1D1CE2-1510-4918-BBE1-5BC16D23C2A3}"/>
    <cellStyle name="20% - Accent3 2 2 11" xfId="25649" xr:uid="{21A9F5B8-71B7-471F-A243-6587170DE740}"/>
    <cellStyle name="20% - Accent3 2 2 2" xfId="20" xr:uid="{00000000-0005-0000-0000-000044010000}"/>
    <cellStyle name="20% - Accent3 2 2 2 10" xfId="25650" xr:uid="{EB443D70-5576-4D42-81F4-A9B66BD1B99D}"/>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C44DD7A9-2350-4753-94AE-DADE90B1EE8D}"/>
    <cellStyle name="20% - Accent3 2 2 2 2 2 2 3" xfId="23979" xr:uid="{AB4A78D1-E145-455F-BB9F-1BF349CD12AA}"/>
    <cellStyle name="20% - Accent3 2 2 2 2 2 2 4" xfId="32426" xr:uid="{4D3CC547-C751-4438-AE6C-6D3D8E404ECF}"/>
    <cellStyle name="20% - Accent3 2 2 2 2 2 3" xfId="11314" xr:uid="{56DE68DB-0419-43E0-9EDB-146E1427724A}"/>
    <cellStyle name="20% - Accent3 2 2 2 2 2 4" xfId="19762" xr:uid="{15D90F3F-46BE-4423-833C-81036647C5E8}"/>
    <cellStyle name="20% - Accent3 2 2 2 2 2 5" xfId="28209" xr:uid="{566DAEFC-28FE-4D5E-9C87-FB65C7190571}"/>
    <cellStyle name="20% - Accent3 2 2 2 2 3" xfId="4937" xr:uid="{00000000-0005-0000-0000-000048010000}"/>
    <cellStyle name="20% - Accent3 2 2 2 2 3 2" xfId="13387" xr:uid="{71278D07-AFC9-4432-88A2-F29C8A655D24}"/>
    <cellStyle name="20% - Accent3 2 2 2 2 3 3" xfId="21834" xr:uid="{9AFBE2AC-894C-43DB-B4F0-C06D76D0F113}"/>
    <cellStyle name="20% - Accent3 2 2 2 2 3 4" xfId="30281" xr:uid="{2A4A558C-18C1-4B8C-8C90-C0CD5E47047A}"/>
    <cellStyle name="20% - Accent3 2 2 2 2 4" xfId="9169" xr:uid="{881CA702-7C4E-4FEE-8EEC-E66A2D63189A}"/>
    <cellStyle name="20% - Accent3 2 2 2 2 5" xfId="17617" xr:uid="{60F1B17F-696D-4652-AB9B-B25905B8DBD2}"/>
    <cellStyle name="20% - Accent3 2 2 2 2 6" xfId="26064" xr:uid="{927B9D60-0B61-498D-9D35-FC019EBB55E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0EB04341-6CA9-4923-BDCC-9D60B7410F73}"/>
    <cellStyle name="20% - Accent3 2 2 2 3 2 2 3" xfId="24392" xr:uid="{C3A0A7BA-9959-4BA7-9FC2-D80B9C021650}"/>
    <cellStyle name="20% - Accent3 2 2 2 3 2 2 4" xfId="32839" xr:uid="{4B5868DC-3938-420B-8D48-E60BC4D86E28}"/>
    <cellStyle name="20% - Accent3 2 2 2 3 2 3" xfId="11727" xr:uid="{2996D8C2-B359-440E-85D3-63551D1EE5CD}"/>
    <cellStyle name="20% - Accent3 2 2 2 3 2 4" xfId="20175" xr:uid="{1A4000E0-6208-4A11-B5F0-9A027AC9483E}"/>
    <cellStyle name="20% - Accent3 2 2 2 3 2 5" xfId="28622" xr:uid="{7A1C68C3-24E8-46AF-8864-690FF6D82B17}"/>
    <cellStyle name="20% - Accent3 2 2 2 3 3" xfId="5350" xr:uid="{00000000-0005-0000-0000-00004C010000}"/>
    <cellStyle name="20% - Accent3 2 2 2 3 3 2" xfId="13800" xr:uid="{1841291B-5FF4-4C66-B54E-69EC877F3B53}"/>
    <cellStyle name="20% - Accent3 2 2 2 3 3 3" xfId="22247" xr:uid="{2FA7BFDB-E574-47C7-8330-CBE4B81E599C}"/>
    <cellStyle name="20% - Accent3 2 2 2 3 3 4" xfId="30694" xr:uid="{3E79119F-986A-439C-97ED-9AF07A7A76CB}"/>
    <cellStyle name="20% - Accent3 2 2 2 3 4" xfId="9582" xr:uid="{BB1214B7-085D-4318-ABB2-2C91D1DBBE88}"/>
    <cellStyle name="20% - Accent3 2 2 2 3 5" xfId="18030" xr:uid="{BDA5D1CC-FCEC-4F1F-B5F1-A9F02A8B1523}"/>
    <cellStyle name="20% - Accent3 2 2 2 3 6" xfId="26477" xr:uid="{54017D24-B8A8-4C54-B5C1-0D0E1DF518C3}"/>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7BD414D9-2F8D-41FB-9FE2-8B075EFD4FAB}"/>
    <cellStyle name="20% - Accent3 2 2 2 4 2 2 3" xfId="24805" xr:uid="{AA30390B-413F-4B8B-8BC1-3508B99FF488}"/>
    <cellStyle name="20% - Accent3 2 2 2 4 2 2 4" xfId="33252" xr:uid="{808B76F5-A25A-47A1-892F-382101EE5483}"/>
    <cellStyle name="20% - Accent3 2 2 2 4 2 3" xfId="12140" xr:uid="{DC6E65E0-9BC8-4507-B840-4A5AB6484F3D}"/>
    <cellStyle name="20% - Accent3 2 2 2 4 2 4" xfId="20588" xr:uid="{CEFAC6A7-F8ED-45B9-84BB-9E850788E58B}"/>
    <cellStyle name="20% - Accent3 2 2 2 4 2 5" xfId="29035" xr:uid="{2F2C29D6-81EE-436E-A454-5988264926D7}"/>
    <cellStyle name="20% - Accent3 2 2 2 4 3" xfId="5763" xr:uid="{00000000-0005-0000-0000-000050010000}"/>
    <cellStyle name="20% - Accent3 2 2 2 4 3 2" xfId="14213" xr:uid="{691B905D-91D6-4BC6-B5BC-C78EF3446DA1}"/>
    <cellStyle name="20% - Accent3 2 2 2 4 3 3" xfId="22660" xr:uid="{7741AE75-D617-4A20-90C8-D0EC4E6AF982}"/>
    <cellStyle name="20% - Accent3 2 2 2 4 3 4" xfId="31107" xr:uid="{AA8484F4-C8BA-4167-9AB7-9BAB70B9258C}"/>
    <cellStyle name="20% - Accent3 2 2 2 4 4" xfId="9995" xr:uid="{4D21DA60-65AC-46EC-B81E-E1C1BDBE3266}"/>
    <cellStyle name="20% - Accent3 2 2 2 4 5" xfId="18443" xr:uid="{306D17DC-1F94-4A5D-B961-8290BC1F9A81}"/>
    <cellStyle name="20% - Accent3 2 2 2 4 6" xfId="26890" xr:uid="{FFB22C15-9D37-4C30-A8C3-D406B8D00107}"/>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670E6594-F78B-42E6-B756-E7EE9F1C12FF}"/>
    <cellStyle name="20% - Accent3 2 2 2 5 2 2 3" xfId="25218" xr:uid="{15FB6494-FE1E-4B6B-95E6-453731AAF309}"/>
    <cellStyle name="20% - Accent3 2 2 2 5 2 2 4" xfId="33665" xr:uid="{54883A0C-FA9C-4BCD-997B-B68C00899564}"/>
    <cellStyle name="20% - Accent3 2 2 2 5 2 3" xfId="12553" xr:uid="{74DF6147-8C4B-4054-A7DE-C76D3BEC862E}"/>
    <cellStyle name="20% - Accent3 2 2 2 5 2 4" xfId="21001" xr:uid="{8A70D2D7-C938-4A03-B3B4-60C534E35D09}"/>
    <cellStyle name="20% - Accent3 2 2 2 5 2 5" xfId="29448" xr:uid="{4BB7BD4F-F617-452D-89CE-779DF6426E4D}"/>
    <cellStyle name="20% - Accent3 2 2 2 5 3" xfId="6176" xr:uid="{00000000-0005-0000-0000-000054010000}"/>
    <cellStyle name="20% - Accent3 2 2 2 5 3 2" xfId="14626" xr:uid="{4437C92A-8445-4D88-A0D8-30054855276F}"/>
    <cellStyle name="20% - Accent3 2 2 2 5 3 3" xfId="23073" xr:uid="{36A34F33-9F60-42D1-89E0-C9F32C71B243}"/>
    <cellStyle name="20% - Accent3 2 2 2 5 3 4" xfId="31520" xr:uid="{267BC903-314E-4249-91B2-13EC3C8DF8ED}"/>
    <cellStyle name="20% - Accent3 2 2 2 5 4" xfId="10408" xr:uid="{9458D0F5-0364-47A5-9912-F7566598B726}"/>
    <cellStyle name="20% - Accent3 2 2 2 5 5" xfId="18856" xr:uid="{A5CEFAFB-1F35-4E9B-A7C3-C64DE90D7255}"/>
    <cellStyle name="20% - Accent3 2 2 2 5 6" xfId="27303" xr:uid="{E7C9A094-69B3-4973-A960-059D61538CAF}"/>
    <cellStyle name="20% - Accent3 2 2 2 6" xfId="2283" xr:uid="{00000000-0005-0000-0000-000055010000}"/>
    <cellStyle name="20% - Accent3 2 2 2 6 2" xfId="6589" xr:uid="{00000000-0005-0000-0000-000056010000}"/>
    <cellStyle name="20% - Accent3 2 2 2 6 2 2" xfId="15039" xr:uid="{E9684E40-7055-488C-AB11-78F6A8FFEC09}"/>
    <cellStyle name="20% - Accent3 2 2 2 6 2 3" xfId="23486" xr:uid="{BB0A3F78-B380-4748-96DF-4A9B86D79D0E}"/>
    <cellStyle name="20% - Accent3 2 2 2 6 2 4" xfId="31933" xr:uid="{13DACDA0-A8BB-42DB-B328-50DFD35461A3}"/>
    <cellStyle name="20% - Accent3 2 2 2 6 3" xfId="10821" xr:uid="{EB4B3CF5-6415-4AF3-9DF7-E24EFBB5BBEB}"/>
    <cellStyle name="20% - Accent3 2 2 2 6 4" xfId="19269" xr:uid="{9B29D25F-1414-4B7D-BE45-4E701CF37F0F}"/>
    <cellStyle name="20% - Accent3 2 2 2 6 5" xfId="27716" xr:uid="{5295B995-7551-489A-9F7B-CF4AA8B4A175}"/>
    <cellStyle name="20% - Accent3 2 2 2 7" xfId="4523" xr:uid="{00000000-0005-0000-0000-000057010000}"/>
    <cellStyle name="20% - Accent3 2 2 2 7 2" xfId="12973" xr:uid="{E4E25F74-F7F6-45C6-BBAA-28B5206CEEF2}"/>
    <cellStyle name="20% - Accent3 2 2 2 7 3" xfId="21420" xr:uid="{3696E5FB-78AB-4DAE-B608-ABD9E3248FB8}"/>
    <cellStyle name="20% - Accent3 2 2 2 7 4" xfId="29867" xr:uid="{D048EF0C-D881-4D41-9DD7-0D396D58E516}"/>
    <cellStyle name="20% - Accent3 2 2 2 8" xfId="8755" xr:uid="{A1FC1760-BDF5-4C44-9E44-5FF625AEE8F7}"/>
    <cellStyle name="20% - Accent3 2 2 2 9" xfId="17203" xr:uid="{687B40CF-E4A0-44B9-B804-D545AE0EFA3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E485F532-26E2-414A-AF4E-1A39223156A0}"/>
    <cellStyle name="20% - Accent3 2 2 3 2 2 3" xfId="23978" xr:uid="{A1A3C488-D5CD-4F2C-9579-F596C0EBBD9B}"/>
    <cellStyle name="20% - Accent3 2 2 3 2 2 4" xfId="32425" xr:uid="{73523697-C5E8-442B-9763-80FD7B4BCB9C}"/>
    <cellStyle name="20% - Accent3 2 2 3 2 3" xfId="11313" xr:uid="{39D41078-9F0B-46A4-99EB-BA33C1ED1121}"/>
    <cellStyle name="20% - Accent3 2 2 3 2 4" xfId="19761" xr:uid="{077578C4-F4D7-41DA-BFC5-A43FAF025F2A}"/>
    <cellStyle name="20% - Accent3 2 2 3 2 5" xfId="28208" xr:uid="{BC40AA91-1024-4882-ACF7-7D5DB673EB7C}"/>
    <cellStyle name="20% - Accent3 2 2 3 3" xfId="4936" xr:uid="{00000000-0005-0000-0000-00005B010000}"/>
    <cellStyle name="20% - Accent3 2 2 3 3 2" xfId="13386" xr:uid="{006EA8F0-30CA-4BC9-8A51-88B70AE5600C}"/>
    <cellStyle name="20% - Accent3 2 2 3 3 3" xfId="21833" xr:uid="{06125439-0526-4F37-9217-F9AF2DC5451A}"/>
    <cellStyle name="20% - Accent3 2 2 3 3 4" xfId="30280" xr:uid="{ABBC4CCB-0DD8-4B26-A06A-A9E92A1E74A6}"/>
    <cellStyle name="20% - Accent3 2 2 3 4" xfId="9168" xr:uid="{534E95A9-9CE3-4803-B39D-E26E214913CA}"/>
    <cellStyle name="20% - Accent3 2 2 3 5" xfId="17616" xr:uid="{7CDD6EB6-A664-40DC-8EFA-C97AF9887BF0}"/>
    <cellStyle name="20% - Accent3 2 2 3 6" xfId="26063" xr:uid="{9EBC2724-6200-4521-B864-3152934237C8}"/>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0E9635C1-4182-4DC6-A1BD-4ED058A9A7E5}"/>
    <cellStyle name="20% - Accent3 2 2 4 2 2 3" xfId="24391" xr:uid="{20998288-EB51-43A0-9E82-534EDB448D02}"/>
    <cellStyle name="20% - Accent3 2 2 4 2 2 4" xfId="32838" xr:uid="{50001C91-91CE-4A1F-A069-61688899C075}"/>
    <cellStyle name="20% - Accent3 2 2 4 2 3" xfId="11726" xr:uid="{545B2204-565F-4497-9A47-63A9F2081773}"/>
    <cellStyle name="20% - Accent3 2 2 4 2 4" xfId="20174" xr:uid="{8D7E7E32-D3D6-4748-AC23-AE6402ED8E1D}"/>
    <cellStyle name="20% - Accent3 2 2 4 2 5" xfId="28621" xr:uid="{8F58A063-C5EA-4470-8EB3-893FACD0C48D}"/>
    <cellStyle name="20% - Accent3 2 2 4 3" xfId="5349" xr:uid="{00000000-0005-0000-0000-00005F010000}"/>
    <cellStyle name="20% - Accent3 2 2 4 3 2" xfId="13799" xr:uid="{82CCE8ED-217A-41BF-927E-B56D48320C68}"/>
    <cellStyle name="20% - Accent3 2 2 4 3 3" xfId="22246" xr:uid="{4965D448-72C6-46ED-8E09-2E20F882932C}"/>
    <cellStyle name="20% - Accent3 2 2 4 3 4" xfId="30693" xr:uid="{84394074-798B-4477-AF73-35E21FC9B91B}"/>
    <cellStyle name="20% - Accent3 2 2 4 4" xfId="9581" xr:uid="{16AF89C3-3E51-49E9-A97B-6B4596F40DB2}"/>
    <cellStyle name="20% - Accent3 2 2 4 5" xfId="18029" xr:uid="{26FB4BCC-30A7-4123-BBAE-942310676A71}"/>
    <cellStyle name="20% - Accent3 2 2 4 6" xfId="26476" xr:uid="{196CA340-4F15-4303-A6AF-905486B09F0B}"/>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0025D11D-A215-43FD-8FCC-4D4AA32302DC}"/>
    <cellStyle name="20% - Accent3 2 2 5 2 2 3" xfId="24804" xr:uid="{1E842DC8-AD65-4493-A4F5-9E9BA9821AFF}"/>
    <cellStyle name="20% - Accent3 2 2 5 2 2 4" xfId="33251" xr:uid="{F3B04EE8-8CDB-41D9-B8D3-3FED7E55CBE1}"/>
    <cellStyle name="20% - Accent3 2 2 5 2 3" xfId="12139" xr:uid="{BEDC5E0E-D259-42B0-A858-0E87917FF056}"/>
    <cellStyle name="20% - Accent3 2 2 5 2 4" xfId="20587" xr:uid="{94E530C1-5B22-453A-A323-FA489C39DA3F}"/>
    <cellStyle name="20% - Accent3 2 2 5 2 5" xfId="29034" xr:uid="{C0F3010E-8455-4DC9-894B-F8F9E838720C}"/>
    <cellStyle name="20% - Accent3 2 2 5 3" xfId="5762" xr:uid="{00000000-0005-0000-0000-000063010000}"/>
    <cellStyle name="20% - Accent3 2 2 5 3 2" xfId="14212" xr:uid="{204E7CF1-545C-42AD-B9CA-EC2EAE5BD2CA}"/>
    <cellStyle name="20% - Accent3 2 2 5 3 3" xfId="22659" xr:uid="{76067C8B-0DC8-4CDC-8E56-2E10789714AE}"/>
    <cellStyle name="20% - Accent3 2 2 5 3 4" xfId="31106" xr:uid="{C0B3DF26-F61A-4B4B-B0DF-0CF428308B59}"/>
    <cellStyle name="20% - Accent3 2 2 5 4" xfId="9994" xr:uid="{1AEEC774-00D3-45B4-A5F3-FBCAB8EE6871}"/>
    <cellStyle name="20% - Accent3 2 2 5 5" xfId="18442" xr:uid="{23C299D6-0586-4085-AD06-41AAC6E0AC68}"/>
    <cellStyle name="20% - Accent3 2 2 5 6" xfId="26889" xr:uid="{BEC91DC1-A1A5-4DEB-821F-E0B1017645E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84837744-6480-46B3-A693-472049329D88}"/>
    <cellStyle name="20% - Accent3 2 2 6 2 2 3" xfId="25217" xr:uid="{6B4350CD-5CF0-4DC3-BF61-CD63FE36822F}"/>
    <cellStyle name="20% - Accent3 2 2 6 2 2 4" xfId="33664" xr:uid="{23F10038-DBF7-4387-86E7-B6771E88AC12}"/>
    <cellStyle name="20% - Accent3 2 2 6 2 3" xfId="12552" xr:uid="{872AB6FE-5BCD-423E-96DC-36A4427DF767}"/>
    <cellStyle name="20% - Accent3 2 2 6 2 4" xfId="21000" xr:uid="{80E179FB-5103-4FAB-9993-992DC2D582FB}"/>
    <cellStyle name="20% - Accent3 2 2 6 2 5" xfId="29447" xr:uid="{5B0E943B-72F9-4580-8F9B-78C034D95AF8}"/>
    <cellStyle name="20% - Accent3 2 2 6 3" xfId="6175" xr:uid="{00000000-0005-0000-0000-000067010000}"/>
    <cellStyle name="20% - Accent3 2 2 6 3 2" xfId="14625" xr:uid="{4F68B4AE-31DF-4AEC-AF02-106D702D20D9}"/>
    <cellStyle name="20% - Accent3 2 2 6 3 3" xfId="23072" xr:uid="{FD861EFA-C788-4510-AAAE-3D3E5C9CFF11}"/>
    <cellStyle name="20% - Accent3 2 2 6 3 4" xfId="31519" xr:uid="{5C541465-5C35-4F0B-9AC1-073385C8B9A9}"/>
    <cellStyle name="20% - Accent3 2 2 6 4" xfId="10407" xr:uid="{2400FB9C-134E-4611-9876-DC5DEB44F660}"/>
    <cellStyle name="20% - Accent3 2 2 6 5" xfId="18855" xr:uid="{BBF32D76-7CFB-485A-9284-0E1117A74CDF}"/>
    <cellStyle name="20% - Accent3 2 2 6 6" xfId="27302" xr:uid="{2A46F493-7558-4660-AA17-4A2B18B9E3D7}"/>
    <cellStyle name="20% - Accent3 2 2 7" xfId="2282" xr:uid="{00000000-0005-0000-0000-000068010000}"/>
    <cellStyle name="20% - Accent3 2 2 7 2" xfId="6588" xr:uid="{00000000-0005-0000-0000-000069010000}"/>
    <cellStyle name="20% - Accent3 2 2 7 2 2" xfId="15038" xr:uid="{2DB3B02B-797D-4BB1-81F8-9E77B096B9AC}"/>
    <cellStyle name="20% - Accent3 2 2 7 2 3" xfId="23485" xr:uid="{A1937047-8AE0-4A83-87D7-40553422E361}"/>
    <cellStyle name="20% - Accent3 2 2 7 2 4" xfId="31932" xr:uid="{DE3363FC-CE75-4A43-81FD-D4E071E8E817}"/>
    <cellStyle name="20% - Accent3 2 2 7 3" xfId="10820" xr:uid="{C61A16D1-23EF-4965-A9FE-6BCD3B5530A1}"/>
    <cellStyle name="20% - Accent3 2 2 7 4" xfId="19268" xr:uid="{4E9EC13F-2A4D-4DF7-B78F-419AAC1C39F5}"/>
    <cellStyle name="20% - Accent3 2 2 7 5" xfId="27715" xr:uid="{3A400F51-49D9-44D3-98FB-41345E91B4C6}"/>
    <cellStyle name="20% - Accent3 2 2 8" xfId="4522" xr:uid="{00000000-0005-0000-0000-00006A010000}"/>
    <cellStyle name="20% - Accent3 2 2 8 2" xfId="12972" xr:uid="{2F86DCAD-DB4F-48C6-B277-CB8D4170B6A9}"/>
    <cellStyle name="20% - Accent3 2 2 8 3" xfId="21419" xr:uid="{46E83258-D159-4B66-9720-51DD8EC5822D}"/>
    <cellStyle name="20% - Accent3 2 2 8 4" xfId="29866" xr:uid="{D713F08D-ABDC-4C3D-B0C4-B9C67AE14301}"/>
    <cellStyle name="20% - Accent3 2 2 9" xfId="8754" xr:uid="{37914594-5091-43A3-B7BE-2F40DD0A505F}"/>
    <cellStyle name="20% - Accent3 2 3" xfId="21" xr:uid="{00000000-0005-0000-0000-00006B010000}"/>
    <cellStyle name="20% - Accent3 2 3 10" xfId="25651" xr:uid="{F2C51318-C1C6-43B1-8993-8E050B96B4E6}"/>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1975206A-1FD6-434F-A33F-8783753E3BE1}"/>
    <cellStyle name="20% - Accent3 2 3 2 2 2 3" xfId="23980" xr:uid="{487C3456-E693-4B11-90BE-1F47BC2FB810}"/>
    <cellStyle name="20% - Accent3 2 3 2 2 2 4" xfId="32427" xr:uid="{FB8F4EC1-6754-4160-9E9E-E688AAA11467}"/>
    <cellStyle name="20% - Accent3 2 3 2 2 3" xfId="11315" xr:uid="{268C49C5-601B-47CB-9F7D-9AD214A7688C}"/>
    <cellStyle name="20% - Accent3 2 3 2 2 4" xfId="19763" xr:uid="{FCF4BFCD-728B-4B36-BB76-0F3321E7CB6F}"/>
    <cellStyle name="20% - Accent3 2 3 2 2 5" xfId="28210" xr:uid="{FCC70DBD-4226-4EED-B41A-9B9A7C9EEC60}"/>
    <cellStyle name="20% - Accent3 2 3 2 3" xfId="4938" xr:uid="{00000000-0005-0000-0000-00006F010000}"/>
    <cellStyle name="20% - Accent3 2 3 2 3 2" xfId="13388" xr:uid="{994CB092-6D1D-4A6B-AACE-4AE5D46595C7}"/>
    <cellStyle name="20% - Accent3 2 3 2 3 3" xfId="21835" xr:uid="{05C66009-C8B1-431C-99C8-72798454294F}"/>
    <cellStyle name="20% - Accent3 2 3 2 3 4" xfId="30282" xr:uid="{B3BB489F-381E-4D6E-8FBB-13E8770CA325}"/>
    <cellStyle name="20% - Accent3 2 3 2 4" xfId="9170" xr:uid="{D7ACD5D4-2FA3-451D-B079-C0328AED5056}"/>
    <cellStyle name="20% - Accent3 2 3 2 5" xfId="17618" xr:uid="{163E9B54-75F2-47A9-A4D9-17EA4EF3FF43}"/>
    <cellStyle name="20% - Accent3 2 3 2 6" xfId="26065" xr:uid="{A73B6508-652B-4B6E-B333-458652B376A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C7C1B3A5-C2F9-42F9-8A7F-4C01614A7711}"/>
    <cellStyle name="20% - Accent3 2 3 3 2 2 3" xfId="24393" xr:uid="{B94B2995-5E01-40CB-A5C0-25CC6985FF17}"/>
    <cellStyle name="20% - Accent3 2 3 3 2 2 4" xfId="32840" xr:uid="{949E7D62-3FBA-4CC4-B675-E8D7AF2763ED}"/>
    <cellStyle name="20% - Accent3 2 3 3 2 3" xfId="11728" xr:uid="{FB643E94-B844-4F99-B094-1C7B0D828F31}"/>
    <cellStyle name="20% - Accent3 2 3 3 2 4" xfId="20176" xr:uid="{727DEC0E-FEC6-445F-BDE5-A23AA1D97340}"/>
    <cellStyle name="20% - Accent3 2 3 3 2 5" xfId="28623" xr:uid="{57BCA764-AC38-40AA-A6FC-F857096BF41F}"/>
    <cellStyle name="20% - Accent3 2 3 3 3" xfId="5351" xr:uid="{00000000-0005-0000-0000-000073010000}"/>
    <cellStyle name="20% - Accent3 2 3 3 3 2" xfId="13801" xr:uid="{4274C6D7-36A4-4320-9F89-AA40421706DA}"/>
    <cellStyle name="20% - Accent3 2 3 3 3 3" xfId="22248" xr:uid="{9C6C7965-F566-4F3D-A3F5-6708DD52959E}"/>
    <cellStyle name="20% - Accent3 2 3 3 3 4" xfId="30695" xr:uid="{CD50726A-6226-494E-A05F-9C82D8E20948}"/>
    <cellStyle name="20% - Accent3 2 3 3 4" xfId="9583" xr:uid="{FBB0FCD7-D801-49AC-B504-C53277CB74D5}"/>
    <cellStyle name="20% - Accent3 2 3 3 5" xfId="18031" xr:uid="{40F15870-227B-483B-969F-960ECB51AD65}"/>
    <cellStyle name="20% - Accent3 2 3 3 6" xfId="26478" xr:uid="{B4DB3171-10B7-426E-9DDB-2F89A068EC8B}"/>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12F20E1F-EB3D-420E-AADF-FAAAD64B06C7}"/>
    <cellStyle name="20% - Accent3 2 3 4 2 2 3" xfId="24806" xr:uid="{6740DE44-F951-4FC5-80CE-F86461F8813D}"/>
    <cellStyle name="20% - Accent3 2 3 4 2 2 4" xfId="33253" xr:uid="{149EA1A8-4BC6-4E82-8CF4-F94A8120781B}"/>
    <cellStyle name="20% - Accent3 2 3 4 2 3" xfId="12141" xr:uid="{B95DC91F-322E-4C76-A0B8-598755CCC51A}"/>
    <cellStyle name="20% - Accent3 2 3 4 2 4" xfId="20589" xr:uid="{2FDFFE22-7F2C-478F-A323-CD1AB1351C94}"/>
    <cellStyle name="20% - Accent3 2 3 4 2 5" xfId="29036" xr:uid="{C52EE2E9-F58E-4C08-BC7A-2FD6A77ED37D}"/>
    <cellStyle name="20% - Accent3 2 3 4 3" xfId="5764" xr:uid="{00000000-0005-0000-0000-000077010000}"/>
    <cellStyle name="20% - Accent3 2 3 4 3 2" xfId="14214" xr:uid="{66609754-D917-41D0-A212-C9F498E3722C}"/>
    <cellStyle name="20% - Accent3 2 3 4 3 3" xfId="22661" xr:uid="{829DD023-BE01-48FB-B915-0F0844220D87}"/>
    <cellStyle name="20% - Accent3 2 3 4 3 4" xfId="31108" xr:uid="{79B1A6DA-3F1C-4F50-95F8-8E824E652DD8}"/>
    <cellStyle name="20% - Accent3 2 3 4 4" xfId="9996" xr:uid="{401F573C-E897-426D-ADAC-08DADE78C813}"/>
    <cellStyle name="20% - Accent3 2 3 4 5" xfId="18444" xr:uid="{CB722859-BAB9-45C7-B77A-0A9FF21CDF7E}"/>
    <cellStyle name="20% - Accent3 2 3 4 6" xfId="26891" xr:uid="{A1ACE77E-BECF-4869-AEC4-8702D8FF2807}"/>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226A8F63-6852-4AD8-99DC-55601DD2A871}"/>
    <cellStyle name="20% - Accent3 2 3 5 2 2 3" xfId="25219" xr:uid="{46E92B47-A270-42D2-B92A-4E849082AAAF}"/>
    <cellStyle name="20% - Accent3 2 3 5 2 2 4" xfId="33666" xr:uid="{11F50771-5423-4F7D-97DF-BE530D3B539C}"/>
    <cellStyle name="20% - Accent3 2 3 5 2 3" xfId="12554" xr:uid="{17EB732C-F9E1-4A9A-8267-57062810B65C}"/>
    <cellStyle name="20% - Accent3 2 3 5 2 4" xfId="21002" xr:uid="{2B582F52-A353-4EF9-BA9C-2556FE5EBAB9}"/>
    <cellStyle name="20% - Accent3 2 3 5 2 5" xfId="29449" xr:uid="{3091D82B-DA69-48E1-9F49-3578AAF75565}"/>
    <cellStyle name="20% - Accent3 2 3 5 3" xfId="6177" xr:uid="{00000000-0005-0000-0000-00007B010000}"/>
    <cellStyle name="20% - Accent3 2 3 5 3 2" xfId="14627" xr:uid="{E9BEE276-2E0B-44CD-89CB-2AE6BB21DD3E}"/>
    <cellStyle name="20% - Accent3 2 3 5 3 3" xfId="23074" xr:uid="{B6353954-5304-4759-8384-CE3D4D11397F}"/>
    <cellStyle name="20% - Accent3 2 3 5 3 4" xfId="31521" xr:uid="{F4586DB0-69D2-4B46-A050-09F07FE9CCAB}"/>
    <cellStyle name="20% - Accent3 2 3 5 4" xfId="10409" xr:uid="{242C5566-5E57-42D1-A956-E572A247DE31}"/>
    <cellStyle name="20% - Accent3 2 3 5 5" xfId="18857" xr:uid="{77000CFF-1859-4A0F-89AA-C473CF3735F0}"/>
    <cellStyle name="20% - Accent3 2 3 5 6" xfId="27304" xr:uid="{FBD99D1A-7AAB-4BB3-8BD1-97768C541E38}"/>
    <cellStyle name="20% - Accent3 2 3 6" xfId="2284" xr:uid="{00000000-0005-0000-0000-00007C010000}"/>
    <cellStyle name="20% - Accent3 2 3 6 2" xfId="6590" xr:uid="{00000000-0005-0000-0000-00007D010000}"/>
    <cellStyle name="20% - Accent3 2 3 6 2 2" xfId="15040" xr:uid="{6EBC77FE-E6E3-4B98-A119-DC4FAC5A8419}"/>
    <cellStyle name="20% - Accent3 2 3 6 2 3" xfId="23487" xr:uid="{D887634B-1212-47C6-93AF-0B7A263B1F85}"/>
    <cellStyle name="20% - Accent3 2 3 6 2 4" xfId="31934" xr:uid="{02F6AB27-ED77-4CAC-A7B9-6C3FBF91936C}"/>
    <cellStyle name="20% - Accent3 2 3 6 3" xfId="10822" xr:uid="{E4D9085A-0952-416F-A4EA-9FEF5C295400}"/>
    <cellStyle name="20% - Accent3 2 3 6 4" xfId="19270" xr:uid="{F8E443F9-BC96-477A-AFF8-858A729FBA3C}"/>
    <cellStyle name="20% - Accent3 2 3 6 5" xfId="27717" xr:uid="{7301314D-8331-4DF5-9531-7670C4382606}"/>
    <cellStyle name="20% - Accent3 2 3 7" xfId="4524" xr:uid="{00000000-0005-0000-0000-00007E010000}"/>
    <cellStyle name="20% - Accent3 2 3 7 2" xfId="12974" xr:uid="{A8E56887-C01E-4EBB-8818-9D675D371E62}"/>
    <cellStyle name="20% - Accent3 2 3 7 3" xfId="21421" xr:uid="{D959B331-B23F-4FDB-B773-35EEAABF9568}"/>
    <cellStyle name="20% - Accent3 2 3 7 4" xfId="29868" xr:uid="{896F738B-CB55-40A2-A879-6BDCFD02CD20}"/>
    <cellStyle name="20% - Accent3 2 3 8" xfId="8756" xr:uid="{BFF1DEC7-9CCC-4EB2-990F-7AC82F590CB1}"/>
    <cellStyle name="20% - Accent3 2 3 9" xfId="17204" xr:uid="{E9D38D1F-2C45-4F58-B763-D2266D3755E2}"/>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A0D8BFE3-EA7A-4806-A49C-4B544C6EF1EC}"/>
    <cellStyle name="20% - Accent3 2 4 2 2 3" xfId="23977" xr:uid="{2065E69C-935F-4684-B572-9679BF785770}"/>
    <cellStyle name="20% - Accent3 2 4 2 2 4" xfId="32424" xr:uid="{2ABC7332-7E4E-43DE-9B38-CB2293E87C72}"/>
    <cellStyle name="20% - Accent3 2 4 2 3" xfId="11312" xr:uid="{15F5FF08-D4A2-4F30-817A-FBD00DC3BDD6}"/>
    <cellStyle name="20% - Accent3 2 4 2 4" xfId="19760" xr:uid="{6CA6E6CE-2205-400C-B73F-5D583473D147}"/>
    <cellStyle name="20% - Accent3 2 4 2 5" xfId="28207" xr:uid="{7CEB43C3-CF8E-4550-AB71-E7F8139DDD8D}"/>
    <cellStyle name="20% - Accent3 2 4 3" xfId="4935" xr:uid="{00000000-0005-0000-0000-000082010000}"/>
    <cellStyle name="20% - Accent3 2 4 3 2" xfId="13385" xr:uid="{3F6CDD7C-CC22-49E6-A388-1F9255D6F69C}"/>
    <cellStyle name="20% - Accent3 2 4 3 3" xfId="21832" xr:uid="{27B9561C-F6BB-4E31-A858-6A87629E6927}"/>
    <cellStyle name="20% - Accent3 2 4 3 4" xfId="30279" xr:uid="{C3A8EB15-CE87-465E-915B-7092193059D7}"/>
    <cellStyle name="20% - Accent3 2 4 4" xfId="9167" xr:uid="{E43A74AC-0900-4646-8A0A-D86988813CC1}"/>
    <cellStyle name="20% - Accent3 2 4 5" xfId="17615" xr:uid="{3DA865AC-4CE9-4025-ADF6-C7C4C36C09B2}"/>
    <cellStyle name="20% - Accent3 2 4 6" xfId="26062" xr:uid="{269043C1-72EF-4362-A206-7D0F24AABE97}"/>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62B0B83D-9E3A-44F8-81B7-AEB9A426C895}"/>
    <cellStyle name="20% - Accent3 2 5 2 2 3" xfId="24390" xr:uid="{740E8A2D-F366-4D9F-96D3-DA680BEABFA2}"/>
    <cellStyle name="20% - Accent3 2 5 2 2 4" xfId="32837" xr:uid="{DA4CFBA2-71A9-4942-A3A7-412D660E8BB3}"/>
    <cellStyle name="20% - Accent3 2 5 2 3" xfId="11725" xr:uid="{95F020F3-8552-4668-931B-A516CECF0110}"/>
    <cellStyle name="20% - Accent3 2 5 2 4" xfId="20173" xr:uid="{9D80C3DA-050A-4366-BFFD-BC8647ECAB85}"/>
    <cellStyle name="20% - Accent3 2 5 2 5" xfId="28620" xr:uid="{CAAEBE44-50B3-4111-827E-658190B6E1DB}"/>
    <cellStyle name="20% - Accent3 2 5 3" xfId="5348" xr:uid="{00000000-0005-0000-0000-000086010000}"/>
    <cellStyle name="20% - Accent3 2 5 3 2" xfId="13798" xr:uid="{BD955792-3ED9-42F1-990A-07A4978B3003}"/>
    <cellStyle name="20% - Accent3 2 5 3 3" xfId="22245" xr:uid="{15D214C7-8319-4D12-B4A0-0D966C4F2F82}"/>
    <cellStyle name="20% - Accent3 2 5 3 4" xfId="30692" xr:uid="{F9FFD018-661B-4837-B226-7AEA7BC79F9B}"/>
    <cellStyle name="20% - Accent3 2 5 4" xfId="9580" xr:uid="{4C756DAC-7F2E-414F-9E0D-ECC97C4184F5}"/>
    <cellStyle name="20% - Accent3 2 5 5" xfId="18028" xr:uid="{636B819F-39FD-41B8-859E-F3BBD4C85437}"/>
    <cellStyle name="20% - Accent3 2 5 6" xfId="26475" xr:uid="{9C34E2CE-C111-478C-9A57-31002291B695}"/>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8BE4F315-FD01-4DFE-A88E-86F39FE1C638}"/>
    <cellStyle name="20% - Accent3 2 6 2 2 3" xfId="24803" xr:uid="{CA2FAFB3-F15E-40D0-8617-80AE5972BACD}"/>
    <cellStyle name="20% - Accent3 2 6 2 2 4" xfId="33250" xr:uid="{1D9F9D13-8EB6-44D5-A09C-41DFCA8E83AE}"/>
    <cellStyle name="20% - Accent3 2 6 2 3" xfId="12138" xr:uid="{2BBA5564-26C5-4788-B67A-0D4A83635668}"/>
    <cellStyle name="20% - Accent3 2 6 2 4" xfId="20586" xr:uid="{EC9F9127-6883-42CF-A3EE-E788D4CFFC7C}"/>
    <cellStyle name="20% - Accent3 2 6 2 5" xfId="29033" xr:uid="{08C15CA1-FA4F-4DA0-B890-CDA9AA6E2544}"/>
    <cellStyle name="20% - Accent3 2 6 3" xfId="5761" xr:uid="{00000000-0005-0000-0000-00008A010000}"/>
    <cellStyle name="20% - Accent3 2 6 3 2" xfId="14211" xr:uid="{721D0275-31C5-4CDD-AE28-FBC39A4D428A}"/>
    <cellStyle name="20% - Accent3 2 6 3 3" xfId="22658" xr:uid="{46C57CD6-03BA-47F0-B047-C3B5354D0DF7}"/>
    <cellStyle name="20% - Accent3 2 6 3 4" xfId="31105" xr:uid="{23F8D976-B7D1-41E8-A3B2-C729F712B387}"/>
    <cellStyle name="20% - Accent3 2 6 4" xfId="9993" xr:uid="{F81E5785-F17E-48F0-A7F5-9E4668C59C05}"/>
    <cellStyle name="20% - Accent3 2 6 5" xfId="18441" xr:uid="{C9979832-03AB-478C-9CD5-1E229B29591A}"/>
    <cellStyle name="20% - Accent3 2 6 6" xfId="26888" xr:uid="{A6BFA487-DA80-4B4B-8BCE-3639B058169E}"/>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035E6BBD-6030-4B55-9D2F-37DB1A4514F1}"/>
    <cellStyle name="20% - Accent3 2 7 2 2 3" xfId="25216" xr:uid="{13AB250E-D4F9-4C74-9733-DD1E6020B27C}"/>
    <cellStyle name="20% - Accent3 2 7 2 2 4" xfId="33663" xr:uid="{B77BD17A-D125-4EC5-9736-A0BA2C17E743}"/>
    <cellStyle name="20% - Accent3 2 7 2 3" xfId="12551" xr:uid="{5C7BF22E-74A0-4027-A877-C4B217EC00A9}"/>
    <cellStyle name="20% - Accent3 2 7 2 4" xfId="20999" xr:uid="{DDD2712D-8B23-411A-9805-A506B4758ED4}"/>
    <cellStyle name="20% - Accent3 2 7 2 5" xfId="29446" xr:uid="{EBEDCA37-42BD-4B73-98A0-1D5AF74135F2}"/>
    <cellStyle name="20% - Accent3 2 7 3" xfId="6174" xr:uid="{00000000-0005-0000-0000-00008E010000}"/>
    <cellStyle name="20% - Accent3 2 7 3 2" xfId="14624" xr:uid="{A0FBAB0C-E3D8-44AF-A47A-B54D275E7EAC}"/>
    <cellStyle name="20% - Accent3 2 7 3 3" xfId="23071" xr:uid="{6A3AC20C-B5E2-4C7C-BCEB-1DD910C153E6}"/>
    <cellStyle name="20% - Accent3 2 7 3 4" xfId="31518" xr:uid="{F264CD48-F4AE-457C-B035-03C65BF99F03}"/>
    <cellStyle name="20% - Accent3 2 7 4" xfId="10406" xr:uid="{47CA6D05-AAF4-4652-BC48-F809E845224C}"/>
    <cellStyle name="20% - Accent3 2 7 5" xfId="18854" xr:uid="{146754EF-8685-4809-A1C2-A1E6866DE7E8}"/>
    <cellStyle name="20% - Accent3 2 7 6" xfId="27301" xr:uid="{B89928F7-2CCC-4334-9639-D3822DBC477E}"/>
    <cellStyle name="20% - Accent3 2 8" xfId="2281" xr:uid="{00000000-0005-0000-0000-00008F010000}"/>
    <cellStyle name="20% - Accent3 2 8 2" xfId="6587" xr:uid="{00000000-0005-0000-0000-000090010000}"/>
    <cellStyle name="20% - Accent3 2 8 2 2" xfId="15037" xr:uid="{C6B5E2B5-2FF1-47E2-8267-A9C0E77239BF}"/>
    <cellStyle name="20% - Accent3 2 8 2 3" xfId="23484" xr:uid="{DDC2BA39-54D9-4C61-94D5-D7337AB0C5C4}"/>
    <cellStyle name="20% - Accent3 2 8 2 4" xfId="31931" xr:uid="{3DF6A227-8997-4170-882D-85E68C78D539}"/>
    <cellStyle name="20% - Accent3 2 8 3" xfId="10819" xr:uid="{A8CB9A89-C9DD-4BDB-ADF2-2D76C8CF3EE9}"/>
    <cellStyle name="20% - Accent3 2 8 4" xfId="19267" xr:uid="{8BE0A40E-87C9-4203-904D-E3AC0CC3A5CD}"/>
    <cellStyle name="20% - Accent3 2 8 5" xfId="27714" xr:uid="{B2B6FF69-3BA2-4266-B195-55A682306F86}"/>
    <cellStyle name="20% - Accent3 2 9" xfId="4521" xr:uid="{00000000-0005-0000-0000-000091010000}"/>
    <cellStyle name="20% - Accent3 2 9 2" xfId="12971" xr:uid="{4AC0CBC5-1B31-46B4-8D16-3C86A00528E9}"/>
    <cellStyle name="20% - Accent3 2 9 3" xfId="21418" xr:uid="{EBC09AD6-F868-460F-A595-8B2328CE7411}"/>
    <cellStyle name="20% - Accent3 2 9 4" xfId="29865" xr:uid="{820A526F-C565-4294-8C4E-0045DD3D9F46}"/>
    <cellStyle name="20% - Accent3 3" xfId="22" xr:uid="{00000000-0005-0000-0000-000092010000}"/>
    <cellStyle name="20% - Accent3 3 10" xfId="17205" xr:uid="{D8E06EDB-82EE-4EA5-AD11-6F2CA9E00C7D}"/>
    <cellStyle name="20% - Accent3 3 11" xfId="25652" xr:uid="{58344B30-C6E8-409C-A9CE-3F0BFC17249B}"/>
    <cellStyle name="20% - Accent3 3 2" xfId="23" xr:uid="{00000000-0005-0000-0000-000093010000}"/>
    <cellStyle name="20% - Accent3 3 2 10" xfId="25653" xr:uid="{C308C2B9-5FA8-4579-9B78-9D44DFF9D64C}"/>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6B6EE7EF-F362-4F86-963E-BF52C0602C8D}"/>
    <cellStyle name="20% - Accent3 3 2 2 2 2 3" xfId="23982" xr:uid="{C9034E6F-35BF-4A0B-91F3-5E28A61413CF}"/>
    <cellStyle name="20% - Accent3 3 2 2 2 2 4" xfId="32429" xr:uid="{5B380CC8-A814-48B5-974B-3FD98CE3C6E9}"/>
    <cellStyle name="20% - Accent3 3 2 2 2 3" xfId="11317" xr:uid="{FDB8B391-3725-41A2-9E45-3DFDCFF40EE6}"/>
    <cellStyle name="20% - Accent3 3 2 2 2 4" xfId="19765" xr:uid="{090F6F0C-7936-408A-8E91-EC6CC04636C3}"/>
    <cellStyle name="20% - Accent3 3 2 2 2 5" xfId="28212" xr:uid="{39C05611-085E-4C2E-A7AB-FAAB9EEC3D1A}"/>
    <cellStyle name="20% - Accent3 3 2 2 3" xfId="4940" xr:uid="{00000000-0005-0000-0000-000097010000}"/>
    <cellStyle name="20% - Accent3 3 2 2 3 2" xfId="13390" xr:uid="{DC94D973-0408-4E2F-85A0-43CD35524790}"/>
    <cellStyle name="20% - Accent3 3 2 2 3 3" xfId="21837" xr:uid="{87D2338C-102E-4DCE-BCC5-A6F00501ECC3}"/>
    <cellStyle name="20% - Accent3 3 2 2 3 4" xfId="30284" xr:uid="{E4BA71B3-BA01-4514-8257-47F3418A4E0C}"/>
    <cellStyle name="20% - Accent3 3 2 2 4" xfId="9172" xr:uid="{43681B19-167C-4586-886F-059EB56BF861}"/>
    <cellStyle name="20% - Accent3 3 2 2 5" xfId="17620" xr:uid="{ABA9652D-F6E8-4AB4-AF0E-029CFC8B1D4F}"/>
    <cellStyle name="20% - Accent3 3 2 2 6" xfId="26067" xr:uid="{8577DE01-11E2-4D97-833E-9180131D75FC}"/>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38120899-51AE-4361-BF72-C2E95BBDCAB5}"/>
    <cellStyle name="20% - Accent3 3 2 3 2 2 3" xfId="24395" xr:uid="{8C967CEC-297C-44B2-B618-7DFCCFB29821}"/>
    <cellStyle name="20% - Accent3 3 2 3 2 2 4" xfId="32842" xr:uid="{63013580-7DC2-45C3-B574-315E7418A228}"/>
    <cellStyle name="20% - Accent3 3 2 3 2 3" xfId="11730" xr:uid="{AB9399A3-41A6-45D6-BBFA-2ED09005EADF}"/>
    <cellStyle name="20% - Accent3 3 2 3 2 4" xfId="20178" xr:uid="{9BBC6A81-9AB3-4E1E-99DE-3BE0DF05D06E}"/>
    <cellStyle name="20% - Accent3 3 2 3 2 5" xfId="28625" xr:uid="{F8818A0A-A6A7-49F1-B8FF-110A528D4B0C}"/>
    <cellStyle name="20% - Accent3 3 2 3 3" xfId="5353" xr:uid="{00000000-0005-0000-0000-00009B010000}"/>
    <cellStyle name="20% - Accent3 3 2 3 3 2" xfId="13803" xr:uid="{7346F025-3380-416A-933F-F4D254EE380B}"/>
    <cellStyle name="20% - Accent3 3 2 3 3 3" xfId="22250" xr:uid="{BFF0A638-07B3-46F8-B636-70110DD7E380}"/>
    <cellStyle name="20% - Accent3 3 2 3 3 4" xfId="30697" xr:uid="{28A876A8-7A96-4DDA-A46E-0015C98DF9E4}"/>
    <cellStyle name="20% - Accent3 3 2 3 4" xfId="9585" xr:uid="{737EB014-145C-437D-B1EE-360756377A72}"/>
    <cellStyle name="20% - Accent3 3 2 3 5" xfId="18033" xr:uid="{B0687D6A-B3B3-4801-AFB7-5C39B433246D}"/>
    <cellStyle name="20% - Accent3 3 2 3 6" xfId="26480" xr:uid="{412AB10A-1B5B-4995-92EF-39F3F58EECC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A9DF9061-521E-41E4-8EEE-CC0C244FA59C}"/>
    <cellStyle name="20% - Accent3 3 2 4 2 2 3" xfId="24808" xr:uid="{579FFAFF-FFC3-4E17-96B1-246352923F4D}"/>
    <cellStyle name="20% - Accent3 3 2 4 2 2 4" xfId="33255" xr:uid="{2EABBCE6-B9DB-4251-8EB4-29706259E355}"/>
    <cellStyle name="20% - Accent3 3 2 4 2 3" xfId="12143" xr:uid="{2FEC039A-3078-4A90-9EF6-276527FC7894}"/>
    <cellStyle name="20% - Accent3 3 2 4 2 4" xfId="20591" xr:uid="{0702A42A-52B7-467B-928F-26755E7843CD}"/>
    <cellStyle name="20% - Accent3 3 2 4 2 5" xfId="29038" xr:uid="{728EDB78-1A8B-4E25-B93F-A3733C8B5934}"/>
    <cellStyle name="20% - Accent3 3 2 4 3" xfId="5766" xr:uid="{00000000-0005-0000-0000-00009F010000}"/>
    <cellStyle name="20% - Accent3 3 2 4 3 2" xfId="14216" xr:uid="{C2EBE7A0-B672-4935-8B4F-DA62714CEC03}"/>
    <cellStyle name="20% - Accent3 3 2 4 3 3" xfId="22663" xr:uid="{B85CE383-CCE4-48EB-973F-6E658CAA1217}"/>
    <cellStyle name="20% - Accent3 3 2 4 3 4" xfId="31110" xr:uid="{D59898D7-23A3-4E45-9E2F-E5E760D4EE5D}"/>
    <cellStyle name="20% - Accent3 3 2 4 4" xfId="9998" xr:uid="{04A77861-3B84-4876-8F74-82378BBC7AC1}"/>
    <cellStyle name="20% - Accent3 3 2 4 5" xfId="18446" xr:uid="{7B85CAD5-6050-4B68-B51B-9A62B768C6BF}"/>
    <cellStyle name="20% - Accent3 3 2 4 6" xfId="26893" xr:uid="{EAA863A0-1149-4C89-95F9-55DFAC8CB98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AD95E9D6-545E-458E-8923-ACBEA7FF9933}"/>
    <cellStyle name="20% - Accent3 3 2 5 2 2 3" xfId="25221" xr:uid="{E8BF5FD8-9287-48AE-B24D-2272F30CC377}"/>
    <cellStyle name="20% - Accent3 3 2 5 2 2 4" xfId="33668" xr:uid="{82EF6913-9764-4DF2-B782-0FFB76ACDADC}"/>
    <cellStyle name="20% - Accent3 3 2 5 2 3" xfId="12556" xr:uid="{26866E41-FF0C-4045-A2AA-7108CF14D553}"/>
    <cellStyle name="20% - Accent3 3 2 5 2 4" xfId="21004" xr:uid="{7489BD40-76D5-45B4-B61C-9013EA6FB7D1}"/>
    <cellStyle name="20% - Accent3 3 2 5 2 5" xfId="29451" xr:uid="{BA2661BE-13E9-4257-AC96-2C8439986E3A}"/>
    <cellStyle name="20% - Accent3 3 2 5 3" xfId="6179" xr:uid="{00000000-0005-0000-0000-0000A3010000}"/>
    <cellStyle name="20% - Accent3 3 2 5 3 2" xfId="14629" xr:uid="{60EFEAD8-034A-4306-9700-8278584E2088}"/>
    <cellStyle name="20% - Accent3 3 2 5 3 3" xfId="23076" xr:uid="{620E9131-1309-4981-8EBB-CD07EB2E6B51}"/>
    <cellStyle name="20% - Accent3 3 2 5 3 4" xfId="31523" xr:uid="{7C40B73E-7653-48F5-89FC-504219224A3C}"/>
    <cellStyle name="20% - Accent3 3 2 5 4" xfId="10411" xr:uid="{1164BFB2-F2D6-464A-B9F5-9273007029F1}"/>
    <cellStyle name="20% - Accent3 3 2 5 5" xfId="18859" xr:uid="{4C291F97-C23C-49D3-8D72-B07F432F97C5}"/>
    <cellStyle name="20% - Accent3 3 2 5 6" xfId="27306" xr:uid="{495FCDAA-A585-4769-8054-3ACCDB9DD075}"/>
    <cellStyle name="20% - Accent3 3 2 6" xfId="2286" xr:uid="{00000000-0005-0000-0000-0000A4010000}"/>
    <cellStyle name="20% - Accent3 3 2 6 2" xfId="6592" xr:uid="{00000000-0005-0000-0000-0000A5010000}"/>
    <cellStyle name="20% - Accent3 3 2 6 2 2" xfId="15042" xr:uid="{5F70DBDF-7578-45EE-8C83-6A76CDDB7641}"/>
    <cellStyle name="20% - Accent3 3 2 6 2 3" xfId="23489" xr:uid="{4064431A-A9F6-44AC-9DD3-1D983C8B29F3}"/>
    <cellStyle name="20% - Accent3 3 2 6 2 4" xfId="31936" xr:uid="{A53F84A4-CABD-4867-8B85-3800906D6861}"/>
    <cellStyle name="20% - Accent3 3 2 6 3" xfId="10824" xr:uid="{F9789BD4-62B7-482A-ABBF-340F336E58CF}"/>
    <cellStyle name="20% - Accent3 3 2 6 4" xfId="19272" xr:uid="{F4985DAB-3B20-4E57-AD8C-3571ED79B40A}"/>
    <cellStyle name="20% - Accent3 3 2 6 5" xfId="27719" xr:uid="{F6543011-3824-4FA7-B6F9-57A69F81E10C}"/>
    <cellStyle name="20% - Accent3 3 2 7" xfId="4526" xr:uid="{00000000-0005-0000-0000-0000A6010000}"/>
    <cellStyle name="20% - Accent3 3 2 7 2" xfId="12976" xr:uid="{CF53B08B-6448-4CDD-9ABF-018B74E0F649}"/>
    <cellStyle name="20% - Accent3 3 2 7 3" xfId="21423" xr:uid="{33E6500E-7EB4-491A-9514-C75B519B7DF3}"/>
    <cellStyle name="20% - Accent3 3 2 7 4" xfId="29870" xr:uid="{5D4626F7-1E91-4A9D-BCAC-8874123D664B}"/>
    <cellStyle name="20% - Accent3 3 2 8" xfId="8758" xr:uid="{CA8F9B60-C719-429A-8A26-703D578DBF69}"/>
    <cellStyle name="20% - Accent3 3 2 9" xfId="17206" xr:uid="{DB51A128-C216-4B48-934A-BE2CDC2AA88A}"/>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2A78DF1F-411C-414C-A0D5-E2C0210242F0}"/>
    <cellStyle name="20% - Accent3 3 3 2 2 3" xfId="23981" xr:uid="{2AA6B260-DA57-4E5C-8848-2DD5780326CC}"/>
    <cellStyle name="20% - Accent3 3 3 2 2 4" xfId="32428" xr:uid="{C06709AE-EEED-4502-AB66-AA2BD2878036}"/>
    <cellStyle name="20% - Accent3 3 3 2 3" xfId="11316" xr:uid="{10444887-0E13-4D72-BC67-CBF179832504}"/>
    <cellStyle name="20% - Accent3 3 3 2 4" xfId="19764" xr:uid="{23845618-F26C-47BD-A067-649CE2B1927E}"/>
    <cellStyle name="20% - Accent3 3 3 2 5" xfId="28211" xr:uid="{6B8DCBD6-27A7-4A07-B590-8AF9F253687D}"/>
    <cellStyle name="20% - Accent3 3 3 3" xfId="4939" xr:uid="{00000000-0005-0000-0000-0000AA010000}"/>
    <cellStyle name="20% - Accent3 3 3 3 2" xfId="13389" xr:uid="{4B97AA8F-1086-4965-82C0-F40F2AA230F0}"/>
    <cellStyle name="20% - Accent3 3 3 3 3" xfId="21836" xr:uid="{00D23301-444A-4086-A5D7-C95710E18B74}"/>
    <cellStyle name="20% - Accent3 3 3 3 4" xfId="30283" xr:uid="{2679BCCA-4D0D-4186-AB4F-D06910085CA4}"/>
    <cellStyle name="20% - Accent3 3 3 4" xfId="9171" xr:uid="{A0B0D1AE-DD48-4FBC-9C41-15CEF8582439}"/>
    <cellStyle name="20% - Accent3 3 3 5" xfId="17619" xr:uid="{2BC3D340-5A03-41CC-9132-2D977F8F0FC7}"/>
    <cellStyle name="20% - Accent3 3 3 6" xfId="26066" xr:uid="{6158C1D4-0821-4EA6-B00E-C4C5A914A52D}"/>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C09DA8D9-DBD5-4851-872D-3635092BC7FD}"/>
    <cellStyle name="20% - Accent3 3 4 2 2 3" xfId="24394" xr:uid="{579C4212-41F3-4641-952C-B754DBE50E55}"/>
    <cellStyle name="20% - Accent3 3 4 2 2 4" xfId="32841" xr:uid="{6FB90ECC-244B-4A01-A37A-68E82560968D}"/>
    <cellStyle name="20% - Accent3 3 4 2 3" xfId="11729" xr:uid="{7DEB1C87-D430-4EF8-BC5D-A0489CC9DE7A}"/>
    <cellStyle name="20% - Accent3 3 4 2 4" xfId="20177" xr:uid="{DAC495BA-4E8B-4D0F-ADAF-275A964C6BFC}"/>
    <cellStyle name="20% - Accent3 3 4 2 5" xfId="28624" xr:uid="{86318705-EC7A-4E33-A921-5E2D0243BAB3}"/>
    <cellStyle name="20% - Accent3 3 4 3" xfId="5352" xr:uid="{00000000-0005-0000-0000-0000AE010000}"/>
    <cellStyle name="20% - Accent3 3 4 3 2" xfId="13802" xr:uid="{C3E83836-0BA3-49C6-B753-245C4B40B67F}"/>
    <cellStyle name="20% - Accent3 3 4 3 3" xfId="22249" xr:uid="{0C4FAE77-724F-48E3-9D26-ACEB09BF97DD}"/>
    <cellStyle name="20% - Accent3 3 4 3 4" xfId="30696" xr:uid="{21041AAF-9025-4189-895B-17B9DB1B2639}"/>
    <cellStyle name="20% - Accent3 3 4 4" xfId="9584" xr:uid="{731239EA-7D06-4BF9-98B5-93F341911BCB}"/>
    <cellStyle name="20% - Accent3 3 4 5" xfId="18032" xr:uid="{CDDE5DBD-B9BD-40E9-9462-F5F1CB45AE3E}"/>
    <cellStyle name="20% - Accent3 3 4 6" xfId="26479" xr:uid="{444CF8CC-058A-4C20-A893-E8E2CF545475}"/>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C50466F4-ECF5-4F85-BC2E-5EA7452C2CF5}"/>
    <cellStyle name="20% - Accent3 3 5 2 2 3" xfId="24807" xr:uid="{672068A9-A8F8-4154-9380-92D053A08E37}"/>
    <cellStyle name="20% - Accent3 3 5 2 2 4" xfId="33254" xr:uid="{47D7FD64-1938-4DCD-85EC-E2FDF95DCEE6}"/>
    <cellStyle name="20% - Accent3 3 5 2 3" xfId="12142" xr:uid="{3A0B4D45-4D76-4424-B8C2-B2F089AF0805}"/>
    <cellStyle name="20% - Accent3 3 5 2 4" xfId="20590" xr:uid="{90E1EDBD-88F1-4111-8A73-E3006D18C8FC}"/>
    <cellStyle name="20% - Accent3 3 5 2 5" xfId="29037" xr:uid="{EE0631DF-AEBE-4526-B0FD-01A6439BD33F}"/>
    <cellStyle name="20% - Accent3 3 5 3" xfId="5765" xr:uid="{00000000-0005-0000-0000-0000B2010000}"/>
    <cellStyle name="20% - Accent3 3 5 3 2" xfId="14215" xr:uid="{6D463BC9-C096-42F7-A554-4AE62D1FFE89}"/>
    <cellStyle name="20% - Accent3 3 5 3 3" xfId="22662" xr:uid="{AF934878-2ADC-4B50-907E-18C8DA852221}"/>
    <cellStyle name="20% - Accent3 3 5 3 4" xfId="31109" xr:uid="{877B6ABB-A0BB-477F-8D5B-263452163364}"/>
    <cellStyle name="20% - Accent3 3 5 4" xfId="9997" xr:uid="{8A8515FD-FEB8-4B95-8CF6-E83261F4C917}"/>
    <cellStyle name="20% - Accent3 3 5 5" xfId="18445" xr:uid="{6B40E018-E3B1-4DB6-BEFD-E37431AFA396}"/>
    <cellStyle name="20% - Accent3 3 5 6" xfId="26892" xr:uid="{F525ABCA-F2D2-4853-9F9E-648F78060C8C}"/>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2CA58BF9-9E32-4A28-9F9A-6D3090EB4ABC}"/>
    <cellStyle name="20% - Accent3 3 6 2 2 3" xfId="25220" xr:uid="{41EBE976-BE9D-4B82-AE5F-CC4941D03723}"/>
    <cellStyle name="20% - Accent3 3 6 2 2 4" xfId="33667" xr:uid="{B1C85AE1-DBD3-467F-94CF-D6FBF4A0FB50}"/>
    <cellStyle name="20% - Accent3 3 6 2 3" xfId="12555" xr:uid="{D28615DB-3816-4B9D-BC5D-BC9CD4B2E801}"/>
    <cellStyle name="20% - Accent3 3 6 2 4" xfId="21003" xr:uid="{13FA7D03-5B96-422A-A4AC-E3A2759921F0}"/>
    <cellStyle name="20% - Accent3 3 6 2 5" xfId="29450" xr:uid="{3B2EA25B-EED1-496A-929F-9B43BF060320}"/>
    <cellStyle name="20% - Accent3 3 6 3" xfId="6178" xr:uid="{00000000-0005-0000-0000-0000B6010000}"/>
    <cellStyle name="20% - Accent3 3 6 3 2" xfId="14628" xr:uid="{CF8BE6C0-A41A-431E-A492-E7CF9CEE9AAE}"/>
    <cellStyle name="20% - Accent3 3 6 3 3" xfId="23075" xr:uid="{A09A5600-AC27-4FFA-910B-55CB4E9DBC04}"/>
    <cellStyle name="20% - Accent3 3 6 3 4" xfId="31522" xr:uid="{04B565E1-24E9-4FC5-976F-F217CF708D9D}"/>
    <cellStyle name="20% - Accent3 3 6 4" xfId="10410" xr:uid="{CD06F6E9-24D5-4C58-A8C9-1D4B68D04DA4}"/>
    <cellStyle name="20% - Accent3 3 6 5" xfId="18858" xr:uid="{8953745B-63F8-406E-B102-DA3EA0287236}"/>
    <cellStyle name="20% - Accent3 3 6 6" xfId="27305" xr:uid="{A2276896-AF2B-4716-9521-62E853C08193}"/>
    <cellStyle name="20% - Accent3 3 7" xfId="2285" xr:uid="{00000000-0005-0000-0000-0000B7010000}"/>
    <cellStyle name="20% - Accent3 3 7 2" xfId="6591" xr:uid="{00000000-0005-0000-0000-0000B8010000}"/>
    <cellStyle name="20% - Accent3 3 7 2 2" xfId="15041" xr:uid="{D1D2BC3D-C7F5-41E3-BED7-3032678E40DE}"/>
    <cellStyle name="20% - Accent3 3 7 2 3" xfId="23488" xr:uid="{38FF2E0D-EFE0-4A0A-8053-3517D00456C8}"/>
    <cellStyle name="20% - Accent3 3 7 2 4" xfId="31935" xr:uid="{4D98A41E-C0AF-4E70-A1B5-3A481FF9EBB1}"/>
    <cellStyle name="20% - Accent3 3 7 3" xfId="10823" xr:uid="{21A51D7E-A0FD-4FD1-AF5E-57BA0404BE56}"/>
    <cellStyle name="20% - Accent3 3 7 4" xfId="19271" xr:uid="{7F898067-7B2C-4D20-85CE-8EE914B288F1}"/>
    <cellStyle name="20% - Accent3 3 7 5" xfId="27718" xr:uid="{E668AB1F-028F-4640-A87B-47E175A9800F}"/>
    <cellStyle name="20% - Accent3 3 8" xfId="4525" xr:uid="{00000000-0005-0000-0000-0000B9010000}"/>
    <cellStyle name="20% - Accent3 3 8 2" xfId="12975" xr:uid="{726D367A-BE36-4240-BD31-A0F02CB91091}"/>
    <cellStyle name="20% - Accent3 3 8 3" xfId="21422" xr:uid="{DC1F6940-8F33-4525-8DED-A1AA2CAC7BA4}"/>
    <cellStyle name="20% - Accent3 3 8 4" xfId="29869" xr:uid="{D350E0CE-F6DF-4485-9BC4-4DC0697EF3C7}"/>
    <cellStyle name="20% - Accent3 3 9" xfId="8757" xr:uid="{BFF11D8B-48E6-410D-8ACB-0BB71B8226B2}"/>
    <cellStyle name="20% - Accent3 4" xfId="24" xr:uid="{00000000-0005-0000-0000-0000BA010000}"/>
    <cellStyle name="20% - Accent3 4 10" xfId="25654" xr:uid="{4C17EDB4-A933-4D8C-84F2-3AE83B6678FF}"/>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B1DA9B52-2B73-4D41-8921-364C5346A063}"/>
    <cellStyle name="20% - Accent3 4 2 2 2 3" xfId="23983" xr:uid="{440F6963-AFAA-4B12-8DDC-67334EBE8931}"/>
    <cellStyle name="20% - Accent3 4 2 2 2 4" xfId="32430" xr:uid="{06DF1B32-DDA8-48DF-8790-D07C650D6D8D}"/>
    <cellStyle name="20% - Accent3 4 2 2 3" xfId="11318" xr:uid="{51301B43-2AE3-409F-B522-33D4C7C98A13}"/>
    <cellStyle name="20% - Accent3 4 2 2 4" xfId="19766" xr:uid="{038E32DE-7A21-4613-951C-F6CA3467C680}"/>
    <cellStyle name="20% - Accent3 4 2 2 5" xfId="28213" xr:uid="{1D7CD4A6-0F0A-485B-B564-2025D0F66C3D}"/>
    <cellStyle name="20% - Accent3 4 2 3" xfId="4941" xr:uid="{00000000-0005-0000-0000-0000BE010000}"/>
    <cellStyle name="20% - Accent3 4 2 3 2" xfId="13391" xr:uid="{060686C7-336A-40AF-9956-D6453FFF32C0}"/>
    <cellStyle name="20% - Accent3 4 2 3 3" xfId="21838" xr:uid="{0D9AC834-56B7-4A36-ACCA-802D8369F4DD}"/>
    <cellStyle name="20% - Accent3 4 2 3 4" xfId="30285" xr:uid="{3CAD9A6E-4983-4357-A4A6-8E0B0EC02608}"/>
    <cellStyle name="20% - Accent3 4 2 4" xfId="9173" xr:uid="{2743AD16-EFFD-4BD3-B339-6F53AE8A6F4A}"/>
    <cellStyle name="20% - Accent3 4 2 5" xfId="17621" xr:uid="{20A09FE7-43C5-4C28-A9B6-3F77F4988476}"/>
    <cellStyle name="20% - Accent3 4 2 6" xfId="26068" xr:uid="{EC890CB2-ACE3-4233-8EC7-75DC17E6F565}"/>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6B2460F2-B42F-410C-AB1E-D07AD9DB7141}"/>
    <cellStyle name="20% - Accent3 4 3 2 2 3" xfId="24396" xr:uid="{73F1D33B-B4F4-4333-AE98-55271EA0BF82}"/>
    <cellStyle name="20% - Accent3 4 3 2 2 4" xfId="32843" xr:uid="{49E85329-D51E-4A6B-95FC-F573945AF4FF}"/>
    <cellStyle name="20% - Accent3 4 3 2 3" xfId="11731" xr:uid="{20BF58EB-F070-4D87-926B-54251CC58DD4}"/>
    <cellStyle name="20% - Accent3 4 3 2 4" xfId="20179" xr:uid="{9C64D52D-54E4-4D54-B01E-A4BBA0B255EE}"/>
    <cellStyle name="20% - Accent3 4 3 2 5" xfId="28626" xr:uid="{0E5C6F49-9093-446F-B3E6-80758E3B3FBF}"/>
    <cellStyle name="20% - Accent3 4 3 3" xfId="5354" xr:uid="{00000000-0005-0000-0000-0000C2010000}"/>
    <cellStyle name="20% - Accent3 4 3 3 2" xfId="13804" xr:uid="{2B1333E6-E081-4153-B74B-D675A41B7DE4}"/>
    <cellStyle name="20% - Accent3 4 3 3 3" xfId="22251" xr:uid="{99326CAE-4546-450E-83E3-CBF0B650F852}"/>
    <cellStyle name="20% - Accent3 4 3 3 4" xfId="30698" xr:uid="{CF2A6BD6-B2C8-4723-B24F-BD5A35BA4406}"/>
    <cellStyle name="20% - Accent3 4 3 4" xfId="9586" xr:uid="{16A53A45-DD96-4283-BCE2-D0D51BAD2510}"/>
    <cellStyle name="20% - Accent3 4 3 5" xfId="18034" xr:uid="{026684AE-48C5-4514-8131-095158FB46D4}"/>
    <cellStyle name="20% - Accent3 4 3 6" xfId="26481" xr:uid="{01E8CEA4-9C5E-4738-A4F5-4058F5BA224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903BBDA8-9442-434B-ABC7-CEEB12529BBE}"/>
    <cellStyle name="20% - Accent3 4 4 2 2 3" xfId="24809" xr:uid="{625D7B56-212A-49A7-9E5E-CD88F773DAAB}"/>
    <cellStyle name="20% - Accent3 4 4 2 2 4" xfId="33256" xr:uid="{9A8B4543-0FBA-4695-AC7F-F9C99317CF3B}"/>
    <cellStyle name="20% - Accent3 4 4 2 3" xfId="12144" xr:uid="{BBDDF586-A1D6-4B81-896F-D8AB4E55D97B}"/>
    <cellStyle name="20% - Accent3 4 4 2 4" xfId="20592" xr:uid="{47F36B8D-B366-48E0-A16D-148BA96E2115}"/>
    <cellStyle name="20% - Accent3 4 4 2 5" xfId="29039" xr:uid="{3CC66CB5-53A3-4F54-84A0-C14B8CA70394}"/>
    <cellStyle name="20% - Accent3 4 4 3" xfId="5767" xr:uid="{00000000-0005-0000-0000-0000C6010000}"/>
    <cellStyle name="20% - Accent3 4 4 3 2" xfId="14217" xr:uid="{76AF9D71-E888-4E96-9A4B-9A9F757FB769}"/>
    <cellStyle name="20% - Accent3 4 4 3 3" xfId="22664" xr:uid="{ACDB2050-7324-4EB3-BE86-4889702573FD}"/>
    <cellStyle name="20% - Accent3 4 4 3 4" xfId="31111" xr:uid="{DD67F722-2724-4238-8979-EBA216E74B6C}"/>
    <cellStyle name="20% - Accent3 4 4 4" xfId="9999" xr:uid="{7C50A5AC-7731-4BF9-94A2-FE72C7BBC6B0}"/>
    <cellStyle name="20% - Accent3 4 4 5" xfId="18447" xr:uid="{0DC11765-03C2-4206-A4BA-C5B96A166FFB}"/>
    <cellStyle name="20% - Accent3 4 4 6" xfId="26894" xr:uid="{6980FBDC-E0F2-42E1-99D8-76D674945CD3}"/>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3E18B09B-613E-4AC3-98E3-2898D370829D}"/>
    <cellStyle name="20% - Accent3 4 5 2 2 3" xfId="25222" xr:uid="{E6ED7F0D-2C31-4D79-8A39-CBA0D8F66E90}"/>
    <cellStyle name="20% - Accent3 4 5 2 2 4" xfId="33669" xr:uid="{2158B3C5-8A65-447C-B4E7-F398E0113807}"/>
    <cellStyle name="20% - Accent3 4 5 2 3" xfId="12557" xr:uid="{7074F71A-DF5C-4A2E-B69A-DB18E91E0D5C}"/>
    <cellStyle name="20% - Accent3 4 5 2 4" xfId="21005" xr:uid="{EBA43722-CFD9-4E85-B4DE-3053A6DF2D6C}"/>
    <cellStyle name="20% - Accent3 4 5 2 5" xfId="29452" xr:uid="{052EEDA9-241B-42EE-9C5E-07A1FE6EFD5C}"/>
    <cellStyle name="20% - Accent3 4 5 3" xfId="6180" xr:uid="{00000000-0005-0000-0000-0000CA010000}"/>
    <cellStyle name="20% - Accent3 4 5 3 2" xfId="14630" xr:uid="{6D0BD714-299E-4208-A491-395C67D5170D}"/>
    <cellStyle name="20% - Accent3 4 5 3 3" xfId="23077" xr:uid="{BB36FD35-BDDE-4B12-A7C9-C1DFEAA1ACCF}"/>
    <cellStyle name="20% - Accent3 4 5 3 4" xfId="31524" xr:uid="{C13733D3-7D41-4A6B-92E6-99FA56371428}"/>
    <cellStyle name="20% - Accent3 4 5 4" xfId="10412" xr:uid="{669D416C-8700-42D7-A48B-C347FD197948}"/>
    <cellStyle name="20% - Accent3 4 5 5" xfId="18860" xr:uid="{6E23D0E7-F03C-4A02-8795-717C5132FD24}"/>
    <cellStyle name="20% - Accent3 4 5 6" xfId="27307" xr:uid="{D38FA632-7739-4B17-8246-B757FB5F131B}"/>
    <cellStyle name="20% - Accent3 4 6" xfId="2287" xr:uid="{00000000-0005-0000-0000-0000CB010000}"/>
    <cellStyle name="20% - Accent3 4 6 2" xfId="6593" xr:uid="{00000000-0005-0000-0000-0000CC010000}"/>
    <cellStyle name="20% - Accent3 4 6 2 2" xfId="15043" xr:uid="{1454F3F4-A3D9-4545-850D-C7FA6FA04D68}"/>
    <cellStyle name="20% - Accent3 4 6 2 3" xfId="23490" xr:uid="{60A48263-BAA2-480A-A8C4-31AF7A6E1977}"/>
    <cellStyle name="20% - Accent3 4 6 2 4" xfId="31937" xr:uid="{E31F0F53-AB6E-4AF0-A877-1E047BD96A10}"/>
    <cellStyle name="20% - Accent3 4 6 3" xfId="10825" xr:uid="{8E87F01E-C471-40CF-AD3D-408E9C9882C2}"/>
    <cellStyle name="20% - Accent3 4 6 4" xfId="19273" xr:uid="{C9545B19-FE51-4FCE-B945-6F7DDFD80913}"/>
    <cellStyle name="20% - Accent3 4 6 5" xfId="27720" xr:uid="{29BB15B8-C45C-4522-9EDC-122D4D9A4384}"/>
    <cellStyle name="20% - Accent3 4 7" xfId="4527" xr:uid="{00000000-0005-0000-0000-0000CD010000}"/>
    <cellStyle name="20% - Accent3 4 7 2" xfId="12977" xr:uid="{BD8A7331-3F1F-4937-BB35-E8ED396BB288}"/>
    <cellStyle name="20% - Accent3 4 7 3" xfId="21424" xr:uid="{8447E7BF-71BA-46C9-A99D-EAB16C8A998B}"/>
    <cellStyle name="20% - Accent3 4 7 4" xfId="29871" xr:uid="{B850BAE6-BDF2-47D0-9A7F-DC53EB134813}"/>
    <cellStyle name="20% - Accent3 4 8" xfId="8759" xr:uid="{11121DA9-4523-464D-A2FA-3CF359F63A5F}"/>
    <cellStyle name="20% - Accent3 4 9" xfId="17207" xr:uid="{0F768A73-6F1F-459D-8774-868EADEBD5D5}"/>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4435209E-BABB-4272-BC68-7B64358DB058}"/>
    <cellStyle name="20% - Accent3 5 2 2 3" xfId="23976" xr:uid="{D2EDFD62-0DE7-45B9-B129-CEBCC7C1E634}"/>
    <cellStyle name="20% - Accent3 5 2 2 4" xfId="32423" xr:uid="{31EBAF4A-46C1-447F-BEBA-ECF6D4C2F490}"/>
    <cellStyle name="20% - Accent3 5 2 3" xfId="11311" xr:uid="{BEF53D27-C23B-4613-B598-49024E21AC99}"/>
    <cellStyle name="20% - Accent3 5 2 4" xfId="19759" xr:uid="{15E78D3C-E3DF-4329-8A1F-197EFE9C7D56}"/>
    <cellStyle name="20% - Accent3 5 2 5" xfId="28206" xr:uid="{2041EF99-9182-4F58-AAD3-B2809FD26F84}"/>
    <cellStyle name="20% - Accent3 5 3" xfId="4934" xr:uid="{00000000-0005-0000-0000-0000D1010000}"/>
    <cellStyle name="20% - Accent3 5 3 2" xfId="13384" xr:uid="{40A64EEF-EAE1-44AB-97BF-7FBD40DCFC3C}"/>
    <cellStyle name="20% - Accent3 5 3 3" xfId="21831" xr:uid="{73234C8E-2B88-4E40-A495-8F63E448D5B4}"/>
    <cellStyle name="20% - Accent3 5 3 4" xfId="30278" xr:uid="{16AD36C4-18E8-4BAE-A97B-79BFBB0FC8A8}"/>
    <cellStyle name="20% - Accent3 5 4" xfId="9166" xr:uid="{8AC2CBEA-4356-40A3-BD5B-D64486AC71F4}"/>
    <cellStyle name="20% - Accent3 5 5" xfId="17614" xr:uid="{453C2560-F4E7-4642-AFB4-910E5D773869}"/>
    <cellStyle name="20% - Accent3 5 6" xfId="26061" xr:uid="{3C931AEF-9B94-47D6-B9C8-6E1EAF04F51A}"/>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5A810447-2B9E-4A2A-A72F-723FAE84E4DF}"/>
    <cellStyle name="20% - Accent3 6 2 2 3" xfId="24389" xr:uid="{75197C88-53FB-4F2F-949F-9EC18EDC2472}"/>
    <cellStyle name="20% - Accent3 6 2 2 4" xfId="32836" xr:uid="{2E90AEAB-68C9-42B3-AFCD-E76A0CC6F029}"/>
    <cellStyle name="20% - Accent3 6 2 3" xfId="11724" xr:uid="{35AB3699-8C95-44A9-B4D9-909CC7F79CFF}"/>
    <cellStyle name="20% - Accent3 6 2 4" xfId="20172" xr:uid="{365316A2-8A86-4FA5-A685-F92A92231908}"/>
    <cellStyle name="20% - Accent3 6 2 5" xfId="28619" xr:uid="{8CB08A1A-7431-4D62-9954-4420C076BBD0}"/>
    <cellStyle name="20% - Accent3 6 3" xfId="5347" xr:uid="{00000000-0005-0000-0000-0000D5010000}"/>
    <cellStyle name="20% - Accent3 6 3 2" xfId="13797" xr:uid="{68DC8CF3-527F-49F3-A7C3-574E207D9B37}"/>
    <cellStyle name="20% - Accent3 6 3 3" xfId="22244" xr:uid="{F6538A59-1CF5-4F4E-877C-060139131E5A}"/>
    <cellStyle name="20% - Accent3 6 3 4" xfId="30691" xr:uid="{F6ABD9F8-910B-404C-B03F-EC0727D7864A}"/>
    <cellStyle name="20% - Accent3 6 4" xfId="9579" xr:uid="{D2D61405-4797-4F45-A602-0555D741ED09}"/>
    <cellStyle name="20% - Accent3 6 5" xfId="18027" xr:uid="{C08D68B4-6B9C-4142-B6CA-251C60216151}"/>
    <cellStyle name="20% - Accent3 6 6" xfId="26474" xr:uid="{40727007-A235-4F9F-8C05-C593943165DF}"/>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357D14A8-BB8B-44F7-A632-951DA76BA0A1}"/>
    <cellStyle name="20% - Accent3 7 2 2 3" xfId="24802" xr:uid="{8E79F3F9-F8F2-4F0D-A9B2-39FE39992271}"/>
    <cellStyle name="20% - Accent3 7 2 2 4" xfId="33249" xr:uid="{40011BB1-EF39-44E2-8146-2EF40034C4D2}"/>
    <cellStyle name="20% - Accent3 7 2 3" xfId="12137" xr:uid="{6C445BB2-5639-4E49-9399-3BEA580D5A10}"/>
    <cellStyle name="20% - Accent3 7 2 4" xfId="20585" xr:uid="{B0EFBE10-C869-4D18-B3C8-2A1A8DAE72E1}"/>
    <cellStyle name="20% - Accent3 7 2 5" xfId="29032" xr:uid="{6C7F6F87-FAC4-4C4F-9CB9-3CEE0A2231E1}"/>
    <cellStyle name="20% - Accent3 7 3" xfId="5760" xr:uid="{00000000-0005-0000-0000-0000D9010000}"/>
    <cellStyle name="20% - Accent3 7 3 2" xfId="14210" xr:uid="{30D164D1-8886-4306-81CD-2C882FC11DFF}"/>
    <cellStyle name="20% - Accent3 7 3 3" xfId="22657" xr:uid="{326A22C6-5301-422E-9503-6E2AA6A66859}"/>
    <cellStyle name="20% - Accent3 7 3 4" xfId="31104" xr:uid="{2A834459-BD67-4DB1-9E81-59E5F4EF1ED6}"/>
    <cellStyle name="20% - Accent3 7 4" xfId="9992" xr:uid="{0B759EF6-EFE9-4FA3-86C8-8B3024BF4B41}"/>
    <cellStyle name="20% - Accent3 7 5" xfId="18440" xr:uid="{CCC4B390-D11F-4107-BFD2-57754B07EFF3}"/>
    <cellStyle name="20% - Accent3 7 6" xfId="26887" xr:uid="{C31971CC-2F8D-409E-A199-F17A5B9DA620}"/>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FCD76C50-CCD5-4563-A715-F636A14FE3E4}"/>
    <cellStyle name="20% - Accent3 8 2 2 3" xfId="25215" xr:uid="{B75EA860-2BCC-4BB2-8C5F-3159AED2B3FB}"/>
    <cellStyle name="20% - Accent3 8 2 2 4" xfId="33662" xr:uid="{5A2CFA3C-50A5-46B8-AF3B-204E00C72F30}"/>
    <cellStyle name="20% - Accent3 8 2 3" xfId="12550" xr:uid="{901CF90C-E79D-440A-B9B5-04624DE365BE}"/>
    <cellStyle name="20% - Accent3 8 2 4" xfId="20998" xr:uid="{1BE57FAB-0E8A-40CA-8259-3C4441D3FAF4}"/>
    <cellStyle name="20% - Accent3 8 2 5" xfId="29445" xr:uid="{438C23C9-732B-4FDB-A6AB-74CF423A11B8}"/>
    <cellStyle name="20% - Accent3 8 3" xfId="6173" xr:uid="{00000000-0005-0000-0000-0000DD010000}"/>
    <cellStyle name="20% - Accent3 8 3 2" xfId="14623" xr:uid="{DD7FC649-956D-47BE-8B24-EC986D7AD53D}"/>
    <cellStyle name="20% - Accent3 8 3 3" xfId="23070" xr:uid="{9D2C9C7C-1CA3-4B34-A6BC-A6911059E122}"/>
    <cellStyle name="20% - Accent3 8 3 4" xfId="31517" xr:uid="{9E459B1D-E3F1-413E-85A4-EC248E886C88}"/>
    <cellStyle name="20% - Accent3 8 4" xfId="10405" xr:uid="{7C6C76B1-9B4E-454E-8207-BA25A81FCA56}"/>
    <cellStyle name="20% - Accent3 8 5" xfId="18853" xr:uid="{9169F9BB-EB50-4542-8E89-E4F867B91D8B}"/>
    <cellStyle name="20% - Accent3 8 6" xfId="27300" xr:uid="{728971A2-2D3D-4F61-8CDD-2ED608EC7048}"/>
    <cellStyle name="20% - Accent3 9" xfId="2280" xr:uid="{00000000-0005-0000-0000-0000DE010000}"/>
    <cellStyle name="20% - Accent3 9 2" xfId="6586" xr:uid="{00000000-0005-0000-0000-0000DF010000}"/>
    <cellStyle name="20% - Accent3 9 2 2" xfId="15036" xr:uid="{3203A0B7-7159-4860-84BD-ADBD6F136F27}"/>
    <cellStyle name="20% - Accent3 9 2 3" xfId="23483" xr:uid="{84FA3BF2-AE04-4203-9F37-3CED071564B4}"/>
    <cellStyle name="20% - Accent3 9 2 4" xfId="31930" xr:uid="{EFB92203-8FEF-41C1-B158-C6511DB2360C}"/>
    <cellStyle name="20% - Accent3 9 3" xfId="10818" xr:uid="{0289A4EC-16C4-4F2E-9623-E68748CB2984}"/>
    <cellStyle name="20% - Accent3 9 4" xfId="19266" xr:uid="{F284875D-D60F-45F3-974E-CF6A2415F5BC}"/>
    <cellStyle name="20% - Accent3 9 5" xfId="27713" xr:uid="{9F4C481D-B7E3-4C02-BC5A-BAE4EC2C7420}"/>
    <cellStyle name="20% - Accent4" xfId="25" builtinId="42" customBuiltin="1"/>
    <cellStyle name="20% - Accent4 10" xfId="4528" xr:uid="{00000000-0005-0000-0000-0000E1010000}"/>
    <cellStyle name="20% - Accent4 10 2" xfId="12978" xr:uid="{3526E66D-8AD3-4432-96AE-F1F0F1009C47}"/>
    <cellStyle name="20% - Accent4 10 3" xfId="21425" xr:uid="{5B935B07-488E-4569-AAD8-DA8BA0FFDB92}"/>
    <cellStyle name="20% - Accent4 10 4" xfId="29872" xr:uid="{94015530-A4EC-4F08-9DA3-6B222721FE0B}"/>
    <cellStyle name="20% - Accent4 11" xfId="8760" xr:uid="{A81E288C-8577-4402-A2CE-174266D1485A}"/>
    <cellStyle name="20% - Accent4 12" xfId="17208" xr:uid="{9288F7CD-4065-4F60-9D43-E2CF3EFFCF67}"/>
    <cellStyle name="20% - Accent4 13" xfId="25655" xr:uid="{020FCD2B-59B0-4B5F-B993-75C28933EB70}"/>
    <cellStyle name="20% - Accent4 2" xfId="26" xr:uid="{00000000-0005-0000-0000-0000E2010000}"/>
    <cellStyle name="20% - Accent4 2 10" xfId="8761" xr:uid="{6B1AD66E-825F-4634-82DD-71388EE1ED29}"/>
    <cellStyle name="20% - Accent4 2 11" xfId="17209" xr:uid="{A7802855-FB0A-46B0-9E7B-6E14145F9D3E}"/>
    <cellStyle name="20% - Accent4 2 12" xfId="25656" xr:uid="{93F220A3-42F3-4B27-A0E4-5CBD257CFCAD}"/>
    <cellStyle name="20% - Accent4 2 2" xfId="27" xr:uid="{00000000-0005-0000-0000-0000E3010000}"/>
    <cellStyle name="20% - Accent4 2 2 10" xfId="17210" xr:uid="{A3A4B477-8DE0-418C-9162-A5C64072A174}"/>
    <cellStyle name="20% - Accent4 2 2 11" xfId="25657" xr:uid="{56CDE75A-939E-494A-A1FD-D1B901735AFE}"/>
    <cellStyle name="20% - Accent4 2 2 2" xfId="28" xr:uid="{00000000-0005-0000-0000-0000E4010000}"/>
    <cellStyle name="20% - Accent4 2 2 2 10" xfId="25658" xr:uid="{C5B89398-09B9-4710-9419-A4717AB7FF85}"/>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E0573B8D-B863-4A0C-B196-D121A7F30CE1}"/>
    <cellStyle name="20% - Accent4 2 2 2 2 2 2 3" xfId="23987" xr:uid="{FE74C688-F4B5-473C-8C0D-E6CC84B8AEDD}"/>
    <cellStyle name="20% - Accent4 2 2 2 2 2 2 4" xfId="32434" xr:uid="{6140C704-2D78-4254-96D9-850CDAA9BD62}"/>
    <cellStyle name="20% - Accent4 2 2 2 2 2 3" xfId="11322" xr:uid="{5A194E25-0D3D-4A07-BE64-C9836F1EDEA4}"/>
    <cellStyle name="20% - Accent4 2 2 2 2 2 4" xfId="19770" xr:uid="{2C623D1E-20F6-481E-9010-3186D2A0D980}"/>
    <cellStyle name="20% - Accent4 2 2 2 2 2 5" xfId="28217" xr:uid="{A31B3211-4397-4955-9ADB-F27CA81F8ADA}"/>
    <cellStyle name="20% - Accent4 2 2 2 2 3" xfId="4945" xr:uid="{00000000-0005-0000-0000-0000E8010000}"/>
    <cellStyle name="20% - Accent4 2 2 2 2 3 2" xfId="13395" xr:uid="{ED722CCF-9EE0-4D1D-8A27-6E6509CAB872}"/>
    <cellStyle name="20% - Accent4 2 2 2 2 3 3" xfId="21842" xr:uid="{CC105117-22F5-400B-90C1-514EEA026E7A}"/>
    <cellStyle name="20% - Accent4 2 2 2 2 3 4" xfId="30289" xr:uid="{FEF44238-A98B-478B-A439-885767F927BC}"/>
    <cellStyle name="20% - Accent4 2 2 2 2 4" xfId="9177" xr:uid="{A3C393A5-0480-496E-B609-0EDE84586A8C}"/>
    <cellStyle name="20% - Accent4 2 2 2 2 5" xfId="17625" xr:uid="{82DEB1D4-3A98-4A38-AC30-ED68B0CFACA0}"/>
    <cellStyle name="20% - Accent4 2 2 2 2 6" xfId="26072" xr:uid="{06276961-0D8F-4277-9AE2-0FB8C0C96216}"/>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C1B31727-DFDF-4C70-BAB7-04410FE55E7F}"/>
    <cellStyle name="20% - Accent4 2 2 2 3 2 2 3" xfId="24400" xr:uid="{AD5C08B5-F548-4584-B59C-325A4410A7FA}"/>
    <cellStyle name="20% - Accent4 2 2 2 3 2 2 4" xfId="32847" xr:uid="{EE9E859F-3C09-40E2-BD30-86F7A5A73B28}"/>
    <cellStyle name="20% - Accent4 2 2 2 3 2 3" xfId="11735" xr:uid="{69F022E2-F959-4070-ADC0-BF67AC11CE66}"/>
    <cellStyle name="20% - Accent4 2 2 2 3 2 4" xfId="20183" xr:uid="{53D75F1E-4350-4CD5-9A98-21372FB10657}"/>
    <cellStyle name="20% - Accent4 2 2 2 3 2 5" xfId="28630" xr:uid="{E79E5813-A615-474F-9E3B-599B8B51DF8E}"/>
    <cellStyle name="20% - Accent4 2 2 2 3 3" xfId="5358" xr:uid="{00000000-0005-0000-0000-0000EC010000}"/>
    <cellStyle name="20% - Accent4 2 2 2 3 3 2" xfId="13808" xr:uid="{820A81EF-4FFF-4365-8142-1C4226D85B7E}"/>
    <cellStyle name="20% - Accent4 2 2 2 3 3 3" xfId="22255" xr:uid="{29EDBD45-A499-48DB-9E0F-503E3EE0778E}"/>
    <cellStyle name="20% - Accent4 2 2 2 3 3 4" xfId="30702" xr:uid="{829E51B9-4C1C-4F54-AACA-3AE0F4EFB3E9}"/>
    <cellStyle name="20% - Accent4 2 2 2 3 4" xfId="9590" xr:uid="{E3A4DD8A-EC44-4C75-976A-E154D54C1531}"/>
    <cellStyle name="20% - Accent4 2 2 2 3 5" xfId="18038" xr:uid="{F4768E46-3DEB-4FCD-896E-7BDCF8F5C421}"/>
    <cellStyle name="20% - Accent4 2 2 2 3 6" xfId="26485" xr:uid="{4C47643C-CE80-4EC8-B7A4-E18E91BDAE8B}"/>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E290957A-F020-4725-8C4E-2701E57DB04C}"/>
    <cellStyle name="20% - Accent4 2 2 2 4 2 2 3" xfId="24813" xr:uid="{0A0DBE4C-611E-4B8A-B82A-6823A6A43996}"/>
    <cellStyle name="20% - Accent4 2 2 2 4 2 2 4" xfId="33260" xr:uid="{5219B3F0-424B-4B71-9235-3E8595B82F76}"/>
    <cellStyle name="20% - Accent4 2 2 2 4 2 3" xfId="12148" xr:uid="{B4FC1789-656F-44D1-99C8-2A668A44F28D}"/>
    <cellStyle name="20% - Accent4 2 2 2 4 2 4" xfId="20596" xr:uid="{DEF24B85-6967-4CB4-8A0E-628354615C51}"/>
    <cellStyle name="20% - Accent4 2 2 2 4 2 5" xfId="29043" xr:uid="{D55E4BA9-0194-4D1D-9D57-8E8704520F34}"/>
    <cellStyle name="20% - Accent4 2 2 2 4 3" xfId="5771" xr:uid="{00000000-0005-0000-0000-0000F0010000}"/>
    <cellStyle name="20% - Accent4 2 2 2 4 3 2" xfId="14221" xr:uid="{0533D817-2BD9-42FB-BD7B-7EF7BEDF7848}"/>
    <cellStyle name="20% - Accent4 2 2 2 4 3 3" xfId="22668" xr:uid="{360D4B82-E271-48F0-9D11-26FB6F020CE4}"/>
    <cellStyle name="20% - Accent4 2 2 2 4 3 4" xfId="31115" xr:uid="{034A2643-F378-42FE-B562-6039DD5ADF9B}"/>
    <cellStyle name="20% - Accent4 2 2 2 4 4" xfId="10003" xr:uid="{9934F840-6BB2-4498-A977-D8E663B86CE8}"/>
    <cellStyle name="20% - Accent4 2 2 2 4 5" xfId="18451" xr:uid="{36CC7E72-9341-4ED7-9668-A1FCD8472BA4}"/>
    <cellStyle name="20% - Accent4 2 2 2 4 6" xfId="26898" xr:uid="{53797C23-33D7-4C27-B19A-73D5AAD476E1}"/>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DB4B44FC-55CB-44BF-A9B0-E1749BEE4C15}"/>
    <cellStyle name="20% - Accent4 2 2 2 5 2 2 3" xfId="25226" xr:uid="{19064320-1310-4821-8E5F-78D3D80E3615}"/>
    <cellStyle name="20% - Accent4 2 2 2 5 2 2 4" xfId="33673" xr:uid="{C94763AC-FD4E-4BA7-9219-CB560B6AB1F3}"/>
    <cellStyle name="20% - Accent4 2 2 2 5 2 3" xfId="12561" xr:uid="{C7179D4A-6069-4FE5-931A-65DD7083AE29}"/>
    <cellStyle name="20% - Accent4 2 2 2 5 2 4" xfId="21009" xr:uid="{1848D76B-5676-4FA2-B8C9-EDA71DE68D73}"/>
    <cellStyle name="20% - Accent4 2 2 2 5 2 5" xfId="29456" xr:uid="{E7757C81-64A8-4557-904E-591039417719}"/>
    <cellStyle name="20% - Accent4 2 2 2 5 3" xfId="6184" xr:uid="{00000000-0005-0000-0000-0000F4010000}"/>
    <cellStyle name="20% - Accent4 2 2 2 5 3 2" xfId="14634" xr:uid="{3D03DF1B-C082-4018-8B3D-4818050D69B3}"/>
    <cellStyle name="20% - Accent4 2 2 2 5 3 3" xfId="23081" xr:uid="{B2CF46B1-B7A8-441F-9C2A-D7C8AC528B6E}"/>
    <cellStyle name="20% - Accent4 2 2 2 5 3 4" xfId="31528" xr:uid="{E6757630-359B-4B49-A123-64BE724FF239}"/>
    <cellStyle name="20% - Accent4 2 2 2 5 4" xfId="10416" xr:uid="{8DAF063A-E22B-4FAD-8FCD-23775433388F}"/>
    <cellStyle name="20% - Accent4 2 2 2 5 5" xfId="18864" xr:uid="{ED389568-B670-411C-A6CC-605535563C42}"/>
    <cellStyle name="20% - Accent4 2 2 2 5 6" xfId="27311" xr:uid="{E2668F8B-51D8-428A-A374-CDE0B031E5D5}"/>
    <cellStyle name="20% - Accent4 2 2 2 6" xfId="2291" xr:uid="{00000000-0005-0000-0000-0000F5010000}"/>
    <cellStyle name="20% - Accent4 2 2 2 6 2" xfId="6597" xr:uid="{00000000-0005-0000-0000-0000F6010000}"/>
    <cellStyle name="20% - Accent4 2 2 2 6 2 2" xfId="15047" xr:uid="{5C732194-FA12-46A8-ADF5-FBC91DBC3CCE}"/>
    <cellStyle name="20% - Accent4 2 2 2 6 2 3" xfId="23494" xr:uid="{24289A60-A7C4-4F84-ADA8-56FFEB252F1C}"/>
    <cellStyle name="20% - Accent4 2 2 2 6 2 4" xfId="31941" xr:uid="{C4D94DB8-5BA4-484F-9A22-296613A3DA7F}"/>
    <cellStyle name="20% - Accent4 2 2 2 6 3" xfId="10829" xr:uid="{ECCA26BD-1A8A-4497-9AA5-96983723448D}"/>
    <cellStyle name="20% - Accent4 2 2 2 6 4" xfId="19277" xr:uid="{8ED29064-A7E4-48AA-B730-5EB0E34FDFF4}"/>
    <cellStyle name="20% - Accent4 2 2 2 6 5" xfId="27724" xr:uid="{046D2AF2-11E3-46CF-8069-8546FC23DFC5}"/>
    <cellStyle name="20% - Accent4 2 2 2 7" xfId="4531" xr:uid="{00000000-0005-0000-0000-0000F7010000}"/>
    <cellStyle name="20% - Accent4 2 2 2 7 2" xfId="12981" xr:uid="{8AA769AB-9599-4014-9547-BAF45B51521A}"/>
    <cellStyle name="20% - Accent4 2 2 2 7 3" xfId="21428" xr:uid="{DDC73EB7-8357-4CD7-B081-60E57B9757A3}"/>
    <cellStyle name="20% - Accent4 2 2 2 7 4" xfId="29875" xr:uid="{5A179051-DE04-4D1A-AAD4-C9322671B378}"/>
    <cellStyle name="20% - Accent4 2 2 2 8" xfId="8763" xr:uid="{572A5A21-FBEF-4E79-A94D-0874FC46A082}"/>
    <cellStyle name="20% - Accent4 2 2 2 9" xfId="17211" xr:uid="{A28A4683-0C89-4085-9FB1-7203FD45FD0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020CDAE9-C2A1-4D0E-89EF-2C78D2A19396}"/>
    <cellStyle name="20% - Accent4 2 2 3 2 2 3" xfId="23986" xr:uid="{CF913DDE-4C16-4C85-85E3-11AB0069C740}"/>
    <cellStyle name="20% - Accent4 2 2 3 2 2 4" xfId="32433" xr:uid="{380128C8-8614-4450-A36D-8CF5D5035A77}"/>
    <cellStyle name="20% - Accent4 2 2 3 2 3" xfId="11321" xr:uid="{BB92E579-6389-475A-B83A-8558C141334B}"/>
    <cellStyle name="20% - Accent4 2 2 3 2 4" xfId="19769" xr:uid="{CDAE8148-772E-4F6E-8F66-86C0E397FB9F}"/>
    <cellStyle name="20% - Accent4 2 2 3 2 5" xfId="28216" xr:uid="{D4C5CAC0-20CA-496B-986E-DD24D4889A44}"/>
    <cellStyle name="20% - Accent4 2 2 3 3" xfId="4944" xr:uid="{00000000-0005-0000-0000-0000FB010000}"/>
    <cellStyle name="20% - Accent4 2 2 3 3 2" xfId="13394" xr:uid="{F86F74CF-1AEA-4DF2-A973-E841CDD79674}"/>
    <cellStyle name="20% - Accent4 2 2 3 3 3" xfId="21841" xr:uid="{95D2FDB0-605F-4925-8B60-5C76FA11431B}"/>
    <cellStyle name="20% - Accent4 2 2 3 3 4" xfId="30288" xr:uid="{CCC2B721-5023-4028-B1E6-14307407A14B}"/>
    <cellStyle name="20% - Accent4 2 2 3 4" xfId="9176" xr:uid="{58F2B4CB-BDE7-40E7-9CF2-C27B915B9BD1}"/>
    <cellStyle name="20% - Accent4 2 2 3 5" xfId="17624" xr:uid="{CCDD32B7-D4B6-4026-977B-77E8CE02BBA8}"/>
    <cellStyle name="20% - Accent4 2 2 3 6" xfId="26071" xr:uid="{1BB30587-4B25-4229-AE70-57BB96F3A77D}"/>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976B60EB-0253-42EC-9289-C051C2845879}"/>
    <cellStyle name="20% - Accent4 2 2 4 2 2 3" xfId="24399" xr:uid="{45A93735-6DFE-4D5E-8BA4-C94FD2E71142}"/>
    <cellStyle name="20% - Accent4 2 2 4 2 2 4" xfId="32846" xr:uid="{F83CDD28-5CA1-461B-B69F-EBECF248FD3C}"/>
    <cellStyle name="20% - Accent4 2 2 4 2 3" xfId="11734" xr:uid="{74CA85C5-D7F4-4004-95CC-8EBA5A7AF6B1}"/>
    <cellStyle name="20% - Accent4 2 2 4 2 4" xfId="20182" xr:uid="{4943657D-E662-4798-A001-4E4B5D591A68}"/>
    <cellStyle name="20% - Accent4 2 2 4 2 5" xfId="28629" xr:uid="{03C9B75F-575F-4AFC-A5CC-F6008A054170}"/>
    <cellStyle name="20% - Accent4 2 2 4 3" xfId="5357" xr:uid="{00000000-0005-0000-0000-0000FF010000}"/>
    <cellStyle name="20% - Accent4 2 2 4 3 2" xfId="13807" xr:uid="{A8C6D1CC-4F92-4BA8-92CB-F1D4DE55C20B}"/>
    <cellStyle name="20% - Accent4 2 2 4 3 3" xfId="22254" xr:uid="{813AE7F4-AD9F-4A15-BA4D-90AE18E5952B}"/>
    <cellStyle name="20% - Accent4 2 2 4 3 4" xfId="30701" xr:uid="{B7E39958-4CA2-478D-9948-22F61996BDC7}"/>
    <cellStyle name="20% - Accent4 2 2 4 4" xfId="9589" xr:uid="{F34E657E-945F-4D17-88DB-0397549C2F75}"/>
    <cellStyle name="20% - Accent4 2 2 4 5" xfId="18037" xr:uid="{BF695EA7-3452-4A3A-B9D3-47D407DCB479}"/>
    <cellStyle name="20% - Accent4 2 2 4 6" xfId="26484" xr:uid="{AD579947-EE9B-440C-9882-39DE58B9D25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876F77D6-3981-4F3C-B0FA-698EA5FDFC44}"/>
    <cellStyle name="20% - Accent4 2 2 5 2 2 3" xfId="24812" xr:uid="{352A4DA4-465B-470A-B849-056175A1DD05}"/>
    <cellStyle name="20% - Accent4 2 2 5 2 2 4" xfId="33259" xr:uid="{171468F5-5046-427D-94D0-3784895012B3}"/>
    <cellStyle name="20% - Accent4 2 2 5 2 3" xfId="12147" xr:uid="{1B7643D4-1B49-42AC-8DEC-AAB1A6C38305}"/>
    <cellStyle name="20% - Accent4 2 2 5 2 4" xfId="20595" xr:uid="{B4BC8502-8935-48F0-8FF2-C1A7EA0245FF}"/>
    <cellStyle name="20% - Accent4 2 2 5 2 5" xfId="29042" xr:uid="{06600297-C314-4E27-BCEB-885DFBFE0718}"/>
    <cellStyle name="20% - Accent4 2 2 5 3" xfId="5770" xr:uid="{00000000-0005-0000-0000-000003020000}"/>
    <cellStyle name="20% - Accent4 2 2 5 3 2" xfId="14220" xr:uid="{F2DD45FC-E6C8-4D43-9F67-2A9542686C2B}"/>
    <cellStyle name="20% - Accent4 2 2 5 3 3" xfId="22667" xr:uid="{992820F2-64EF-4369-A2F3-465C477B6897}"/>
    <cellStyle name="20% - Accent4 2 2 5 3 4" xfId="31114" xr:uid="{7DDD3C75-833E-4C9D-A0AC-B3568A0B7D08}"/>
    <cellStyle name="20% - Accent4 2 2 5 4" xfId="10002" xr:uid="{C94A3767-3DE1-4F7E-B5AF-99401FF415B2}"/>
    <cellStyle name="20% - Accent4 2 2 5 5" xfId="18450" xr:uid="{5FB6A4AC-2B60-44B7-8983-9B32537FF47A}"/>
    <cellStyle name="20% - Accent4 2 2 5 6" xfId="26897" xr:uid="{537B2673-40CF-4612-94BF-D04EEE1CDC0B}"/>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E8A978DA-32F6-48EE-B67A-82B40386F590}"/>
    <cellStyle name="20% - Accent4 2 2 6 2 2 3" xfId="25225" xr:uid="{0042B612-0506-4174-869A-9AC2F549B927}"/>
    <cellStyle name="20% - Accent4 2 2 6 2 2 4" xfId="33672" xr:uid="{D590879D-BAFB-4101-90D5-249CC0669BFB}"/>
    <cellStyle name="20% - Accent4 2 2 6 2 3" xfId="12560" xr:uid="{EECE8D51-5D6B-4A07-BA05-A84F78A28BE2}"/>
    <cellStyle name="20% - Accent4 2 2 6 2 4" xfId="21008" xr:uid="{B4F0536F-EC50-4CD6-9080-FA9499642E16}"/>
    <cellStyle name="20% - Accent4 2 2 6 2 5" xfId="29455" xr:uid="{48202279-3EFE-4C66-A753-801999CD6BA5}"/>
    <cellStyle name="20% - Accent4 2 2 6 3" xfId="6183" xr:uid="{00000000-0005-0000-0000-000007020000}"/>
    <cellStyle name="20% - Accent4 2 2 6 3 2" xfId="14633" xr:uid="{A5E08BD3-1DF8-487F-BF9E-CE512214D1BF}"/>
    <cellStyle name="20% - Accent4 2 2 6 3 3" xfId="23080" xr:uid="{1D1B2E09-E25E-4EF2-BCAB-D22F7E3389E9}"/>
    <cellStyle name="20% - Accent4 2 2 6 3 4" xfId="31527" xr:uid="{A88A17D6-89B2-4DDE-AF47-B67482AD5132}"/>
    <cellStyle name="20% - Accent4 2 2 6 4" xfId="10415" xr:uid="{EA483414-6F71-4C19-9810-A0B65287E159}"/>
    <cellStyle name="20% - Accent4 2 2 6 5" xfId="18863" xr:uid="{5884E87D-5A5E-4AB2-8361-87A0A1C8E994}"/>
    <cellStyle name="20% - Accent4 2 2 6 6" xfId="27310" xr:uid="{ECD7E1AD-E490-496F-8855-57A494AE92EB}"/>
    <cellStyle name="20% - Accent4 2 2 7" xfId="2290" xr:uid="{00000000-0005-0000-0000-000008020000}"/>
    <cellStyle name="20% - Accent4 2 2 7 2" xfId="6596" xr:uid="{00000000-0005-0000-0000-000009020000}"/>
    <cellStyle name="20% - Accent4 2 2 7 2 2" xfId="15046" xr:uid="{524FD4F5-D1F6-40CE-AEB7-2867BA3BB156}"/>
    <cellStyle name="20% - Accent4 2 2 7 2 3" xfId="23493" xr:uid="{29D9C0E1-A545-49B9-B098-917B63A03045}"/>
    <cellStyle name="20% - Accent4 2 2 7 2 4" xfId="31940" xr:uid="{B587E877-57D6-4638-948E-EA571F0BD712}"/>
    <cellStyle name="20% - Accent4 2 2 7 3" xfId="10828" xr:uid="{31D78B24-7C29-41BC-8735-B53AFBC91D7C}"/>
    <cellStyle name="20% - Accent4 2 2 7 4" xfId="19276" xr:uid="{A419BA10-F3C4-4022-86A3-3848E0B4804F}"/>
    <cellStyle name="20% - Accent4 2 2 7 5" xfId="27723" xr:uid="{E77A8E6D-D9BA-4623-853E-F8715BAD4609}"/>
    <cellStyle name="20% - Accent4 2 2 8" xfId="4530" xr:uid="{00000000-0005-0000-0000-00000A020000}"/>
    <cellStyle name="20% - Accent4 2 2 8 2" xfId="12980" xr:uid="{9EC40C0C-21D9-4032-BE94-385C7E8CC417}"/>
    <cellStyle name="20% - Accent4 2 2 8 3" xfId="21427" xr:uid="{0F0D7ACA-9306-4602-90D7-0619F4359363}"/>
    <cellStyle name="20% - Accent4 2 2 8 4" xfId="29874" xr:uid="{A32E932C-E518-4248-836E-3E85881DB9BF}"/>
    <cellStyle name="20% - Accent4 2 2 9" xfId="8762" xr:uid="{605594C8-77F2-4415-A8FD-5DFACCF1A4C1}"/>
    <cellStyle name="20% - Accent4 2 3" xfId="29" xr:uid="{00000000-0005-0000-0000-00000B020000}"/>
    <cellStyle name="20% - Accent4 2 3 10" xfId="25659" xr:uid="{7BF91483-9476-4EF3-AB92-8336E0D655B2}"/>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7DD0F50C-3D5A-4568-8F7E-9A4C302A733D}"/>
    <cellStyle name="20% - Accent4 2 3 2 2 2 3" xfId="23988" xr:uid="{7243899A-E5B3-4C0E-A232-BEFC5DE9BDB4}"/>
    <cellStyle name="20% - Accent4 2 3 2 2 2 4" xfId="32435" xr:uid="{A8B55797-AEA9-4674-B0E5-28D7F1A7B841}"/>
    <cellStyle name="20% - Accent4 2 3 2 2 3" xfId="11323" xr:uid="{229FC8E3-1592-41A5-94BB-A5F750F4C6B5}"/>
    <cellStyle name="20% - Accent4 2 3 2 2 4" xfId="19771" xr:uid="{68BEFE38-79AB-4384-B54D-15C46D37E3CC}"/>
    <cellStyle name="20% - Accent4 2 3 2 2 5" xfId="28218" xr:uid="{1BD12E5A-ACA2-4EE1-8688-CBCFC8637413}"/>
    <cellStyle name="20% - Accent4 2 3 2 3" xfId="4946" xr:uid="{00000000-0005-0000-0000-00000F020000}"/>
    <cellStyle name="20% - Accent4 2 3 2 3 2" xfId="13396" xr:uid="{14DF242D-FB81-45F7-9B22-75D9ED588CB3}"/>
    <cellStyle name="20% - Accent4 2 3 2 3 3" xfId="21843" xr:uid="{4D629BF4-B922-4C0A-AF13-786D1D95453C}"/>
    <cellStyle name="20% - Accent4 2 3 2 3 4" xfId="30290" xr:uid="{0E83511B-2C62-4B58-A78E-C9A222213A98}"/>
    <cellStyle name="20% - Accent4 2 3 2 4" xfId="9178" xr:uid="{29A850FC-C2F9-43EF-B001-0045C343EA87}"/>
    <cellStyle name="20% - Accent4 2 3 2 5" xfId="17626" xr:uid="{55742192-506E-4518-891B-321D9282DEC0}"/>
    <cellStyle name="20% - Accent4 2 3 2 6" xfId="26073" xr:uid="{B8B0C2C5-D7A2-43C4-A8E3-64B81EBEEA0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B17AEE7E-A0A3-4251-B4BF-E9C701EA8001}"/>
    <cellStyle name="20% - Accent4 2 3 3 2 2 3" xfId="24401" xr:uid="{228065E9-AD44-4F6B-9F94-FE43C5C7FA6B}"/>
    <cellStyle name="20% - Accent4 2 3 3 2 2 4" xfId="32848" xr:uid="{0C73AE50-17CD-4BA4-ABF3-93B8D3A4C131}"/>
    <cellStyle name="20% - Accent4 2 3 3 2 3" xfId="11736" xr:uid="{6187B7B1-42D3-4E3F-9400-C5179CD0EB9C}"/>
    <cellStyle name="20% - Accent4 2 3 3 2 4" xfId="20184" xr:uid="{558C43E0-3572-4948-8ACF-260024AE738E}"/>
    <cellStyle name="20% - Accent4 2 3 3 2 5" xfId="28631" xr:uid="{EBFAFBD1-D772-470F-B0CC-473F9042238C}"/>
    <cellStyle name="20% - Accent4 2 3 3 3" xfId="5359" xr:uid="{00000000-0005-0000-0000-000013020000}"/>
    <cellStyle name="20% - Accent4 2 3 3 3 2" xfId="13809" xr:uid="{FBC08E77-940A-4361-8E63-8B5D0E13DAC1}"/>
    <cellStyle name="20% - Accent4 2 3 3 3 3" xfId="22256" xr:uid="{7353A94E-0D1F-443F-A945-98B2B4775F0A}"/>
    <cellStyle name="20% - Accent4 2 3 3 3 4" xfId="30703" xr:uid="{9738C00D-275A-467F-9F32-A8D56E742A25}"/>
    <cellStyle name="20% - Accent4 2 3 3 4" xfId="9591" xr:uid="{359CDAD6-0A54-4F67-AC40-73147444DDFF}"/>
    <cellStyle name="20% - Accent4 2 3 3 5" xfId="18039" xr:uid="{96D0CE0A-DE81-4EB2-B9E5-F166D2BBAA4A}"/>
    <cellStyle name="20% - Accent4 2 3 3 6" xfId="26486" xr:uid="{22E6D21E-54B3-4D6E-9429-786B3C315275}"/>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398F27C9-688D-419C-8A7D-36404D1F5BBB}"/>
    <cellStyle name="20% - Accent4 2 3 4 2 2 3" xfId="24814" xr:uid="{4FFDD62F-3EA4-4FA4-96A1-4C42F9870A91}"/>
    <cellStyle name="20% - Accent4 2 3 4 2 2 4" xfId="33261" xr:uid="{FB53ADB5-2BB8-4431-80FB-3ED62BC0367E}"/>
    <cellStyle name="20% - Accent4 2 3 4 2 3" xfId="12149" xr:uid="{BEC27D83-BB6F-419C-966C-A0300E2C9F5E}"/>
    <cellStyle name="20% - Accent4 2 3 4 2 4" xfId="20597" xr:uid="{36DB8C87-FC23-40BE-AB48-2B455B77A7BC}"/>
    <cellStyle name="20% - Accent4 2 3 4 2 5" xfId="29044" xr:uid="{E7C3E583-A4FB-4467-9E83-7C5E3E798CE3}"/>
    <cellStyle name="20% - Accent4 2 3 4 3" xfId="5772" xr:uid="{00000000-0005-0000-0000-000017020000}"/>
    <cellStyle name="20% - Accent4 2 3 4 3 2" xfId="14222" xr:uid="{49A785D5-7AAC-42C0-870A-0974368ADF82}"/>
    <cellStyle name="20% - Accent4 2 3 4 3 3" xfId="22669" xr:uid="{D420A6A5-D708-4BB9-9490-28A5E900FC5B}"/>
    <cellStyle name="20% - Accent4 2 3 4 3 4" xfId="31116" xr:uid="{FF71245C-8D1E-4571-9568-167DF65F60DB}"/>
    <cellStyle name="20% - Accent4 2 3 4 4" xfId="10004" xr:uid="{F532DBE0-B900-4840-8802-0D83EE8D999C}"/>
    <cellStyle name="20% - Accent4 2 3 4 5" xfId="18452" xr:uid="{DDF0B18D-65AB-42ED-9621-BD1AD4E14154}"/>
    <cellStyle name="20% - Accent4 2 3 4 6" xfId="26899" xr:uid="{B01AE14F-A5FB-4C47-BC13-84344C930822}"/>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DDB6F17F-0EE4-4DF5-93BA-C5ECDEC93D97}"/>
    <cellStyle name="20% - Accent4 2 3 5 2 2 3" xfId="25227" xr:uid="{4DFEAB3D-EBB4-470E-939D-F09EC4C24059}"/>
    <cellStyle name="20% - Accent4 2 3 5 2 2 4" xfId="33674" xr:uid="{9EDE6D22-FC8D-49D6-B211-6172C6A8456B}"/>
    <cellStyle name="20% - Accent4 2 3 5 2 3" xfId="12562" xr:uid="{1695E5F6-F29E-4A97-AF6D-3919175EE713}"/>
    <cellStyle name="20% - Accent4 2 3 5 2 4" xfId="21010" xr:uid="{1071A7F5-61A4-4522-A7D0-14A9567E571B}"/>
    <cellStyle name="20% - Accent4 2 3 5 2 5" xfId="29457" xr:uid="{1C63D665-BEDF-4E0D-94B0-1A8B2ED8EEC1}"/>
    <cellStyle name="20% - Accent4 2 3 5 3" xfId="6185" xr:uid="{00000000-0005-0000-0000-00001B020000}"/>
    <cellStyle name="20% - Accent4 2 3 5 3 2" xfId="14635" xr:uid="{F01300CB-0CDF-45D4-ABE4-9BDF031D0FB2}"/>
    <cellStyle name="20% - Accent4 2 3 5 3 3" xfId="23082" xr:uid="{CD3613B6-719E-4A66-B032-125C7A4C881B}"/>
    <cellStyle name="20% - Accent4 2 3 5 3 4" xfId="31529" xr:uid="{F40DD120-B472-415E-AFE6-F2FD35945B7C}"/>
    <cellStyle name="20% - Accent4 2 3 5 4" xfId="10417" xr:uid="{0B2EA27B-2757-480E-B887-2AA1342EF2E0}"/>
    <cellStyle name="20% - Accent4 2 3 5 5" xfId="18865" xr:uid="{D451F3A2-F539-4A07-98CF-008635CC7EC9}"/>
    <cellStyle name="20% - Accent4 2 3 5 6" xfId="27312" xr:uid="{AD9CEB62-69DA-49B1-99D5-9B08D9BA11BF}"/>
    <cellStyle name="20% - Accent4 2 3 6" xfId="2292" xr:uid="{00000000-0005-0000-0000-00001C020000}"/>
    <cellStyle name="20% - Accent4 2 3 6 2" xfId="6598" xr:uid="{00000000-0005-0000-0000-00001D020000}"/>
    <cellStyle name="20% - Accent4 2 3 6 2 2" xfId="15048" xr:uid="{8327CED5-85C3-41DE-B386-91E029C725D2}"/>
    <cellStyle name="20% - Accent4 2 3 6 2 3" xfId="23495" xr:uid="{19C1BE5F-572F-46CE-B507-FEC6229AC622}"/>
    <cellStyle name="20% - Accent4 2 3 6 2 4" xfId="31942" xr:uid="{F39C6458-FFE9-4336-BEB0-19FFFD5BBFF7}"/>
    <cellStyle name="20% - Accent4 2 3 6 3" xfId="10830" xr:uid="{CF0EED39-7C7A-49ED-8C51-3E669E4C1953}"/>
    <cellStyle name="20% - Accent4 2 3 6 4" xfId="19278" xr:uid="{D19CA185-4E60-4297-B813-FF70D0C2AA1A}"/>
    <cellStyle name="20% - Accent4 2 3 6 5" xfId="27725" xr:uid="{85E41049-575C-474C-8801-A1C02722897A}"/>
    <cellStyle name="20% - Accent4 2 3 7" xfId="4532" xr:uid="{00000000-0005-0000-0000-00001E020000}"/>
    <cellStyle name="20% - Accent4 2 3 7 2" xfId="12982" xr:uid="{69B4BA55-EB9C-4163-8D7D-6FC1FD76DE91}"/>
    <cellStyle name="20% - Accent4 2 3 7 3" xfId="21429" xr:uid="{D18ACF58-0F60-4390-805A-A0626B025099}"/>
    <cellStyle name="20% - Accent4 2 3 7 4" xfId="29876" xr:uid="{A7973388-1374-467E-8AD0-C705292EAA13}"/>
    <cellStyle name="20% - Accent4 2 3 8" xfId="8764" xr:uid="{A092E3A6-6492-416B-8E61-150885AD5C43}"/>
    <cellStyle name="20% - Accent4 2 3 9" xfId="17212" xr:uid="{9E10AEDB-9FE0-496C-A1DE-6FA855AF4B44}"/>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AC45EB26-E102-4715-BF9F-292CDB3AA0CD}"/>
    <cellStyle name="20% - Accent4 2 4 2 2 3" xfId="23985" xr:uid="{D9327D7D-9E39-44BA-984F-C0979FB3927F}"/>
    <cellStyle name="20% - Accent4 2 4 2 2 4" xfId="32432" xr:uid="{944242F0-C90D-476A-A35E-BBC025F3E2B5}"/>
    <cellStyle name="20% - Accent4 2 4 2 3" xfId="11320" xr:uid="{FED50080-A168-4448-8F19-B5CCEFAC45ED}"/>
    <cellStyle name="20% - Accent4 2 4 2 4" xfId="19768" xr:uid="{8CD33BF8-6CFC-4FCC-8C92-55663D86C02C}"/>
    <cellStyle name="20% - Accent4 2 4 2 5" xfId="28215" xr:uid="{6C4A27AA-5DE0-4D27-959D-81A5F3EECE59}"/>
    <cellStyle name="20% - Accent4 2 4 3" xfId="4943" xr:uid="{00000000-0005-0000-0000-000022020000}"/>
    <cellStyle name="20% - Accent4 2 4 3 2" xfId="13393" xr:uid="{C1A656AA-C7C4-48C7-88FF-B8E3F4CA22CF}"/>
    <cellStyle name="20% - Accent4 2 4 3 3" xfId="21840" xr:uid="{786D23DD-AF02-41A9-AFB7-0D1C8106EAC7}"/>
    <cellStyle name="20% - Accent4 2 4 3 4" xfId="30287" xr:uid="{5DC75500-7F87-4C93-A876-50121BDF29BE}"/>
    <cellStyle name="20% - Accent4 2 4 4" xfId="9175" xr:uid="{9619447B-B860-4EA6-9B41-50A13FD5C0A6}"/>
    <cellStyle name="20% - Accent4 2 4 5" xfId="17623" xr:uid="{08C2E432-02E5-4246-ACD9-91F91A4E5674}"/>
    <cellStyle name="20% - Accent4 2 4 6" xfId="26070" xr:uid="{7FD033E3-04C9-4BDF-BE10-CDA84678E4A7}"/>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56FC7CE9-E36A-4E52-A3F1-884C24D43630}"/>
    <cellStyle name="20% - Accent4 2 5 2 2 3" xfId="24398" xr:uid="{34740A1B-967E-4D36-A615-643C6C8BCB77}"/>
    <cellStyle name="20% - Accent4 2 5 2 2 4" xfId="32845" xr:uid="{78F03AE0-D6FB-4CF6-A468-7B6209C4D5EB}"/>
    <cellStyle name="20% - Accent4 2 5 2 3" xfId="11733" xr:uid="{3A90717A-9EAA-47EE-985A-2C2BE709B325}"/>
    <cellStyle name="20% - Accent4 2 5 2 4" xfId="20181" xr:uid="{2919ACC6-6A35-409F-9119-1EBD6B040B02}"/>
    <cellStyle name="20% - Accent4 2 5 2 5" xfId="28628" xr:uid="{C7225BC4-BB54-44A4-BE26-629CCFECE255}"/>
    <cellStyle name="20% - Accent4 2 5 3" xfId="5356" xr:uid="{00000000-0005-0000-0000-000026020000}"/>
    <cellStyle name="20% - Accent4 2 5 3 2" xfId="13806" xr:uid="{CCEB4E5F-D89C-4AD9-A287-FA017FCDDEAB}"/>
    <cellStyle name="20% - Accent4 2 5 3 3" xfId="22253" xr:uid="{25DDFB83-F63A-4BA9-BF51-CBC3B5947838}"/>
    <cellStyle name="20% - Accent4 2 5 3 4" xfId="30700" xr:uid="{6D9F72B4-09E1-4921-ADE6-125BC0CD1058}"/>
    <cellStyle name="20% - Accent4 2 5 4" xfId="9588" xr:uid="{2F81705E-EACB-45ED-A0CF-36CB77260C6F}"/>
    <cellStyle name="20% - Accent4 2 5 5" xfId="18036" xr:uid="{0E3D94C8-DCB5-4B23-A7CF-06A4E1E5F8A0}"/>
    <cellStyle name="20% - Accent4 2 5 6" xfId="26483" xr:uid="{4553C9A0-2DDC-45E2-8E40-0C96821AA1F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01E469DA-ED86-418F-81DE-F83E6CE8DE5D}"/>
    <cellStyle name="20% - Accent4 2 6 2 2 3" xfId="24811" xr:uid="{E1580C13-54E0-4554-AA3D-CB98AB51BCC5}"/>
    <cellStyle name="20% - Accent4 2 6 2 2 4" xfId="33258" xr:uid="{7B6A9109-267A-4AB1-BF5D-00FE72F722A3}"/>
    <cellStyle name="20% - Accent4 2 6 2 3" xfId="12146" xr:uid="{4B1A87C5-AA29-4922-8AE0-0D3A427B16D1}"/>
    <cellStyle name="20% - Accent4 2 6 2 4" xfId="20594" xr:uid="{1A4D4FCF-EA15-44AE-9241-A34AF8732C45}"/>
    <cellStyle name="20% - Accent4 2 6 2 5" xfId="29041" xr:uid="{F6C88071-0D34-409D-92CD-FDAD63E0D1C3}"/>
    <cellStyle name="20% - Accent4 2 6 3" xfId="5769" xr:uid="{00000000-0005-0000-0000-00002A020000}"/>
    <cellStyle name="20% - Accent4 2 6 3 2" xfId="14219" xr:uid="{F4C79274-723D-49B9-874C-5AF8CC6E6966}"/>
    <cellStyle name="20% - Accent4 2 6 3 3" xfId="22666" xr:uid="{A9CD878E-F938-4581-9C4F-FC5C9BE285AC}"/>
    <cellStyle name="20% - Accent4 2 6 3 4" xfId="31113" xr:uid="{020C2475-016E-4B29-BAC8-E0029D84CC4D}"/>
    <cellStyle name="20% - Accent4 2 6 4" xfId="10001" xr:uid="{E3A67845-4CCA-428C-AC75-F9FAEEBFAB06}"/>
    <cellStyle name="20% - Accent4 2 6 5" xfId="18449" xr:uid="{5FC2F56C-9DB8-4EAF-8E49-FF90E624BF8A}"/>
    <cellStyle name="20% - Accent4 2 6 6" xfId="26896" xr:uid="{9AADAB59-ABCA-453A-8C5A-80D78A18B543}"/>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E0CD3010-0255-4133-AE9D-55F62460F165}"/>
    <cellStyle name="20% - Accent4 2 7 2 2 3" xfId="25224" xr:uid="{CFCB62F0-E061-4958-9BE3-37347567BC60}"/>
    <cellStyle name="20% - Accent4 2 7 2 2 4" xfId="33671" xr:uid="{FCF7DD0D-A716-4074-ACDE-86C5B139A724}"/>
    <cellStyle name="20% - Accent4 2 7 2 3" xfId="12559" xr:uid="{86AC369C-B044-4706-B43A-5DCAA12065CE}"/>
    <cellStyle name="20% - Accent4 2 7 2 4" xfId="21007" xr:uid="{3E42D5BA-E0BD-47E9-BD18-35239DB5DCEC}"/>
    <cellStyle name="20% - Accent4 2 7 2 5" xfId="29454" xr:uid="{B2315E0B-B96B-42D6-80D9-BB133B155CA7}"/>
    <cellStyle name="20% - Accent4 2 7 3" xfId="6182" xr:uid="{00000000-0005-0000-0000-00002E020000}"/>
    <cellStyle name="20% - Accent4 2 7 3 2" xfId="14632" xr:uid="{CD1CE5B9-F1A6-4453-9060-874A60D894C8}"/>
    <cellStyle name="20% - Accent4 2 7 3 3" xfId="23079" xr:uid="{A1F8AF2B-84F0-4288-A06C-C8A7BC812CD8}"/>
    <cellStyle name="20% - Accent4 2 7 3 4" xfId="31526" xr:uid="{0F6E94A2-59B4-4AF3-90EB-94D568A5010C}"/>
    <cellStyle name="20% - Accent4 2 7 4" xfId="10414" xr:uid="{C7EE35B8-D9D4-42F8-BCC6-ECAD43649EF5}"/>
    <cellStyle name="20% - Accent4 2 7 5" xfId="18862" xr:uid="{3205C6A8-E394-4F0A-B138-51C4EDA44EAB}"/>
    <cellStyle name="20% - Accent4 2 7 6" xfId="27309" xr:uid="{DA5EAA4C-FC9C-4F4F-BB95-F2E927DC1FB5}"/>
    <cellStyle name="20% - Accent4 2 8" xfId="2289" xr:uid="{00000000-0005-0000-0000-00002F020000}"/>
    <cellStyle name="20% - Accent4 2 8 2" xfId="6595" xr:uid="{00000000-0005-0000-0000-000030020000}"/>
    <cellStyle name="20% - Accent4 2 8 2 2" xfId="15045" xr:uid="{9EF85BE6-4E91-4865-B19B-086028D4750B}"/>
    <cellStyle name="20% - Accent4 2 8 2 3" xfId="23492" xr:uid="{FAD1435B-773B-423B-8EDF-25AAC59155E7}"/>
    <cellStyle name="20% - Accent4 2 8 2 4" xfId="31939" xr:uid="{41998FF0-0160-4850-B1EA-3796E1911F6A}"/>
    <cellStyle name="20% - Accent4 2 8 3" xfId="10827" xr:uid="{E53897AC-DF94-4307-A8DE-3A9F83DB5C4A}"/>
    <cellStyle name="20% - Accent4 2 8 4" xfId="19275" xr:uid="{E861177B-6CC7-4CFA-AA48-FA04C0CCA762}"/>
    <cellStyle name="20% - Accent4 2 8 5" xfId="27722" xr:uid="{F3A714C7-E298-4987-8930-20FDFDE1E507}"/>
    <cellStyle name="20% - Accent4 2 9" xfId="4529" xr:uid="{00000000-0005-0000-0000-000031020000}"/>
    <cellStyle name="20% - Accent4 2 9 2" xfId="12979" xr:uid="{55CB653C-B647-4A77-A1ED-F3CA5E19CE58}"/>
    <cellStyle name="20% - Accent4 2 9 3" xfId="21426" xr:uid="{A868DE8E-ACB8-4CA5-8B4C-D53D636B891B}"/>
    <cellStyle name="20% - Accent4 2 9 4" xfId="29873" xr:uid="{B102BE5E-CFCB-4B47-AB28-1CF5A6032726}"/>
    <cellStyle name="20% - Accent4 3" xfId="30" xr:uid="{00000000-0005-0000-0000-000032020000}"/>
    <cellStyle name="20% - Accent4 3 10" xfId="17213" xr:uid="{E8EBF6B4-F811-4480-AB70-57B7759029D2}"/>
    <cellStyle name="20% - Accent4 3 11" xfId="25660" xr:uid="{B739C9F8-C493-43B7-98ED-329947FAB5F9}"/>
    <cellStyle name="20% - Accent4 3 2" xfId="31" xr:uid="{00000000-0005-0000-0000-000033020000}"/>
    <cellStyle name="20% - Accent4 3 2 10" xfId="25661" xr:uid="{04F09A4A-DA1B-4532-855B-E8AC07373715}"/>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11FDAC99-61A3-402E-B116-E5564CC8C1B0}"/>
    <cellStyle name="20% - Accent4 3 2 2 2 2 3" xfId="23990" xr:uid="{37F1531D-401C-484F-86C4-8C00B1F0E87A}"/>
    <cellStyle name="20% - Accent4 3 2 2 2 2 4" xfId="32437" xr:uid="{98B1868C-A422-417D-BC5C-A8A8B86D7E5A}"/>
    <cellStyle name="20% - Accent4 3 2 2 2 3" xfId="11325" xr:uid="{D5D43966-B6D3-47BB-B37A-CC67CAF353BB}"/>
    <cellStyle name="20% - Accent4 3 2 2 2 4" xfId="19773" xr:uid="{506E8071-9786-4455-B75B-62AA4CB81042}"/>
    <cellStyle name="20% - Accent4 3 2 2 2 5" xfId="28220" xr:uid="{58472C6F-1302-4C19-B0F9-C21154727D18}"/>
    <cellStyle name="20% - Accent4 3 2 2 3" xfId="4948" xr:uid="{00000000-0005-0000-0000-000037020000}"/>
    <cellStyle name="20% - Accent4 3 2 2 3 2" xfId="13398" xr:uid="{0A80CB6C-3640-42F4-AB5B-CC8B54D89E14}"/>
    <cellStyle name="20% - Accent4 3 2 2 3 3" xfId="21845" xr:uid="{6D03DA73-711F-4F6E-99AA-6BDDAA1C3290}"/>
    <cellStyle name="20% - Accent4 3 2 2 3 4" xfId="30292" xr:uid="{272EA37F-F53A-4DAE-8297-CA0552D3C17A}"/>
    <cellStyle name="20% - Accent4 3 2 2 4" xfId="9180" xr:uid="{BC4F8777-1B14-4513-976E-E33932BD3393}"/>
    <cellStyle name="20% - Accent4 3 2 2 5" xfId="17628" xr:uid="{6131F98A-8EBC-4F56-A0A1-C589DE6AE792}"/>
    <cellStyle name="20% - Accent4 3 2 2 6" xfId="26075" xr:uid="{8BD94F0D-B2CC-4EE9-A3F5-C17E74191D96}"/>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EFC3CA41-CC6D-44B5-B956-9EE0ABCEB0B3}"/>
    <cellStyle name="20% - Accent4 3 2 3 2 2 3" xfId="24403" xr:uid="{B5983F56-788B-4AA0-81B4-65A2BD6DF831}"/>
    <cellStyle name="20% - Accent4 3 2 3 2 2 4" xfId="32850" xr:uid="{AB8840DC-5674-41B0-B96F-92F34C16D615}"/>
    <cellStyle name="20% - Accent4 3 2 3 2 3" xfId="11738" xr:uid="{A869E108-6B4F-4FA3-8DE7-2FEBA3450097}"/>
    <cellStyle name="20% - Accent4 3 2 3 2 4" xfId="20186" xr:uid="{90690EF2-9348-4303-A3CB-3F6776C2A813}"/>
    <cellStyle name="20% - Accent4 3 2 3 2 5" xfId="28633" xr:uid="{4EE0AECD-1865-41ED-AFEC-1BC9EA364AE5}"/>
    <cellStyle name="20% - Accent4 3 2 3 3" xfId="5361" xr:uid="{00000000-0005-0000-0000-00003B020000}"/>
    <cellStyle name="20% - Accent4 3 2 3 3 2" xfId="13811" xr:uid="{859AC994-A053-420C-B8B4-B92506F93071}"/>
    <cellStyle name="20% - Accent4 3 2 3 3 3" xfId="22258" xr:uid="{D6794325-B568-4F7D-8CD8-3E46800A0363}"/>
    <cellStyle name="20% - Accent4 3 2 3 3 4" xfId="30705" xr:uid="{2C7368BB-33B9-4C0F-A265-E9ED885021FC}"/>
    <cellStyle name="20% - Accent4 3 2 3 4" xfId="9593" xr:uid="{CF5D809D-13B7-4DB0-9720-14762427D3E7}"/>
    <cellStyle name="20% - Accent4 3 2 3 5" xfId="18041" xr:uid="{A8A3223E-949F-47AB-83CC-2BC19EAAC869}"/>
    <cellStyle name="20% - Accent4 3 2 3 6" xfId="26488" xr:uid="{2F10E364-8A95-4E76-95C3-C4BB7A9CF57B}"/>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76E2EB4B-FE54-4D35-9231-DD793708E1E9}"/>
    <cellStyle name="20% - Accent4 3 2 4 2 2 3" xfId="24816" xr:uid="{AFF487B6-1A48-4380-9606-F55254133E75}"/>
    <cellStyle name="20% - Accent4 3 2 4 2 2 4" xfId="33263" xr:uid="{998082C1-58F9-49A2-ACFF-C4CD97908AA4}"/>
    <cellStyle name="20% - Accent4 3 2 4 2 3" xfId="12151" xr:uid="{3D5AC7F2-1002-48C7-BDCF-3D68E18B0639}"/>
    <cellStyle name="20% - Accent4 3 2 4 2 4" xfId="20599" xr:uid="{30552D74-98E7-43DF-A24E-0B1770F72F0B}"/>
    <cellStyle name="20% - Accent4 3 2 4 2 5" xfId="29046" xr:uid="{66761EC8-E7ED-4EF0-8A15-0C791EDCCFEE}"/>
    <cellStyle name="20% - Accent4 3 2 4 3" xfId="5774" xr:uid="{00000000-0005-0000-0000-00003F020000}"/>
    <cellStyle name="20% - Accent4 3 2 4 3 2" xfId="14224" xr:uid="{C59EAA12-1354-4FAA-B102-E55A187CCF25}"/>
    <cellStyle name="20% - Accent4 3 2 4 3 3" xfId="22671" xr:uid="{E12F9F52-E8B9-433F-A775-ACA04D81BD9C}"/>
    <cellStyle name="20% - Accent4 3 2 4 3 4" xfId="31118" xr:uid="{75FFD2B0-8956-400C-A18B-916E3DA6A1BA}"/>
    <cellStyle name="20% - Accent4 3 2 4 4" xfId="10006" xr:uid="{11482631-72A4-43A2-930F-BEC9DFDBF8CA}"/>
    <cellStyle name="20% - Accent4 3 2 4 5" xfId="18454" xr:uid="{F9996503-3EC4-4780-853C-A1F094D5945B}"/>
    <cellStyle name="20% - Accent4 3 2 4 6" xfId="26901" xr:uid="{08ECC44D-986B-41FD-B287-7AF495B89BCA}"/>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E818F824-E197-4240-B2E5-AF3EA8002BA7}"/>
    <cellStyle name="20% - Accent4 3 2 5 2 2 3" xfId="25229" xr:uid="{D9A280FE-CA84-4F8B-9D15-8C231228C602}"/>
    <cellStyle name="20% - Accent4 3 2 5 2 2 4" xfId="33676" xr:uid="{D52C1882-EC55-4673-9E1A-A1C38ADC5810}"/>
    <cellStyle name="20% - Accent4 3 2 5 2 3" xfId="12564" xr:uid="{2A1A5C31-1D9D-4408-A2C8-075435000A4D}"/>
    <cellStyle name="20% - Accent4 3 2 5 2 4" xfId="21012" xr:uid="{585BCCF7-C613-4C97-953B-85520C3F72FB}"/>
    <cellStyle name="20% - Accent4 3 2 5 2 5" xfId="29459" xr:uid="{1121EBBF-1FB9-4587-8996-F9F3BFE25426}"/>
    <cellStyle name="20% - Accent4 3 2 5 3" xfId="6187" xr:uid="{00000000-0005-0000-0000-000043020000}"/>
    <cellStyle name="20% - Accent4 3 2 5 3 2" xfId="14637" xr:uid="{74C284D6-7061-4EB9-9FFD-D10AC2058479}"/>
    <cellStyle name="20% - Accent4 3 2 5 3 3" xfId="23084" xr:uid="{A9297489-3AD9-4721-8813-6B3EC3D93D9C}"/>
    <cellStyle name="20% - Accent4 3 2 5 3 4" xfId="31531" xr:uid="{F103B516-F9B0-44E5-A2F0-5B9108DCF151}"/>
    <cellStyle name="20% - Accent4 3 2 5 4" xfId="10419" xr:uid="{ED165CFE-8CC0-4A57-A88F-648FB20E98CB}"/>
    <cellStyle name="20% - Accent4 3 2 5 5" xfId="18867" xr:uid="{11468A90-99E1-41BD-A76F-414E3C9D16BC}"/>
    <cellStyle name="20% - Accent4 3 2 5 6" xfId="27314" xr:uid="{0C16B3AD-69F7-4575-BA25-937C961743D8}"/>
    <cellStyle name="20% - Accent4 3 2 6" xfId="2294" xr:uid="{00000000-0005-0000-0000-000044020000}"/>
    <cellStyle name="20% - Accent4 3 2 6 2" xfId="6600" xr:uid="{00000000-0005-0000-0000-000045020000}"/>
    <cellStyle name="20% - Accent4 3 2 6 2 2" xfId="15050" xr:uid="{8FD879F2-1833-4984-BFFA-831F1B8C7625}"/>
    <cellStyle name="20% - Accent4 3 2 6 2 3" xfId="23497" xr:uid="{2E534800-7D90-4BD3-936D-8246D1418526}"/>
    <cellStyle name="20% - Accent4 3 2 6 2 4" xfId="31944" xr:uid="{817968C0-8827-449D-A730-B4861741A124}"/>
    <cellStyle name="20% - Accent4 3 2 6 3" xfId="10832" xr:uid="{8530B47C-615B-425A-ADD5-BE105CC8D866}"/>
    <cellStyle name="20% - Accent4 3 2 6 4" xfId="19280" xr:uid="{7365D792-75F4-48B1-80F8-D07F411930CE}"/>
    <cellStyle name="20% - Accent4 3 2 6 5" xfId="27727" xr:uid="{4A6C9E9A-F8AB-430A-86FD-74AA6863FB33}"/>
    <cellStyle name="20% - Accent4 3 2 7" xfId="4534" xr:uid="{00000000-0005-0000-0000-000046020000}"/>
    <cellStyle name="20% - Accent4 3 2 7 2" xfId="12984" xr:uid="{91409342-8757-40CA-BCA5-FD918DF1EE8D}"/>
    <cellStyle name="20% - Accent4 3 2 7 3" xfId="21431" xr:uid="{66BCC452-35C4-43E2-9D54-99F371B75101}"/>
    <cellStyle name="20% - Accent4 3 2 7 4" xfId="29878" xr:uid="{992E0221-7AE0-4B09-B4D5-95FB7208A489}"/>
    <cellStyle name="20% - Accent4 3 2 8" xfId="8766" xr:uid="{BB12837B-1105-4DA3-8BE6-83C7F4BEA4CC}"/>
    <cellStyle name="20% - Accent4 3 2 9" xfId="17214" xr:uid="{DD15AB78-8312-4DDB-BF0B-1D426EB1712E}"/>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C36A4748-65E4-4E97-98BB-D15A9C794AFE}"/>
    <cellStyle name="20% - Accent4 3 3 2 2 3" xfId="23989" xr:uid="{53110063-90D5-4606-BC33-A59C656B78AB}"/>
    <cellStyle name="20% - Accent4 3 3 2 2 4" xfId="32436" xr:uid="{CBCB8FF2-E72A-455A-852C-53CEFAF3ABA6}"/>
    <cellStyle name="20% - Accent4 3 3 2 3" xfId="11324" xr:uid="{39D175B1-5760-4ABD-BF68-A2D372FFBDD6}"/>
    <cellStyle name="20% - Accent4 3 3 2 4" xfId="19772" xr:uid="{CD08E2CB-78A1-4C6C-9E39-275324136CC3}"/>
    <cellStyle name="20% - Accent4 3 3 2 5" xfId="28219" xr:uid="{02041612-B442-4285-852E-D02F91CD307E}"/>
    <cellStyle name="20% - Accent4 3 3 3" xfId="4947" xr:uid="{00000000-0005-0000-0000-00004A020000}"/>
    <cellStyle name="20% - Accent4 3 3 3 2" xfId="13397" xr:uid="{D14F6112-AE1A-48CA-AA92-53E064A69D54}"/>
    <cellStyle name="20% - Accent4 3 3 3 3" xfId="21844" xr:uid="{779B0976-9CF3-4158-99AA-DAF860EA20D7}"/>
    <cellStyle name="20% - Accent4 3 3 3 4" xfId="30291" xr:uid="{361CF080-EBFC-4691-B8A6-5B773D47C1C0}"/>
    <cellStyle name="20% - Accent4 3 3 4" xfId="9179" xr:uid="{C5726F20-087A-455F-BCD4-B02A36E3FA19}"/>
    <cellStyle name="20% - Accent4 3 3 5" xfId="17627" xr:uid="{1BD41A42-6B85-4732-9F30-DFD333E03651}"/>
    <cellStyle name="20% - Accent4 3 3 6" xfId="26074" xr:uid="{9690D80C-3074-486F-AA98-6EF3DC72FCB4}"/>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B8D724FC-6987-4D07-9821-BA268A2CFFB4}"/>
    <cellStyle name="20% - Accent4 3 4 2 2 3" xfId="24402" xr:uid="{940CE97C-0480-454F-B075-27AAD7438269}"/>
    <cellStyle name="20% - Accent4 3 4 2 2 4" xfId="32849" xr:uid="{ACF9AB2E-D232-43D5-8288-6CFF83A38D0F}"/>
    <cellStyle name="20% - Accent4 3 4 2 3" xfId="11737" xr:uid="{5D1EB385-7B6D-4F9B-8473-E42569777FF6}"/>
    <cellStyle name="20% - Accent4 3 4 2 4" xfId="20185" xr:uid="{9B47FC58-0B74-4B11-876A-41DA4647EC29}"/>
    <cellStyle name="20% - Accent4 3 4 2 5" xfId="28632" xr:uid="{7E4A8209-7EAC-49B0-AA4E-E14BB6EF16F0}"/>
    <cellStyle name="20% - Accent4 3 4 3" xfId="5360" xr:uid="{00000000-0005-0000-0000-00004E020000}"/>
    <cellStyle name="20% - Accent4 3 4 3 2" xfId="13810" xr:uid="{9EB3D4ED-37C1-415D-8E02-35034388769C}"/>
    <cellStyle name="20% - Accent4 3 4 3 3" xfId="22257" xr:uid="{D2CBA16A-1D6A-4341-B4B9-20DE72871AB8}"/>
    <cellStyle name="20% - Accent4 3 4 3 4" xfId="30704" xr:uid="{F8130417-AB27-4D91-8A4D-DE0B16A55EA4}"/>
    <cellStyle name="20% - Accent4 3 4 4" xfId="9592" xr:uid="{26DE252A-30F6-4D31-BBEC-C1D77408B382}"/>
    <cellStyle name="20% - Accent4 3 4 5" xfId="18040" xr:uid="{851D786D-9D6D-41F9-82DC-20D44DD16742}"/>
    <cellStyle name="20% - Accent4 3 4 6" xfId="26487" xr:uid="{F34F0502-3FD0-4DE6-82C2-DB1C44DB43FE}"/>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0CDF299B-456F-4171-A857-3E902810BE97}"/>
    <cellStyle name="20% - Accent4 3 5 2 2 3" xfId="24815" xr:uid="{04FF1331-C500-4507-AC79-D80D8996D215}"/>
    <cellStyle name="20% - Accent4 3 5 2 2 4" xfId="33262" xr:uid="{60F38DD0-2DE0-41C3-BA24-0BDC775AF56D}"/>
    <cellStyle name="20% - Accent4 3 5 2 3" xfId="12150" xr:uid="{B859FF05-3942-44B1-B89C-1B3D47FC1171}"/>
    <cellStyle name="20% - Accent4 3 5 2 4" xfId="20598" xr:uid="{5AF5E7D7-6186-4A0E-AD50-6A37EEBC4134}"/>
    <cellStyle name="20% - Accent4 3 5 2 5" xfId="29045" xr:uid="{5A7FDD5F-B262-407C-8A15-843044B207CA}"/>
    <cellStyle name="20% - Accent4 3 5 3" xfId="5773" xr:uid="{00000000-0005-0000-0000-000052020000}"/>
    <cellStyle name="20% - Accent4 3 5 3 2" xfId="14223" xr:uid="{29624804-6B6A-477E-99B1-F9CE14AA9D61}"/>
    <cellStyle name="20% - Accent4 3 5 3 3" xfId="22670" xr:uid="{D813B55D-5C28-4828-A0D1-31AF2AC093EC}"/>
    <cellStyle name="20% - Accent4 3 5 3 4" xfId="31117" xr:uid="{425B9724-B3D3-425D-8407-9335F5849ABD}"/>
    <cellStyle name="20% - Accent4 3 5 4" xfId="10005" xr:uid="{5E840C21-561E-4ED3-B6DF-4405FB6E21A4}"/>
    <cellStyle name="20% - Accent4 3 5 5" xfId="18453" xr:uid="{A83FD430-8EE5-4A77-9165-11192C6926B3}"/>
    <cellStyle name="20% - Accent4 3 5 6" xfId="26900" xr:uid="{C9B29315-9EAD-4126-91EA-8E2C8675F38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8C6BA981-8A30-4C14-82CE-B7D7F77DBA26}"/>
    <cellStyle name="20% - Accent4 3 6 2 2 3" xfId="25228" xr:uid="{5679BEBF-C3C2-40A5-B043-413D210DDE15}"/>
    <cellStyle name="20% - Accent4 3 6 2 2 4" xfId="33675" xr:uid="{F32DCD27-77AA-4EDD-8B80-B41924B64390}"/>
    <cellStyle name="20% - Accent4 3 6 2 3" xfId="12563" xr:uid="{5AB18E31-FD82-492E-9683-7D1C379AE811}"/>
    <cellStyle name="20% - Accent4 3 6 2 4" xfId="21011" xr:uid="{49C83378-141F-4438-99EB-7D490FE0E6B4}"/>
    <cellStyle name="20% - Accent4 3 6 2 5" xfId="29458" xr:uid="{FD42BD0B-A971-45FC-9521-D9368E9625B0}"/>
    <cellStyle name="20% - Accent4 3 6 3" xfId="6186" xr:uid="{00000000-0005-0000-0000-000056020000}"/>
    <cellStyle name="20% - Accent4 3 6 3 2" xfId="14636" xr:uid="{3D3042A3-3BFD-460A-AF38-403B54C569D8}"/>
    <cellStyle name="20% - Accent4 3 6 3 3" xfId="23083" xr:uid="{D102444A-B38F-4015-9085-5D2A3457A827}"/>
    <cellStyle name="20% - Accent4 3 6 3 4" xfId="31530" xr:uid="{9FA54EFD-8946-4418-BD1C-023CB4BA5AF9}"/>
    <cellStyle name="20% - Accent4 3 6 4" xfId="10418" xr:uid="{1A335767-9546-4DD4-B0D1-3B054B4D5B22}"/>
    <cellStyle name="20% - Accent4 3 6 5" xfId="18866" xr:uid="{4132BDA3-0A00-4736-A581-CEC41E4D22FD}"/>
    <cellStyle name="20% - Accent4 3 6 6" xfId="27313" xr:uid="{6EE79CBB-B5D1-44FF-BE5D-61D4D2105CD2}"/>
    <cellStyle name="20% - Accent4 3 7" xfId="2293" xr:uid="{00000000-0005-0000-0000-000057020000}"/>
    <cellStyle name="20% - Accent4 3 7 2" xfId="6599" xr:uid="{00000000-0005-0000-0000-000058020000}"/>
    <cellStyle name="20% - Accent4 3 7 2 2" xfId="15049" xr:uid="{0FE2AB72-B423-4861-9F43-6BB31F8CD54C}"/>
    <cellStyle name="20% - Accent4 3 7 2 3" xfId="23496" xr:uid="{67B67554-74A9-459D-A113-9C13394D04AB}"/>
    <cellStyle name="20% - Accent4 3 7 2 4" xfId="31943" xr:uid="{56DD3A21-BB81-419E-AF5C-D61E26412614}"/>
    <cellStyle name="20% - Accent4 3 7 3" xfId="10831" xr:uid="{9F08BD42-B7FE-4B46-9D65-07FC90CBBA1D}"/>
    <cellStyle name="20% - Accent4 3 7 4" xfId="19279" xr:uid="{B3D5D052-8FA1-492D-A2E3-5E36AF905D2E}"/>
    <cellStyle name="20% - Accent4 3 7 5" xfId="27726" xr:uid="{33710495-A958-4325-A25F-0D67145E6664}"/>
    <cellStyle name="20% - Accent4 3 8" xfId="4533" xr:uid="{00000000-0005-0000-0000-000059020000}"/>
    <cellStyle name="20% - Accent4 3 8 2" xfId="12983" xr:uid="{C98336A1-1433-4BD0-8FCA-AD94044CB05D}"/>
    <cellStyle name="20% - Accent4 3 8 3" xfId="21430" xr:uid="{90EFE5AE-8D10-405F-96AD-21B7E05C571B}"/>
    <cellStyle name="20% - Accent4 3 8 4" xfId="29877" xr:uid="{93314DBD-890C-42F8-A911-FDB30155759C}"/>
    <cellStyle name="20% - Accent4 3 9" xfId="8765" xr:uid="{F793CCA3-CAE6-4519-866E-7CA51FF180E3}"/>
    <cellStyle name="20% - Accent4 4" xfId="32" xr:uid="{00000000-0005-0000-0000-00005A020000}"/>
    <cellStyle name="20% - Accent4 4 10" xfId="25662" xr:uid="{70A0B83A-DCD7-4BED-AA74-A0F411D56513}"/>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8DFCFA6F-20BA-440D-8465-CE95147AB5E8}"/>
    <cellStyle name="20% - Accent4 4 2 2 2 3" xfId="23991" xr:uid="{F89CFD34-2184-4804-9EAA-115B1E152B42}"/>
    <cellStyle name="20% - Accent4 4 2 2 2 4" xfId="32438" xr:uid="{2FC40A9A-FB3E-4E03-80E8-9CF6D0672185}"/>
    <cellStyle name="20% - Accent4 4 2 2 3" xfId="11326" xr:uid="{696E75D5-B414-4A35-9376-6B4AFBAFB586}"/>
    <cellStyle name="20% - Accent4 4 2 2 4" xfId="19774" xr:uid="{C9627F26-9BF1-46A3-ADDC-9BCE2FD0188D}"/>
    <cellStyle name="20% - Accent4 4 2 2 5" xfId="28221" xr:uid="{F783A043-2866-4931-B660-A271F045A82E}"/>
    <cellStyle name="20% - Accent4 4 2 3" xfId="4949" xr:uid="{00000000-0005-0000-0000-00005E020000}"/>
    <cellStyle name="20% - Accent4 4 2 3 2" xfId="13399" xr:uid="{E744A1AF-5B18-4AC2-AB81-4D43B0D39C7D}"/>
    <cellStyle name="20% - Accent4 4 2 3 3" xfId="21846" xr:uid="{770848D1-3B6F-4706-999A-AFF7EB4A1BCF}"/>
    <cellStyle name="20% - Accent4 4 2 3 4" xfId="30293" xr:uid="{5E51DBAF-409A-4151-B1D3-B7AAC6DA4460}"/>
    <cellStyle name="20% - Accent4 4 2 4" xfId="9181" xr:uid="{E3BED1EF-913C-4ACB-9545-0DB0444EE3E7}"/>
    <cellStyle name="20% - Accent4 4 2 5" xfId="17629" xr:uid="{901073AB-0070-4D80-80D5-5019913B9FFB}"/>
    <cellStyle name="20% - Accent4 4 2 6" xfId="26076" xr:uid="{55BCFCF2-C5AD-490B-85A3-7D5B6FA44476}"/>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384B6E2E-6142-48C6-8144-7D5D82174173}"/>
    <cellStyle name="20% - Accent4 4 3 2 2 3" xfId="24404" xr:uid="{308C6BBA-B274-47EB-9C4D-6767164A94A8}"/>
    <cellStyle name="20% - Accent4 4 3 2 2 4" xfId="32851" xr:uid="{8161469E-474F-4B18-91A7-5D703BFE7D3A}"/>
    <cellStyle name="20% - Accent4 4 3 2 3" xfId="11739" xr:uid="{7861A873-97E4-4DB8-B855-597A58557DA6}"/>
    <cellStyle name="20% - Accent4 4 3 2 4" xfId="20187" xr:uid="{E27AB62F-5D1F-45AD-BDAC-6D6B5D67D166}"/>
    <cellStyle name="20% - Accent4 4 3 2 5" xfId="28634" xr:uid="{DFD474B0-4D50-48D6-BC9C-CCED01748A6B}"/>
    <cellStyle name="20% - Accent4 4 3 3" xfId="5362" xr:uid="{00000000-0005-0000-0000-000062020000}"/>
    <cellStyle name="20% - Accent4 4 3 3 2" xfId="13812" xr:uid="{C198E22F-9B9B-432A-886F-51BB615826D4}"/>
    <cellStyle name="20% - Accent4 4 3 3 3" xfId="22259" xr:uid="{5D92E38D-CDE0-4960-BEA0-1EC89B3B11A2}"/>
    <cellStyle name="20% - Accent4 4 3 3 4" xfId="30706" xr:uid="{A5DCD57A-6E30-4CB7-A74B-711779905F51}"/>
    <cellStyle name="20% - Accent4 4 3 4" xfId="9594" xr:uid="{CC3A990D-DCA0-4024-9063-B128B69326C8}"/>
    <cellStyle name="20% - Accent4 4 3 5" xfId="18042" xr:uid="{3EE22CC5-8C55-4F8E-97A8-EA35A7469FD0}"/>
    <cellStyle name="20% - Accent4 4 3 6" xfId="26489" xr:uid="{E91B3BBC-4706-4DC7-8A75-5D38F752D187}"/>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2D3BD004-64E1-4887-B876-9FD873D0900E}"/>
    <cellStyle name="20% - Accent4 4 4 2 2 3" xfId="24817" xr:uid="{85B2D53E-014A-415B-B5E2-962E0A617990}"/>
    <cellStyle name="20% - Accent4 4 4 2 2 4" xfId="33264" xr:uid="{94536F8F-F844-4B7B-A596-2528CAEFDD9C}"/>
    <cellStyle name="20% - Accent4 4 4 2 3" xfId="12152" xr:uid="{7D05C59A-7B55-4990-B058-E85832BBFAD0}"/>
    <cellStyle name="20% - Accent4 4 4 2 4" xfId="20600" xr:uid="{B3406596-68E8-4EB7-9717-114C463E9190}"/>
    <cellStyle name="20% - Accent4 4 4 2 5" xfId="29047" xr:uid="{27C23D19-52E7-4C46-B1FB-8F1380B6A6BB}"/>
    <cellStyle name="20% - Accent4 4 4 3" xfId="5775" xr:uid="{00000000-0005-0000-0000-000066020000}"/>
    <cellStyle name="20% - Accent4 4 4 3 2" xfId="14225" xr:uid="{35264ACF-EAE3-4FA6-949A-60E73C16E1BA}"/>
    <cellStyle name="20% - Accent4 4 4 3 3" xfId="22672" xr:uid="{5870BAB6-D355-4E03-A185-777D209FF1A4}"/>
    <cellStyle name="20% - Accent4 4 4 3 4" xfId="31119" xr:uid="{B30C19EB-876E-4ADE-A18F-444809F9803A}"/>
    <cellStyle name="20% - Accent4 4 4 4" xfId="10007" xr:uid="{637EA76D-A424-413E-8BE4-6BC0F9B2B0E6}"/>
    <cellStyle name="20% - Accent4 4 4 5" xfId="18455" xr:uid="{EEEE5AF3-7650-45F2-8F60-DE7F62349C65}"/>
    <cellStyle name="20% - Accent4 4 4 6" xfId="26902" xr:uid="{C1B73DDE-1AFA-4AE6-A6A4-202377928DBC}"/>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A5B8C310-636A-459C-8AF5-14F454848B14}"/>
    <cellStyle name="20% - Accent4 4 5 2 2 3" xfId="25230" xr:uid="{C8EC264D-61AF-489D-8726-4EC9FA109C83}"/>
    <cellStyle name="20% - Accent4 4 5 2 2 4" xfId="33677" xr:uid="{5F44EEA3-E005-4C42-92DD-CC6A44B0E21B}"/>
    <cellStyle name="20% - Accent4 4 5 2 3" xfId="12565" xr:uid="{3191AFC0-43F6-4BA4-A843-E23295C097EB}"/>
    <cellStyle name="20% - Accent4 4 5 2 4" xfId="21013" xr:uid="{268CF1D2-3EE7-41E8-87C4-95BFCBED91E2}"/>
    <cellStyle name="20% - Accent4 4 5 2 5" xfId="29460" xr:uid="{56F098E6-B025-4A68-803A-7EC636D4A62D}"/>
    <cellStyle name="20% - Accent4 4 5 3" xfId="6188" xr:uid="{00000000-0005-0000-0000-00006A020000}"/>
    <cellStyle name="20% - Accent4 4 5 3 2" xfId="14638" xr:uid="{745FDE5A-B4FB-448F-B300-5240399F95B0}"/>
    <cellStyle name="20% - Accent4 4 5 3 3" xfId="23085" xr:uid="{87D5E68F-A3C9-4480-917D-E76764CAAD81}"/>
    <cellStyle name="20% - Accent4 4 5 3 4" xfId="31532" xr:uid="{368C7B71-0E8F-4ED4-9529-8AEB8E0F5D9C}"/>
    <cellStyle name="20% - Accent4 4 5 4" xfId="10420" xr:uid="{0AD5E207-B870-4C9C-9224-C2AD8D1DC46C}"/>
    <cellStyle name="20% - Accent4 4 5 5" xfId="18868" xr:uid="{BCC5CD23-3EBB-4F50-8F70-5FAAC1188E6A}"/>
    <cellStyle name="20% - Accent4 4 5 6" xfId="27315" xr:uid="{8F316260-90CE-4371-99CB-8E99E69CFCF8}"/>
    <cellStyle name="20% - Accent4 4 6" xfId="2295" xr:uid="{00000000-0005-0000-0000-00006B020000}"/>
    <cellStyle name="20% - Accent4 4 6 2" xfId="6601" xr:uid="{00000000-0005-0000-0000-00006C020000}"/>
    <cellStyle name="20% - Accent4 4 6 2 2" xfId="15051" xr:uid="{714BD803-3FAB-45A2-B757-492450613A6C}"/>
    <cellStyle name="20% - Accent4 4 6 2 3" xfId="23498" xr:uid="{D69F2C03-61B4-4F06-A61A-3CB7D400955B}"/>
    <cellStyle name="20% - Accent4 4 6 2 4" xfId="31945" xr:uid="{1BA2AE21-C54B-4C83-B942-BDD28DEEA565}"/>
    <cellStyle name="20% - Accent4 4 6 3" xfId="10833" xr:uid="{BD27CE22-0850-486A-B17D-135FDA6313F6}"/>
    <cellStyle name="20% - Accent4 4 6 4" xfId="19281" xr:uid="{8811B194-419E-47EA-BE45-CBB42683782F}"/>
    <cellStyle name="20% - Accent4 4 6 5" xfId="27728" xr:uid="{FDA5E8A9-DCDF-4D11-868E-BF0F1E8707AA}"/>
    <cellStyle name="20% - Accent4 4 7" xfId="4535" xr:uid="{00000000-0005-0000-0000-00006D020000}"/>
    <cellStyle name="20% - Accent4 4 7 2" xfId="12985" xr:uid="{C105BA18-F5D5-41D2-878A-B973E9E469C0}"/>
    <cellStyle name="20% - Accent4 4 7 3" xfId="21432" xr:uid="{72D2FF90-FD3D-419C-A7DB-68F464A3DF34}"/>
    <cellStyle name="20% - Accent4 4 7 4" xfId="29879" xr:uid="{0C2ED81D-D774-41BF-AA5B-061C916499F2}"/>
    <cellStyle name="20% - Accent4 4 8" xfId="8767" xr:uid="{D03E984E-DFFF-4336-BC8C-F9759A15DDF8}"/>
    <cellStyle name="20% - Accent4 4 9" xfId="17215" xr:uid="{8B4AEBCE-632F-4188-8D86-813E559655E6}"/>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FA3D3C75-3C6B-47A0-AF35-A6E78D3CEF34}"/>
    <cellStyle name="20% - Accent4 5 2 2 3" xfId="23984" xr:uid="{4F5E8B33-09A5-4238-86C5-8E6DE3FC0187}"/>
    <cellStyle name="20% - Accent4 5 2 2 4" xfId="32431" xr:uid="{A28238BF-EC54-4CDC-9816-D5409C8E4634}"/>
    <cellStyle name="20% - Accent4 5 2 3" xfId="11319" xr:uid="{1B6E6760-22D6-4AFD-8FD9-B9031C36C3F6}"/>
    <cellStyle name="20% - Accent4 5 2 4" xfId="19767" xr:uid="{964A3725-447E-45E3-A532-DEBB469676A6}"/>
    <cellStyle name="20% - Accent4 5 2 5" xfId="28214" xr:uid="{D845EDF4-F5FE-4419-B75B-69D333D48171}"/>
    <cellStyle name="20% - Accent4 5 3" xfId="4942" xr:uid="{00000000-0005-0000-0000-000071020000}"/>
    <cellStyle name="20% - Accent4 5 3 2" xfId="13392" xr:uid="{0A91D2D1-FDBF-4F91-B0F1-F4CEB31040A9}"/>
    <cellStyle name="20% - Accent4 5 3 3" xfId="21839" xr:uid="{1EC2B113-03E6-46C2-9C48-C8FB43019476}"/>
    <cellStyle name="20% - Accent4 5 3 4" xfId="30286" xr:uid="{A9DE23CB-5CD1-418F-8307-2FC5873E7C18}"/>
    <cellStyle name="20% - Accent4 5 4" xfId="9174" xr:uid="{714C51BE-81F5-4B45-9C66-3FA6778CAF3B}"/>
    <cellStyle name="20% - Accent4 5 5" xfId="17622" xr:uid="{5C598E15-0212-4D3D-80AD-BB502ADDEE64}"/>
    <cellStyle name="20% - Accent4 5 6" xfId="26069" xr:uid="{11090FA8-A18E-4ABD-B761-7DA1B2A77B90}"/>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C397F891-DD0B-4C7C-986B-F113DAADB480}"/>
    <cellStyle name="20% - Accent4 6 2 2 3" xfId="24397" xr:uid="{078EE565-4B5C-4F12-A4F8-74D3C96E1BEA}"/>
    <cellStyle name="20% - Accent4 6 2 2 4" xfId="32844" xr:uid="{D05E3DF3-9370-46A2-9C3F-129D0BF036B7}"/>
    <cellStyle name="20% - Accent4 6 2 3" xfId="11732" xr:uid="{1038A7CF-998B-489C-AF9B-930EE8A0BC29}"/>
    <cellStyle name="20% - Accent4 6 2 4" xfId="20180" xr:uid="{A84498A2-EC2C-4718-9EFC-D6782939F4C2}"/>
    <cellStyle name="20% - Accent4 6 2 5" xfId="28627" xr:uid="{D9B2A84A-B7D5-4B94-9A03-5DA0ED12FAAB}"/>
    <cellStyle name="20% - Accent4 6 3" xfId="5355" xr:uid="{00000000-0005-0000-0000-000075020000}"/>
    <cellStyle name="20% - Accent4 6 3 2" xfId="13805" xr:uid="{B20B0E75-4969-4C4D-B096-EC87A8D174DF}"/>
    <cellStyle name="20% - Accent4 6 3 3" xfId="22252" xr:uid="{95B8E1D4-94D8-4774-90CB-D349D89229AD}"/>
    <cellStyle name="20% - Accent4 6 3 4" xfId="30699" xr:uid="{6FC108F5-1A94-4BBC-B032-54A2B4B0A6C4}"/>
    <cellStyle name="20% - Accent4 6 4" xfId="9587" xr:uid="{82768516-024C-486F-91BD-B6224724621C}"/>
    <cellStyle name="20% - Accent4 6 5" xfId="18035" xr:uid="{53047793-1856-4E03-B9BE-6F490D126E10}"/>
    <cellStyle name="20% - Accent4 6 6" xfId="26482" xr:uid="{F8A69C50-899B-43E2-AA1A-F60648202A49}"/>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078F1B1F-B7F6-4587-B31C-A879C5C9F686}"/>
    <cellStyle name="20% - Accent4 7 2 2 3" xfId="24810" xr:uid="{173EC092-A36A-4DD8-B700-8DC629E4115C}"/>
    <cellStyle name="20% - Accent4 7 2 2 4" xfId="33257" xr:uid="{51E3F2A2-D08D-4B54-9A0E-1057F5974FBE}"/>
    <cellStyle name="20% - Accent4 7 2 3" xfId="12145" xr:uid="{3CF41B0C-7EB4-4244-8806-CB8D96AF4F39}"/>
    <cellStyle name="20% - Accent4 7 2 4" xfId="20593" xr:uid="{DC287E20-69C0-4133-88C6-CE937107360C}"/>
    <cellStyle name="20% - Accent4 7 2 5" xfId="29040" xr:uid="{123FF7F2-314B-4FAB-9938-ABA3FB2EC033}"/>
    <cellStyle name="20% - Accent4 7 3" xfId="5768" xr:uid="{00000000-0005-0000-0000-000079020000}"/>
    <cellStyle name="20% - Accent4 7 3 2" xfId="14218" xr:uid="{37BCF30B-EBD9-4160-A34D-60B2F40361CC}"/>
    <cellStyle name="20% - Accent4 7 3 3" xfId="22665" xr:uid="{E2CC62D5-3F13-40EB-8CF7-281CF3412688}"/>
    <cellStyle name="20% - Accent4 7 3 4" xfId="31112" xr:uid="{3A089F7C-8059-4768-892D-8A4E999F7E31}"/>
    <cellStyle name="20% - Accent4 7 4" xfId="10000" xr:uid="{D3283730-19A7-449C-8321-820D237793DF}"/>
    <cellStyle name="20% - Accent4 7 5" xfId="18448" xr:uid="{FCACD3D0-6ADF-418C-B080-8D74814E5B43}"/>
    <cellStyle name="20% - Accent4 7 6" xfId="26895" xr:uid="{72212BCA-C458-4532-B55F-072510B04925}"/>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A86D1DEA-2B5D-4EFE-8032-8E2D58376429}"/>
    <cellStyle name="20% - Accent4 8 2 2 3" xfId="25223" xr:uid="{8C258006-1680-4EDA-BBA3-A2DF4ACCD638}"/>
    <cellStyle name="20% - Accent4 8 2 2 4" xfId="33670" xr:uid="{E4963348-7470-4848-AE60-317D9E147DCC}"/>
    <cellStyle name="20% - Accent4 8 2 3" xfId="12558" xr:uid="{327ACEC0-65E2-4CD7-BEBA-1692476E74FA}"/>
    <cellStyle name="20% - Accent4 8 2 4" xfId="21006" xr:uid="{AF0F22D8-BE1B-4C9F-AE50-7A098C00C00D}"/>
    <cellStyle name="20% - Accent4 8 2 5" xfId="29453" xr:uid="{99596D2D-C884-48CA-BBD5-E8D82DE60458}"/>
    <cellStyle name="20% - Accent4 8 3" xfId="6181" xr:uid="{00000000-0005-0000-0000-00007D020000}"/>
    <cellStyle name="20% - Accent4 8 3 2" xfId="14631" xr:uid="{6912FD61-3FBF-4969-A1B5-54EA3AEC5E37}"/>
    <cellStyle name="20% - Accent4 8 3 3" xfId="23078" xr:uid="{F95D6159-E979-40D5-AAA4-0D35E63186C8}"/>
    <cellStyle name="20% - Accent4 8 3 4" xfId="31525" xr:uid="{DF0E8B7B-C339-4E4F-BF7B-135BD14BC9E4}"/>
    <cellStyle name="20% - Accent4 8 4" xfId="10413" xr:uid="{69D2A5E8-CD7C-4F67-A2D4-20EB8E6F55D8}"/>
    <cellStyle name="20% - Accent4 8 5" xfId="18861" xr:uid="{0E1CD45E-B5B4-4F0F-A304-3982CE8C3335}"/>
    <cellStyle name="20% - Accent4 8 6" xfId="27308" xr:uid="{6321164A-C4CD-41A1-A4B6-DE6D77CA0FC5}"/>
    <cellStyle name="20% - Accent4 9" xfId="2288" xr:uid="{00000000-0005-0000-0000-00007E020000}"/>
    <cellStyle name="20% - Accent4 9 2" xfId="6594" xr:uid="{00000000-0005-0000-0000-00007F020000}"/>
    <cellStyle name="20% - Accent4 9 2 2" xfId="15044" xr:uid="{E9F3D764-2C31-4D08-AC10-9297D0E7FA4A}"/>
    <cellStyle name="20% - Accent4 9 2 3" xfId="23491" xr:uid="{1C6204E5-82AF-4B22-A80A-6D599B5F9E68}"/>
    <cellStyle name="20% - Accent4 9 2 4" xfId="31938" xr:uid="{5A3838A5-F74D-491D-8CF5-D182CF8A08F8}"/>
    <cellStyle name="20% - Accent4 9 3" xfId="10826" xr:uid="{F4C3E0DC-013F-4E33-B987-F3F40BF4739F}"/>
    <cellStyle name="20% - Accent4 9 4" xfId="19274" xr:uid="{50E22F6E-A9FF-42E7-B96E-9DD8CD327A3F}"/>
    <cellStyle name="20% - Accent4 9 5" xfId="27721" xr:uid="{83B6194C-22F0-4E5A-806A-994FE48EB5C8}"/>
    <cellStyle name="20% - Accent5" xfId="33" builtinId="46" customBuiltin="1"/>
    <cellStyle name="20% - Accent5 10" xfId="4536" xr:uid="{00000000-0005-0000-0000-000081020000}"/>
    <cellStyle name="20% - Accent5 10 2" xfId="12986" xr:uid="{624E4E03-1972-45CA-B326-DD4AC8F56005}"/>
    <cellStyle name="20% - Accent5 10 3" xfId="21433" xr:uid="{EB5D677E-C51B-4BB9-926F-3A4422CF801F}"/>
    <cellStyle name="20% - Accent5 10 4" xfId="29880" xr:uid="{95A81F39-5C57-436B-9A5D-3EF1D79120C1}"/>
    <cellStyle name="20% - Accent5 11" xfId="8768" xr:uid="{ECD90A33-3DB3-4776-87A2-2CC9EF31C1ED}"/>
    <cellStyle name="20% - Accent5 12" xfId="17216" xr:uid="{008D0A91-F71F-45A9-8B77-C02E9A39C0B2}"/>
    <cellStyle name="20% - Accent5 13" xfId="25663" xr:uid="{CFC2BF15-CA03-466D-B113-0B4DE47C9D1D}"/>
    <cellStyle name="20% - Accent5 2" xfId="34" xr:uid="{00000000-0005-0000-0000-000082020000}"/>
    <cellStyle name="20% - Accent5 2 10" xfId="8769" xr:uid="{EE081F41-B022-4FAD-895F-C87B85BE07B4}"/>
    <cellStyle name="20% - Accent5 2 11" xfId="17217" xr:uid="{8785F377-D670-4572-9CED-DB33ECCF685D}"/>
    <cellStyle name="20% - Accent5 2 12" xfId="25664" xr:uid="{75873715-D903-4498-A517-8ECF78461891}"/>
    <cellStyle name="20% - Accent5 2 2" xfId="35" xr:uid="{00000000-0005-0000-0000-000083020000}"/>
    <cellStyle name="20% - Accent5 2 2 10" xfId="17218" xr:uid="{85E34C61-2610-44FE-9F73-9E937DDDE959}"/>
    <cellStyle name="20% - Accent5 2 2 11" xfId="25665" xr:uid="{4A84CEC2-BFC2-4578-8DC7-17CB04685E33}"/>
    <cellStyle name="20% - Accent5 2 2 2" xfId="36" xr:uid="{00000000-0005-0000-0000-000084020000}"/>
    <cellStyle name="20% - Accent5 2 2 2 10" xfId="25666" xr:uid="{F363A89E-ED32-440E-B304-C10E0F36F1A5}"/>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C0598D31-197F-4DFB-9017-628512707891}"/>
    <cellStyle name="20% - Accent5 2 2 2 2 2 2 3" xfId="23995" xr:uid="{85431E5A-FD30-4A64-A71E-88BEDE74C7B9}"/>
    <cellStyle name="20% - Accent5 2 2 2 2 2 2 4" xfId="32442" xr:uid="{79A65B34-8BD3-4848-98C2-EBF91CC5AD70}"/>
    <cellStyle name="20% - Accent5 2 2 2 2 2 3" xfId="11330" xr:uid="{15D12B97-B365-4E80-BDC6-2DF534EF4BED}"/>
    <cellStyle name="20% - Accent5 2 2 2 2 2 4" xfId="19778" xr:uid="{96C9CADB-9557-47DC-BC7F-D3C668451565}"/>
    <cellStyle name="20% - Accent5 2 2 2 2 2 5" xfId="28225" xr:uid="{84F67D54-4A53-4150-824D-0C5E3784C3A8}"/>
    <cellStyle name="20% - Accent5 2 2 2 2 3" xfId="4953" xr:uid="{00000000-0005-0000-0000-000088020000}"/>
    <cellStyle name="20% - Accent5 2 2 2 2 3 2" xfId="13403" xr:uid="{564A3FF2-E4F8-4E43-AE93-E4001ED15FC5}"/>
    <cellStyle name="20% - Accent5 2 2 2 2 3 3" xfId="21850" xr:uid="{BFDBD2BB-97C0-4BBA-BB09-263559FA0BD6}"/>
    <cellStyle name="20% - Accent5 2 2 2 2 3 4" xfId="30297" xr:uid="{114DEAE0-7599-4941-901B-88F7E32CB3F3}"/>
    <cellStyle name="20% - Accent5 2 2 2 2 4" xfId="9185" xr:uid="{4BD5C99F-3DC0-4C5E-9BBD-747D14477639}"/>
    <cellStyle name="20% - Accent5 2 2 2 2 5" xfId="17633" xr:uid="{5F84C13F-FA49-48C8-93D8-ADAAEBEB4763}"/>
    <cellStyle name="20% - Accent5 2 2 2 2 6" xfId="26080" xr:uid="{9B356E88-E139-4233-900F-9A2A79A003A2}"/>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78D5FDC0-4532-47C6-B315-9A29FD123DE5}"/>
    <cellStyle name="20% - Accent5 2 2 2 3 2 2 3" xfId="24408" xr:uid="{5C74B4C7-6FA7-4D4C-B1EB-1BEAC7122219}"/>
    <cellStyle name="20% - Accent5 2 2 2 3 2 2 4" xfId="32855" xr:uid="{D90A9B19-A004-4E4E-A685-166D6183A435}"/>
    <cellStyle name="20% - Accent5 2 2 2 3 2 3" xfId="11743" xr:uid="{5C7F0238-E612-45DD-9C45-DC4D9CEBFEB2}"/>
    <cellStyle name="20% - Accent5 2 2 2 3 2 4" xfId="20191" xr:uid="{7FB05F25-7987-4F7D-B8AD-3CB23F92C735}"/>
    <cellStyle name="20% - Accent5 2 2 2 3 2 5" xfId="28638" xr:uid="{8CC585D7-2697-47E0-B74C-98D4B0D143A7}"/>
    <cellStyle name="20% - Accent5 2 2 2 3 3" xfId="5366" xr:uid="{00000000-0005-0000-0000-00008C020000}"/>
    <cellStyle name="20% - Accent5 2 2 2 3 3 2" xfId="13816" xr:uid="{19045650-EB98-4C0A-B53C-3A6AADF8E562}"/>
    <cellStyle name="20% - Accent5 2 2 2 3 3 3" xfId="22263" xr:uid="{BF1EEF7F-A827-4A0A-8BA0-C7B716ED7AD6}"/>
    <cellStyle name="20% - Accent5 2 2 2 3 3 4" xfId="30710" xr:uid="{7513BF6E-2C82-4562-87F9-3236F5BD3CAF}"/>
    <cellStyle name="20% - Accent5 2 2 2 3 4" xfId="9598" xr:uid="{79B86E51-36A9-4CD1-AA3C-712C88B19F86}"/>
    <cellStyle name="20% - Accent5 2 2 2 3 5" xfId="18046" xr:uid="{99B39048-9748-4F25-B1B7-3ED184DCC3C8}"/>
    <cellStyle name="20% - Accent5 2 2 2 3 6" xfId="26493" xr:uid="{C4AFC9ED-914C-4890-8D8B-A34503679949}"/>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51BC0358-7150-48C4-B0A2-17AA601646B4}"/>
    <cellStyle name="20% - Accent5 2 2 2 4 2 2 3" xfId="24821" xr:uid="{A835E2FF-B4B8-417A-B4F8-F86C27E43ECC}"/>
    <cellStyle name="20% - Accent5 2 2 2 4 2 2 4" xfId="33268" xr:uid="{B73C9ED2-B50D-432E-A9BF-ED42124F05D2}"/>
    <cellStyle name="20% - Accent5 2 2 2 4 2 3" xfId="12156" xr:uid="{248A7B17-CC7E-4B9D-8C8B-CC139651BF27}"/>
    <cellStyle name="20% - Accent5 2 2 2 4 2 4" xfId="20604" xr:uid="{BE653EE6-D93B-402B-9397-0B750E3366FC}"/>
    <cellStyle name="20% - Accent5 2 2 2 4 2 5" xfId="29051" xr:uid="{5597DF98-805E-4425-A08B-F305FB0146B1}"/>
    <cellStyle name="20% - Accent5 2 2 2 4 3" xfId="5779" xr:uid="{00000000-0005-0000-0000-000090020000}"/>
    <cellStyle name="20% - Accent5 2 2 2 4 3 2" xfId="14229" xr:uid="{38436E9C-D67F-4AA6-94F0-299CCC2B663A}"/>
    <cellStyle name="20% - Accent5 2 2 2 4 3 3" xfId="22676" xr:uid="{6E099628-D263-4A99-8AEB-50FB958789F6}"/>
    <cellStyle name="20% - Accent5 2 2 2 4 3 4" xfId="31123" xr:uid="{4DB6E58E-8CBF-4A61-8EE2-2A5C0EAADA30}"/>
    <cellStyle name="20% - Accent5 2 2 2 4 4" xfId="10011" xr:uid="{8B8BB07D-7145-4DEC-A47D-2101200E4ED8}"/>
    <cellStyle name="20% - Accent5 2 2 2 4 5" xfId="18459" xr:uid="{47472EB1-C2B5-4FE3-AFB0-7500550DB5FF}"/>
    <cellStyle name="20% - Accent5 2 2 2 4 6" xfId="26906" xr:uid="{08E55812-F098-499E-B017-F7D1CBA6B88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CA1A07FE-75D1-45E2-B2AD-F01CA8F2B5FB}"/>
    <cellStyle name="20% - Accent5 2 2 2 5 2 2 3" xfId="25234" xr:uid="{45DE26B2-0B13-4994-AB78-B186F7DADEF9}"/>
    <cellStyle name="20% - Accent5 2 2 2 5 2 2 4" xfId="33681" xr:uid="{EA9E7561-AD0A-49F3-BA59-6410C0BA5875}"/>
    <cellStyle name="20% - Accent5 2 2 2 5 2 3" xfId="12569" xr:uid="{9187795E-270E-4D95-9E0D-E74DB52FF340}"/>
    <cellStyle name="20% - Accent5 2 2 2 5 2 4" xfId="21017" xr:uid="{F6BFBF1B-C32E-46EA-8F5D-CEC944A4AA0C}"/>
    <cellStyle name="20% - Accent5 2 2 2 5 2 5" xfId="29464" xr:uid="{AE30AD19-B151-424C-B4D4-C3EA659CE0A8}"/>
    <cellStyle name="20% - Accent5 2 2 2 5 3" xfId="6192" xr:uid="{00000000-0005-0000-0000-000094020000}"/>
    <cellStyle name="20% - Accent5 2 2 2 5 3 2" xfId="14642" xr:uid="{E007BC06-4B68-4F16-8C70-A39BC54CC775}"/>
    <cellStyle name="20% - Accent5 2 2 2 5 3 3" xfId="23089" xr:uid="{79B2854C-8FDF-4406-B321-28FA2DDDFF0D}"/>
    <cellStyle name="20% - Accent5 2 2 2 5 3 4" xfId="31536" xr:uid="{07C2B209-BA50-4840-8319-0728B797DE13}"/>
    <cellStyle name="20% - Accent5 2 2 2 5 4" xfId="10424" xr:uid="{FD8B932B-C19A-4DD4-AA22-743676C3AB1C}"/>
    <cellStyle name="20% - Accent5 2 2 2 5 5" xfId="18872" xr:uid="{F4A1827C-3C00-4016-A536-4A375E8511DF}"/>
    <cellStyle name="20% - Accent5 2 2 2 5 6" xfId="27319" xr:uid="{8A8F355E-B6DB-4FFC-864E-E65365E067B1}"/>
    <cellStyle name="20% - Accent5 2 2 2 6" xfId="2299" xr:uid="{00000000-0005-0000-0000-000095020000}"/>
    <cellStyle name="20% - Accent5 2 2 2 6 2" xfId="6605" xr:uid="{00000000-0005-0000-0000-000096020000}"/>
    <cellStyle name="20% - Accent5 2 2 2 6 2 2" xfId="15055" xr:uid="{22F8BDE7-B5BE-4872-B88D-E100EAB6BCB2}"/>
    <cellStyle name="20% - Accent5 2 2 2 6 2 3" xfId="23502" xr:uid="{23F896D0-B67E-4EF1-903F-1BFC74335960}"/>
    <cellStyle name="20% - Accent5 2 2 2 6 2 4" xfId="31949" xr:uid="{18773DEE-B06E-46D0-9B10-971662CFDE40}"/>
    <cellStyle name="20% - Accent5 2 2 2 6 3" xfId="10837" xr:uid="{012F482A-75A8-4817-BB32-62041EC225E8}"/>
    <cellStyle name="20% - Accent5 2 2 2 6 4" xfId="19285" xr:uid="{252D042E-35B1-4D2D-AB87-614550765F5B}"/>
    <cellStyle name="20% - Accent5 2 2 2 6 5" xfId="27732" xr:uid="{C3C31C82-341D-441E-B2FA-DDB532D27F94}"/>
    <cellStyle name="20% - Accent5 2 2 2 7" xfId="4539" xr:uid="{00000000-0005-0000-0000-000097020000}"/>
    <cellStyle name="20% - Accent5 2 2 2 7 2" xfId="12989" xr:uid="{5FB5D91F-A350-432F-B770-8D7B4860F096}"/>
    <cellStyle name="20% - Accent5 2 2 2 7 3" xfId="21436" xr:uid="{5EBB69BC-0B67-4B21-AEA9-3D6044913B49}"/>
    <cellStyle name="20% - Accent5 2 2 2 7 4" xfId="29883" xr:uid="{A248BAE3-CC7E-4D6C-BE75-C78703AAD56D}"/>
    <cellStyle name="20% - Accent5 2 2 2 8" xfId="8771" xr:uid="{F5DBAB28-363E-423D-BAF5-694BCB362A77}"/>
    <cellStyle name="20% - Accent5 2 2 2 9" xfId="17219" xr:uid="{24945FD6-CC95-4136-9E6D-B47FAF8CC541}"/>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BE52B201-ADBB-437C-A054-FA3FFA3DCEEC}"/>
    <cellStyle name="20% - Accent5 2 2 3 2 2 3" xfId="23994" xr:uid="{DB55D1C2-120F-481C-832E-57AA7F55E8FB}"/>
    <cellStyle name="20% - Accent5 2 2 3 2 2 4" xfId="32441" xr:uid="{3EA0F2FC-284D-4B29-AF4E-B4D84E7DA25C}"/>
    <cellStyle name="20% - Accent5 2 2 3 2 3" xfId="11329" xr:uid="{B88F9FFB-A1E5-402B-A62D-8DA7A4DC64C2}"/>
    <cellStyle name="20% - Accent5 2 2 3 2 4" xfId="19777" xr:uid="{4D5490FB-2968-4394-8F8A-5902C8135FC1}"/>
    <cellStyle name="20% - Accent5 2 2 3 2 5" xfId="28224" xr:uid="{2B51FAE0-1DEB-4372-B122-C91C039336D4}"/>
    <cellStyle name="20% - Accent5 2 2 3 3" xfId="4952" xr:uid="{00000000-0005-0000-0000-00009B020000}"/>
    <cellStyle name="20% - Accent5 2 2 3 3 2" xfId="13402" xr:uid="{6B69E882-3230-4125-8CD9-D2926034C4DE}"/>
    <cellStyle name="20% - Accent5 2 2 3 3 3" xfId="21849" xr:uid="{0DDF979E-63C4-4B5D-AD0C-1416E3989C23}"/>
    <cellStyle name="20% - Accent5 2 2 3 3 4" xfId="30296" xr:uid="{A351B752-826C-47D2-B554-A3EBB188FAB7}"/>
    <cellStyle name="20% - Accent5 2 2 3 4" xfId="9184" xr:uid="{5B5FE4CD-1A84-41DA-8275-E63B57C60E44}"/>
    <cellStyle name="20% - Accent5 2 2 3 5" xfId="17632" xr:uid="{E0AA1F65-45A7-4DCA-B3C9-AE63D3D36A13}"/>
    <cellStyle name="20% - Accent5 2 2 3 6" xfId="26079" xr:uid="{DEFFA979-B7A3-4607-B51D-88A6EA348E10}"/>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EBDD78B5-463D-49D7-8DFE-548DEBE77BEA}"/>
    <cellStyle name="20% - Accent5 2 2 4 2 2 3" xfId="24407" xr:uid="{7C986F25-DDF4-482F-BA2D-E72D8C1A4154}"/>
    <cellStyle name="20% - Accent5 2 2 4 2 2 4" xfId="32854" xr:uid="{0ACD67EC-9DA6-4367-BB05-35B7C55E5F2F}"/>
    <cellStyle name="20% - Accent5 2 2 4 2 3" xfId="11742" xr:uid="{0859B240-3ABF-4884-AFCB-9A148F094D19}"/>
    <cellStyle name="20% - Accent5 2 2 4 2 4" xfId="20190" xr:uid="{61F4B0EB-8553-40F2-9010-4F5FDA8303A5}"/>
    <cellStyle name="20% - Accent5 2 2 4 2 5" xfId="28637" xr:uid="{07DE7A0F-43AD-4DB1-BFAE-CF180BF40943}"/>
    <cellStyle name="20% - Accent5 2 2 4 3" xfId="5365" xr:uid="{00000000-0005-0000-0000-00009F020000}"/>
    <cellStyle name="20% - Accent5 2 2 4 3 2" xfId="13815" xr:uid="{B4E88B56-6E93-4750-BC15-934C11DE2A95}"/>
    <cellStyle name="20% - Accent5 2 2 4 3 3" xfId="22262" xr:uid="{8074B61C-3077-447F-99B8-04A4BF2826F0}"/>
    <cellStyle name="20% - Accent5 2 2 4 3 4" xfId="30709" xr:uid="{8C70D798-7691-49ED-80DE-C9391DD3EE68}"/>
    <cellStyle name="20% - Accent5 2 2 4 4" xfId="9597" xr:uid="{30D68E16-6AC6-4DDD-A34D-2A50E3755BBA}"/>
    <cellStyle name="20% - Accent5 2 2 4 5" xfId="18045" xr:uid="{3DC8B769-4411-4C62-AF05-F6C67974700F}"/>
    <cellStyle name="20% - Accent5 2 2 4 6" xfId="26492" xr:uid="{6DA9C8FA-7F44-4845-8486-120A619EC54C}"/>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54BCAA44-172A-4938-98AA-A2D9EFC86718}"/>
    <cellStyle name="20% - Accent5 2 2 5 2 2 3" xfId="24820" xr:uid="{10BD376D-60F9-4C9B-A4AD-E31BC1C13EF2}"/>
    <cellStyle name="20% - Accent5 2 2 5 2 2 4" xfId="33267" xr:uid="{819807BE-D5F2-4E6D-9697-978EA97D7E25}"/>
    <cellStyle name="20% - Accent5 2 2 5 2 3" xfId="12155" xr:uid="{AEDF4E18-3D08-42FF-9A63-80050D6BEC10}"/>
    <cellStyle name="20% - Accent5 2 2 5 2 4" xfId="20603" xr:uid="{BDD9B43B-1308-4FA1-8FB3-D8334081F0FD}"/>
    <cellStyle name="20% - Accent5 2 2 5 2 5" xfId="29050" xr:uid="{89670DA0-2DBD-48C8-A817-E12AC47C0E3E}"/>
    <cellStyle name="20% - Accent5 2 2 5 3" xfId="5778" xr:uid="{00000000-0005-0000-0000-0000A3020000}"/>
    <cellStyle name="20% - Accent5 2 2 5 3 2" xfId="14228" xr:uid="{E7F5D9CB-F753-4AF1-9A62-823D0BD83465}"/>
    <cellStyle name="20% - Accent5 2 2 5 3 3" xfId="22675" xr:uid="{AA083761-4CA9-4F0F-9A7E-9DFB73D9A8FD}"/>
    <cellStyle name="20% - Accent5 2 2 5 3 4" xfId="31122" xr:uid="{86D16A34-18EB-4ADA-9B2C-9E468563F9B1}"/>
    <cellStyle name="20% - Accent5 2 2 5 4" xfId="10010" xr:uid="{94DC3968-4702-4898-9B6D-DC79D063B613}"/>
    <cellStyle name="20% - Accent5 2 2 5 5" xfId="18458" xr:uid="{8DCA66FF-9484-4641-95C0-A4EAD623F3CD}"/>
    <cellStyle name="20% - Accent5 2 2 5 6" xfId="26905" xr:uid="{24395225-3FD7-42FE-958F-C948857DA499}"/>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24763152-8510-46B3-8591-8A0DC66FBE61}"/>
    <cellStyle name="20% - Accent5 2 2 6 2 2 3" xfId="25233" xr:uid="{1E21BBC5-DE25-482A-8E1C-4C07D3B2A9D8}"/>
    <cellStyle name="20% - Accent5 2 2 6 2 2 4" xfId="33680" xr:uid="{E939E935-7915-42FE-8266-F99266C8D5D3}"/>
    <cellStyle name="20% - Accent5 2 2 6 2 3" xfId="12568" xr:uid="{7D0D973B-2270-44C1-B893-C411373BB069}"/>
    <cellStyle name="20% - Accent5 2 2 6 2 4" xfId="21016" xr:uid="{A34F1642-3387-449E-865D-11B08CE31CA1}"/>
    <cellStyle name="20% - Accent5 2 2 6 2 5" xfId="29463" xr:uid="{7A29184E-AE0B-4DE7-BCF1-260B0ABAD2C7}"/>
    <cellStyle name="20% - Accent5 2 2 6 3" xfId="6191" xr:uid="{00000000-0005-0000-0000-0000A7020000}"/>
    <cellStyle name="20% - Accent5 2 2 6 3 2" xfId="14641" xr:uid="{260964BE-F16A-4726-8B72-234764E6214B}"/>
    <cellStyle name="20% - Accent5 2 2 6 3 3" xfId="23088" xr:uid="{DF975BB0-AA49-4FB6-A107-D6C9A0F453EB}"/>
    <cellStyle name="20% - Accent5 2 2 6 3 4" xfId="31535" xr:uid="{A619B3E1-F690-455B-8FBE-7A2B0BBCEB0E}"/>
    <cellStyle name="20% - Accent5 2 2 6 4" xfId="10423" xr:uid="{9A90E5EF-1493-4DBA-9A7C-509AA1501023}"/>
    <cellStyle name="20% - Accent5 2 2 6 5" xfId="18871" xr:uid="{B1CB434D-052D-467E-B92F-F4AA9E6D91F9}"/>
    <cellStyle name="20% - Accent5 2 2 6 6" xfId="27318" xr:uid="{2AC4BACC-FE12-4592-8D6E-D8DBCF16DB2A}"/>
    <cellStyle name="20% - Accent5 2 2 7" xfId="2298" xr:uid="{00000000-0005-0000-0000-0000A8020000}"/>
    <cellStyle name="20% - Accent5 2 2 7 2" xfId="6604" xr:uid="{00000000-0005-0000-0000-0000A9020000}"/>
    <cellStyle name="20% - Accent5 2 2 7 2 2" xfId="15054" xr:uid="{B7127AE2-756F-49B2-84A9-53216A7F95CA}"/>
    <cellStyle name="20% - Accent5 2 2 7 2 3" xfId="23501" xr:uid="{0AFF53A0-5639-40F8-8547-41A04AA1575D}"/>
    <cellStyle name="20% - Accent5 2 2 7 2 4" xfId="31948" xr:uid="{88F29B61-5855-4D08-A1E0-D77FB7490DE7}"/>
    <cellStyle name="20% - Accent5 2 2 7 3" xfId="10836" xr:uid="{0B0F9104-49B5-4420-8552-CB344D7D40E1}"/>
    <cellStyle name="20% - Accent5 2 2 7 4" xfId="19284" xr:uid="{4B6F36CF-5DFA-40F8-A3A1-77CBC057B936}"/>
    <cellStyle name="20% - Accent5 2 2 7 5" xfId="27731" xr:uid="{56FA8B67-91EE-48FE-95FA-8A62CE83D6AF}"/>
    <cellStyle name="20% - Accent5 2 2 8" xfId="4538" xr:uid="{00000000-0005-0000-0000-0000AA020000}"/>
    <cellStyle name="20% - Accent5 2 2 8 2" xfId="12988" xr:uid="{30331BCE-29AC-409B-8447-4805AE69C827}"/>
    <cellStyle name="20% - Accent5 2 2 8 3" xfId="21435" xr:uid="{AF28DB3D-7D39-4BEE-A115-EA84C10221C7}"/>
    <cellStyle name="20% - Accent5 2 2 8 4" xfId="29882" xr:uid="{4E694816-07C4-41CC-B3D6-156AF85EAB63}"/>
    <cellStyle name="20% - Accent5 2 2 9" xfId="8770" xr:uid="{8222C568-7D93-4EC6-B005-0C701E6A987F}"/>
    <cellStyle name="20% - Accent5 2 3" xfId="37" xr:uid="{00000000-0005-0000-0000-0000AB020000}"/>
    <cellStyle name="20% - Accent5 2 3 10" xfId="25667" xr:uid="{4C9B52B2-B6F1-4632-962E-D9EE83CD74D6}"/>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3A9D5799-6C6E-4F98-A8DA-2F0612F1D7E3}"/>
    <cellStyle name="20% - Accent5 2 3 2 2 2 3" xfId="23996" xr:uid="{4A2B0DCE-1BB9-4F05-8F09-5C2364CF4EB9}"/>
    <cellStyle name="20% - Accent5 2 3 2 2 2 4" xfId="32443" xr:uid="{63058240-67FC-4576-A623-D26B05ACC08F}"/>
    <cellStyle name="20% - Accent5 2 3 2 2 3" xfId="11331" xr:uid="{19CCB2F2-A63C-4295-8277-DCDD73C8E8B7}"/>
    <cellStyle name="20% - Accent5 2 3 2 2 4" xfId="19779" xr:uid="{906D6C1D-0AB9-4E18-B9C0-4FAC9C666714}"/>
    <cellStyle name="20% - Accent5 2 3 2 2 5" xfId="28226" xr:uid="{E35D002C-D272-417F-86F8-0BAEB58C7A54}"/>
    <cellStyle name="20% - Accent5 2 3 2 3" xfId="4954" xr:uid="{00000000-0005-0000-0000-0000AF020000}"/>
    <cellStyle name="20% - Accent5 2 3 2 3 2" xfId="13404" xr:uid="{15CBB3C4-838E-4C77-AC34-FD60220C4492}"/>
    <cellStyle name="20% - Accent5 2 3 2 3 3" xfId="21851" xr:uid="{1E26A4E7-5324-447E-9C61-92D5942C29FA}"/>
    <cellStyle name="20% - Accent5 2 3 2 3 4" xfId="30298" xr:uid="{DD70FD75-5ED3-48E9-B4C8-1C27CE0AC189}"/>
    <cellStyle name="20% - Accent5 2 3 2 4" xfId="9186" xr:uid="{363C70B2-D80E-4C3F-BF0F-244A90061280}"/>
    <cellStyle name="20% - Accent5 2 3 2 5" xfId="17634" xr:uid="{0149460E-6CBD-49A1-B69A-80BB16F94873}"/>
    <cellStyle name="20% - Accent5 2 3 2 6" xfId="26081" xr:uid="{17C3C0BE-6FB0-4993-982F-CF557071D469}"/>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05ADE9CA-6408-48B9-87E9-1B336792D26D}"/>
    <cellStyle name="20% - Accent5 2 3 3 2 2 3" xfId="24409" xr:uid="{56829509-3130-47E3-B171-47E7C19F2AA4}"/>
    <cellStyle name="20% - Accent5 2 3 3 2 2 4" xfId="32856" xr:uid="{1DD8113D-FE8B-4A23-B45B-C74EC15FDEFA}"/>
    <cellStyle name="20% - Accent5 2 3 3 2 3" xfId="11744" xr:uid="{5ACC3423-3623-4A78-991C-C8A8DABBF510}"/>
    <cellStyle name="20% - Accent5 2 3 3 2 4" xfId="20192" xr:uid="{0D3B4F4F-14A6-4A89-B650-E5D23F1BE7C8}"/>
    <cellStyle name="20% - Accent5 2 3 3 2 5" xfId="28639" xr:uid="{348E195B-0BB9-4721-90E6-E4657BCE3984}"/>
    <cellStyle name="20% - Accent5 2 3 3 3" xfId="5367" xr:uid="{00000000-0005-0000-0000-0000B3020000}"/>
    <cellStyle name="20% - Accent5 2 3 3 3 2" xfId="13817" xr:uid="{C16C4386-6DDC-4846-A760-E9FF15846F17}"/>
    <cellStyle name="20% - Accent5 2 3 3 3 3" xfId="22264" xr:uid="{C6107B81-1561-4E33-B486-78BB4716AEC2}"/>
    <cellStyle name="20% - Accent5 2 3 3 3 4" xfId="30711" xr:uid="{C45ADA93-016B-4F3A-BB38-E82277E272A7}"/>
    <cellStyle name="20% - Accent5 2 3 3 4" xfId="9599" xr:uid="{59A60DFC-2960-44AF-9327-8F476841B7E7}"/>
    <cellStyle name="20% - Accent5 2 3 3 5" xfId="18047" xr:uid="{56BE2476-127A-428B-AD4D-A6E952B48474}"/>
    <cellStyle name="20% - Accent5 2 3 3 6" xfId="26494" xr:uid="{3FA1AEC6-ABA0-41D3-A41E-E77E89C6DC3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22DA638E-1D1B-4B45-9DD8-DA2916BB13E1}"/>
    <cellStyle name="20% - Accent5 2 3 4 2 2 3" xfId="24822" xr:uid="{B2FFB53F-B1FB-4C77-AC46-19FCAF4651DB}"/>
    <cellStyle name="20% - Accent5 2 3 4 2 2 4" xfId="33269" xr:uid="{C471B296-B29A-4059-84C8-6A39953780D7}"/>
    <cellStyle name="20% - Accent5 2 3 4 2 3" xfId="12157" xr:uid="{71735F4E-FFA9-4BE4-998C-6B9FBC8A8B32}"/>
    <cellStyle name="20% - Accent5 2 3 4 2 4" xfId="20605" xr:uid="{CA45E6F1-F4A4-4FB0-8F92-30A6F888FEFA}"/>
    <cellStyle name="20% - Accent5 2 3 4 2 5" xfId="29052" xr:uid="{01C4E941-A34D-4E09-939C-F572C80BDAA8}"/>
    <cellStyle name="20% - Accent5 2 3 4 3" xfId="5780" xr:uid="{00000000-0005-0000-0000-0000B7020000}"/>
    <cellStyle name="20% - Accent5 2 3 4 3 2" xfId="14230" xr:uid="{8D4C095E-2DC0-4C5E-B936-F0A2CBC39ED3}"/>
    <cellStyle name="20% - Accent5 2 3 4 3 3" xfId="22677" xr:uid="{FD475015-96CC-4416-8502-940DD164C405}"/>
    <cellStyle name="20% - Accent5 2 3 4 3 4" xfId="31124" xr:uid="{E5062803-2FDC-435E-9C40-7D272E437FFF}"/>
    <cellStyle name="20% - Accent5 2 3 4 4" xfId="10012" xr:uid="{B4F7A6FD-F4F1-45F0-A87B-7F216649D9FB}"/>
    <cellStyle name="20% - Accent5 2 3 4 5" xfId="18460" xr:uid="{C596E784-D27F-4E57-963B-6855ED57799B}"/>
    <cellStyle name="20% - Accent5 2 3 4 6" xfId="26907" xr:uid="{758713BF-545E-45A2-882F-05AC64931111}"/>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EA0E7FFF-CFCD-4981-BC08-6E1B05E4DBDB}"/>
    <cellStyle name="20% - Accent5 2 3 5 2 2 3" xfId="25235" xr:uid="{98808A49-8E90-437D-82C1-A7D89E0166CE}"/>
    <cellStyle name="20% - Accent5 2 3 5 2 2 4" xfId="33682" xr:uid="{5C4D66BC-6394-4164-BDB5-C731CEF88638}"/>
    <cellStyle name="20% - Accent5 2 3 5 2 3" xfId="12570" xr:uid="{4485A2E5-8F64-4C1F-8B4D-4352376657E9}"/>
    <cellStyle name="20% - Accent5 2 3 5 2 4" xfId="21018" xr:uid="{A998CC69-4DC6-49D8-8159-6B98F29DC303}"/>
    <cellStyle name="20% - Accent5 2 3 5 2 5" xfId="29465" xr:uid="{6EB639E9-872A-46B3-848E-B3F1E1FD64B5}"/>
    <cellStyle name="20% - Accent5 2 3 5 3" xfId="6193" xr:uid="{00000000-0005-0000-0000-0000BB020000}"/>
    <cellStyle name="20% - Accent5 2 3 5 3 2" xfId="14643" xr:uid="{B71ED8CA-20F6-4BC9-8D9A-75ADD53806BF}"/>
    <cellStyle name="20% - Accent5 2 3 5 3 3" xfId="23090" xr:uid="{4E6E8555-7B1B-45BE-9FC3-FF15787E56AD}"/>
    <cellStyle name="20% - Accent5 2 3 5 3 4" xfId="31537" xr:uid="{17C62AE0-406D-491D-942C-B42D545F1CA9}"/>
    <cellStyle name="20% - Accent5 2 3 5 4" xfId="10425" xr:uid="{2E1AE4DB-456C-4AB1-80B3-BC260BB9C678}"/>
    <cellStyle name="20% - Accent5 2 3 5 5" xfId="18873" xr:uid="{704D880D-5999-4183-890A-E97E834749FF}"/>
    <cellStyle name="20% - Accent5 2 3 5 6" xfId="27320" xr:uid="{8EA4AB30-E3CF-4E74-9526-5EAFEFCBA251}"/>
    <cellStyle name="20% - Accent5 2 3 6" xfId="2300" xr:uid="{00000000-0005-0000-0000-0000BC020000}"/>
    <cellStyle name="20% - Accent5 2 3 6 2" xfId="6606" xr:uid="{00000000-0005-0000-0000-0000BD020000}"/>
    <cellStyle name="20% - Accent5 2 3 6 2 2" xfId="15056" xr:uid="{E7866431-2B15-41D8-BF4E-8F4821C711CE}"/>
    <cellStyle name="20% - Accent5 2 3 6 2 3" xfId="23503" xr:uid="{F12CEA03-B225-43E1-B985-ABA6AAD6B431}"/>
    <cellStyle name="20% - Accent5 2 3 6 2 4" xfId="31950" xr:uid="{19F79A8C-B70B-4DEA-85C1-4791B13C6752}"/>
    <cellStyle name="20% - Accent5 2 3 6 3" xfId="10838" xr:uid="{4858169C-7958-4204-B750-274B5139BD4C}"/>
    <cellStyle name="20% - Accent5 2 3 6 4" xfId="19286" xr:uid="{27A00FCC-7227-4C2C-AD26-A0EC725CB637}"/>
    <cellStyle name="20% - Accent5 2 3 6 5" xfId="27733" xr:uid="{54D4DA5E-1FBB-416C-B8C9-1C219CE3BEB3}"/>
    <cellStyle name="20% - Accent5 2 3 7" xfId="4540" xr:uid="{00000000-0005-0000-0000-0000BE020000}"/>
    <cellStyle name="20% - Accent5 2 3 7 2" xfId="12990" xr:uid="{E0AB0799-9EE8-4C87-B3A4-2AA54E8BECFC}"/>
    <cellStyle name="20% - Accent5 2 3 7 3" xfId="21437" xr:uid="{A60E8CC3-AF4E-4FB4-862C-6A6D63649FFB}"/>
    <cellStyle name="20% - Accent5 2 3 7 4" xfId="29884" xr:uid="{03213E49-3517-4DA7-A233-0B889F3C155B}"/>
    <cellStyle name="20% - Accent5 2 3 8" xfId="8772" xr:uid="{3CB38D16-072D-4D1E-9C9E-16E1703E08CC}"/>
    <cellStyle name="20% - Accent5 2 3 9" xfId="17220" xr:uid="{6555655B-D6D1-44A1-AFC6-A8E01D751A68}"/>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DA8E2158-D548-453E-A4B7-C6AE4C1DF8DA}"/>
    <cellStyle name="20% - Accent5 2 4 2 2 3" xfId="23993" xr:uid="{4ACC6E6B-3E73-45B5-9EB8-913CE3DFE65B}"/>
    <cellStyle name="20% - Accent5 2 4 2 2 4" xfId="32440" xr:uid="{EEC2D964-219D-4646-A014-A4D6C09FF61F}"/>
    <cellStyle name="20% - Accent5 2 4 2 3" xfId="11328" xr:uid="{3B1A22BF-9537-4A99-9D20-8BEA9BD6C5F4}"/>
    <cellStyle name="20% - Accent5 2 4 2 4" xfId="19776" xr:uid="{B854B78A-7AF1-449B-AAAF-98AAC65EC8C6}"/>
    <cellStyle name="20% - Accent5 2 4 2 5" xfId="28223" xr:uid="{7D0C18A3-8FCE-4D95-B656-60D7B9EDBC2D}"/>
    <cellStyle name="20% - Accent5 2 4 3" xfId="4951" xr:uid="{00000000-0005-0000-0000-0000C2020000}"/>
    <cellStyle name="20% - Accent5 2 4 3 2" xfId="13401" xr:uid="{9E54433C-53B9-4B4E-BD3F-74541850E5EF}"/>
    <cellStyle name="20% - Accent5 2 4 3 3" xfId="21848" xr:uid="{3DF838B6-2A2C-4230-AE08-7916052F3062}"/>
    <cellStyle name="20% - Accent5 2 4 3 4" xfId="30295" xr:uid="{142D4EF3-2B28-40F9-AFEF-8DC26402BCA0}"/>
    <cellStyle name="20% - Accent5 2 4 4" xfId="9183" xr:uid="{57315F5B-ED2D-405E-A8A1-609396294B20}"/>
    <cellStyle name="20% - Accent5 2 4 5" xfId="17631" xr:uid="{A1456434-61CC-4A03-BDF3-66B89AF0DA45}"/>
    <cellStyle name="20% - Accent5 2 4 6" xfId="26078" xr:uid="{79EC8003-B8F1-449E-8AEF-75B046383836}"/>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C0F27960-6EC4-4F26-A878-55334C7DA9E5}"/>
    <cellStyle name="20% - Accent5 2 5 2 2 3" xfId="24406" xr:uid="{CF38ED12-E651-410C-AE5E-13C023703F9C}"/>
    <cellStyle name="20% - Accent5 2 5 2 2 4" xfId="32853" xr:uid="{A3AD15C9-1B0D-4E06-AC60-14AE125D40D3}"/>
    <cellStyle name="20% - Accent5 2 5 2 3" xfId="11741" xr:uid="{165F509E-7DF4-4C09-A921-FAC59976F73A}"/>
    <cellStyle name="20% - Accent5 2 5 2 4" xfId="20189" xr:uid="{B2DBF4FE-B29D-41EE-B221-F91CC9FCABD6}"/>
    <cellStyle name="20% - Accent5 2 5 2 5" xfId="28636" xr:uid="{BCE65E22-B31D-4490-A406-604F642416F6}"/>
    <cellStyle name="20% - Accent5 2 5 3" xfId="5364" xr:uid="{00000000-0005-0000-0000-0000C6020000}"/>
    <cellStyle name="20% - Accent5 2 5 3 2" xfId="13814" xr:uid="{75B5644B-A5CD-4B0B-A92E-307DD1B4219D}"/>
    <cellStyle name="20% - Accent5 2 5 3 3" xfId="22261" xr:uid="{F46A8D61-6429-4864-A910-7F0211BA0BBB}"/>
    <cellStyle name="20% - Accent5 2 5 3 4" xfId="30708" xr:uid="{CCB9F8BA-D450-4ECD-B281-ED4482ECDC76}"/>
    <cellStyle name="20% - Accent5 2 5 4" xfId="9596" xr:uid="{B4BE914C-2B9C-47D9-8D85-B06A6BD4F93E}"/>
    <cellStyle name="20% - Accent5 2 5 5" xfId="18044" xr:uid="{63F460E5-5AEA-46C3-8516-3F2B02CA3741}"/>
    <cellStyle name="20% - Accent5 2 5 6" xfId="26491" xr:uid="{1DC4F48F-7FDC-40F2-A8DD-66AB5E5D2DC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2D373E54-57B8-4634-9795-86B01EA6B6D3}"/>
    <cellStyle name="20% - Accent5 2 6 2 2 3" xfId="24819" xr:uid="{DDCE854B-9453-4F6D-A3B9-7BDDD2D22E21}"/>
    <cellStyle name="20% - Accent5 2 6 2 2 4" xfId="33266" xr:uid="{0974CA95-6037-4F1E-BFBC-CF9704480706}"/>
    <cellStyle name="20% - Accent5 2 6 2 3" xfId="12154" xr:uid="{DB46B913-2B62-4742-A300-28DDE99B12F7}"/>
    <cellStyle name="20% - Accent5 2 6 2 4" xfId="20602" xr:uid="{91EC2ED0-737D-4063-AF4F-A4D339ED8C7A}"/>
    <cellStyle name="20% - Accent5 2 6 2 5" xfId="29049" xr:uid="{09CC3A43-44AC-41FF-9C7B-CDE958178115}"/>
    <cellStyle name="20% - Accent5 2 6 3" xfId="5777" xr:uid="{00000000-0005-0000-0000-0000CA020000}"/>
    <cellStyle name="20% - Accent5 2 6 3 2" xfId="14227" xr:uid="{BBD2C8D7-B095-4EDD-81A5-FAB1ABA180DA}"/>
    <cellStyle name="20% - Accent5 2 6 3 3" xfId="22674" xr:uid="{9735A620-7880-4BC0-8390-34D7021907E5}"/>
    <cellStyle name="20% - Accent5 2 6 3 4" xfId="31121" xr:uid="{6C35DAB1-D99E-4E12-8C0D-AF38FEC84045}"/>
    <cellStyle name="20% - Accent5 2 6 4" xfId="10009" xr:uid="{5DC58051-F80D-4E54-A580-2883FBA9805C}"/>
    <cellStyle name="20% - Accent5 2 6 5" xfId="18457" xr:uid="{6A258B08-F562-47C0-B3D6-2F96BDE4C481}"/>
    <cellStyle name="20% - Accent5 2 6 6" xfId="26904" xr:uid="{10790C4F-7DFF-4F5B-BFF7-D3AA62452BE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1B944AAC-10D6-4E4B-99BF-809322F1A937}"/>
    <cellStyle name="20% - Accent5 2 7 2 2 3" xfId="25232" xr:uid="{FC1B2F6F-14E3-470B-A85E-FBA550A179AC}"/>
    <cellStyle name="20% - Accent5 2 7 2 2 4" xfId="33679" xr:uid="{5F825B6E-F887-46B3-A432-282645BA7985}"/>
    <cellStyle name="20% - Accent5 2 7 2 3" xfId="12567" xr:uid="{B5780CD0-834A-46DF-B7BD-D136FB06864B}"/>
    <cellStyle name="20% - Accent5 2 7 2 4" xfId="21015" xr:uid="{74CD4EA7-AF6C-4976-BBAF-AF0A4C7DFA6C}"/>
    <cellStyle name="20% - Accent5 2 7 2 5" xfId="29462" xr:uid="{3CFC8344-D7AB-45C3-BBCC-23F8093197D0}"/>
    <cellStyle name="20% - Accent5 2 7 3" xfId="6190" xr:uid="{00000000-0005-0000-0000-0000CE020000}"/>
    <cellStyle name="20% - Accent5 2 7 3 2" xfId="14640" xr:uid="{202A5308-E4D8-44D6-A6CB-893DFF6BBA97}"/>
    <cellStyle name="20% - Accent5 2 7 3 3" xfId="23087" xr:uid="{C24AB71F-D102-462F-A1AA-6D761E3FE305}"/>
    <cellStyle name="20% - Accent5 2 7 3 4" xfId="31534" xr:uid="{1FBCEACB-4B46-4512-9639-A5A01998E7A3}"/>
    <cellStyle name="20% - Accent5 2 7 4" xfId="10422" xr:uid="{5D9A92D4-0CCE-4F0F-B0A7-FD0253667028}"/>
    <cellStyle name="20% - Accent5 2 7 5" xfId="18870" xr:uid="{953CF924-3A55-4A31-A5C4-2017F11C2311}"/>
    <cellStyle name="20% - Accent5 2 7 6" xfId="27317" xr:uid="{46331A84-99F7-468B-8FFD-C605911055F2}"/>
    <cellStyle name="20% - Accent5 2 8" xfId="2297" xr:uid="{00000000-0005-0000-0000-0000CF020000}"/>
    <cellStyle name="20% - Accent5 2 8 2" xfId="6603" xr:uid="{00000000-0005-0000-0000-0000D0020000}"/>
    <cellStyle name="20% - Accent5 2 8 2 2" xfId="15053" xr:uid="{1E425DF9-F76C-411F-B249-C91F0C281939}"/>
    <cellStyle name="20% - Accent5 2 8 2 3" xfId="23500" xr:uid="{7A8ECDEB-D851-4705-BAAD-2DAFA353B53F}"/>
    <cellStyle name="20% - Accent5 2 8 2 4" xfId="31947" xr:uid="{233A92A6-63C3-4562-A1A5-351CBDE0B4DC}"/>
    <cellStyle name="20% - Accent5 2 8 3" xfId="10835" xr:uid="{9F53B76F-1493-4D9C-AE65-B9A72E2D173D}"/>
    <cellStyle name="20% - Accent5 2 8 4" xfId="19283" xr:uid="{C3CAAD12-B0A4-4A72-A499-3DE9733EAC3D}"/>
    <cellStyle name="20% - Accent5 2 8 5" xfId="27730" xr:uid="{7B858514-8808-4463-851D-108E7457A1E6}"/>
    <cellStyle name="20% - Accent5 2 9" xfId="4537" xr:uid="{00000000-0005-0000-0000-0000D1020000}"/>
    <cellStyle name="20% - Accent5 2 9 2" xfId="12987" xr:uid="{CA5C46DF-7646-4FDF-81ED-B6834031CC59}"/>
    <cellStyle name="20% - Accent5 2 9 3" xfId="21434" xr:uid="{A17D2562-D172-4F84-830A-1E2387F00A8E}"/>
    <cellStyle name="20% - Accent5 2 9 4" xfId="29881" xr:uid="{9EF7258A-DFB7-4F9D-99F4-509BDC293E4C}"/>
    <cellStyle name="20% - Accent5 3" xfId="38" xr:uid="{00000000-0005-0000-0000-0000D2020000}"/>
    <cellStyle name="20% - Accent5 3 10" xfId="17221" xr:uid="{5DEAFEA3-447B-468F-B3ED-5EF314B2FD6E}"/>
    <cellStyle name="20% - Accent5 3 11" xfId="25668" xr:uid="{2A223896-D72B-4D83-9093-3DFE929EEF9C}"/>
    <cellStyle name="20% - Accent5 3 2" xfId="39" xr:uid="{00000000-0005-0000-0000-0000D3020000}"/>
    <cellStyle name="20% - Accent5 3 2 10" xfId="25669" xr:uid="{6909CE60-4896-45D0-8F86-E6C5B7843DEE}"/>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0E464B52-C7A8-49CD-A782-CDD2BE472AD6}"/>
    <cellStyle name="20% - Accent5 3 2 2 2 2 3" xfId="23998" xr:uid="{B57F7E0E-3F62-4AC5-955D-10571F96F24F}"/>
    <cellStyle name="20% - Accent5 3 2 2 2 2 4" xfId="32445" xr:uid="{EBF40166-BCE7-4654-B505-46572C7F04C8}"/>
    <cellStyle name="20% - Accent5 3 2 2 2 3" xfId="11333" xr:uid="{7DD16F69-B677-4783-B051-8C1B6FF89295}"/>
    <cellStyle name="20% - Accent5 3 2 2 2 4" xfId="19781" xr:uid="{8ABF42B6-0BA5-4283-9CF7-C4037EC28C1E}"/>
    <cellStyle name="20% - Accent5 3 2 2 2 5" xfId="28228" xr:uid="{9DF8FD7C-FAEE-4371-9F5C-7D3C5D452926}"/>
    <cellStyle name="20% - Accent5 3 2 2 3" xfId="4956" xr:uid="{00000000-0005-0000-0000-0000D7020000}"/>
    <cellStyle name="20% - Accent5 3 2 2 3 2" xfId="13406" xr:uid="{DBF0B150-D985-4953-9FBB-3D2206053FFE}"/>
    <cellStyle name="20% - Accent5 3 2 2 3 3" xfId="21853" xr:uid="{B99A4460-94C2-4B34-85F9-47051F31D46B}"/>
    <cellStyle name="20% - Accent5 3 2 2 3 4" xfId="30300" xr:uid="{EB9D0C3A-EBDC-4D41-94F4-99C5C247506F}"/>
    <cellStyle name="20% - Accent5 3 2 2 4" xfId="9188" xr:uid="{6110A9F9-74EF-4711-8BCE-1202EE6D8F1F}"/>
    <cellStyle name="20% - Accent5 3 2 2 5" xfId="17636" xr:uid="{26098501-1111-4EE4-8D18-B9ECE85795B0}"/>
    <cellStyle name="20% - Accent5 3 2 2 6" xfId="26083" xr:uid="{40753D32-AA41-4D93-87E6-D67C0A1B5BF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C6CA19A7-8D7A-4225-B5FB-F594DE1B316E}"/>
    <cellStyle name="20% - Accent5 3 2 3 2 2 3" xfId="24411" xr:uid="{C0C48745-ABAB-43D0-92D4-9B9372D7C02C}"/>
    <cellStyle name="20% - Accent5 3 2 3 2 2 4" xfId="32858" xr:uid="{4CA87A63-D378-486B-8AE8-D3F784454127}"/>
    <cellStyle name="20% - Accent5 3 2 3 2 3" xfId="11746" xr:uid="{51D2A3DC-23F6-4E75-B4AA-884F5009DB36}"/>
    <cellStyle name="20% - Accent5 3 2 3 2 4" xfId="20194" xr:uid="{546A7540-8489-4165-9803-A1F5D118F27A}"/>
    <cellStyle name="20% - Accent5 3 2 3 2 5" xfId="28641" xr:uid="{DD5F60F5-2C9C-4326-8E06-E13B96881CD8}"/>
    <cellStyle name="20% - Accent5 3 2 3 3" xfId="5369" xr:uid="{00000000-0005-0000-0000-0000DB020000}"/>
    <cellStyle name="20% - Accent5 3 2 3 3 2" xfId="13819" xr:uid="{20E0FF23-1754-49FD-AB61-07F4B69E74EC}"/>
    <cellStyle name="20% - Accent5 3 2 3 3 3" xfId="22266" xr:uid="{EE228424-24EC-4E8A-A4B1-BADE4E8A3F2E}"/>
    <cellStyle name="20% - Accent5 3 2 3 3 4" xfId="30713" xr:uid="{E4EA3676-79E8-4425-B063-527939F7AA3C}"/>
    <cellStyle name="20% - Accent5 3 2 3 4" xfId="9601" xr:uid="{C5021F0D-8039-4036-9301-252C2772E45D}"/>
    <cellStyle name="20% - Accent5 3 2 3 5" xfId="18049" xr:uid="{4A50B156-A42D-4B89-B712-6A0204EE9065}"/>
    <cellStyle name="20% - Accent5 3 2 3 6" xfId="26496" xr:uid="{2498757F-A99B-4F52-B083-F56F495794D4}"/>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36F5075C-0363-42D7-988B-4B315C4939D5}"/>
    <cellStyle name="20% - Accent5 3 2 4 2 2 3" xfId="24824" xr:uid="{61BD1679-10AD-47F3-9E2C-0C81370614F2}"/>
    <cellStyle name="20% - Accent5 3 2 4 2 2 4" xfId="33271" xr:uid="{FEA6AD7B-27C4-4DCD-87A3-D8585E72727B}"/>
    <cellStyle name="20% - Accent5 3 2 4 2 3" xfId="12159" xr:uid="{2BA51F19-2DAA-40D6-A5FA-49403C4FEC36}"/>
    <cellStyle name="20% - Accent5 3 2 4 2 4" xfId="20607" xr:uid="{5C8E044E-48EE-4C55-9BB5-DDDE3D5E6C81}"/>
    <cellStyle name="20% - Accent5 3 2 4 2 5" xfId="29054" xr:uid="{36727F63-5331-4ABA-ADEC-20CA6C796142}"/>
    <cellStyle name="20% - Accent5 3 2 4 3" xfId="5782" xr:uid="{00000000-0005-0000-0000-0000DF020000}"/>
    <cellStyle name="20% - Accent5 3 2 4 3 2" xfId="14232" xr:uid="{6C59C901-D22E-4E1E-B38C-6842936511AA}"/>
    <cellStyle name="20% - Accent5 3 2 4 3 3" xfId="22679" xr:uid="{B8B66354-0FB5-4B53-840B-92ED59C5414A}"/>
    <cellStyle name="20% - Accent5 3 2 4 3 4" xfId="31126" xr:uid="{3D85A80F-8A87-44C7-B304-22498505127F}"/>
    <cellStyle name="20% - Accent5 3 2 4 4" xfId="10014" xr:uid="{2C4895EF-B520-49D8-B09F-3BBED72A9F66}"/>
    <cellStyle name="20% - Accent5 3 2 4 5" xfId="18462" xr:uid="{72C1D66F-6C5D-4EFB-8ACB-F0E0AC4CB094}"/>
    <cellStyle name="20% - Accent5 3 2 4 6" xfId="26909" xr:uid="{71B7BCF2-6747-4A2F-B24C-5838FC50E0D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B3C107FD-48D2-48FA-BDA8-FF12C122B740}"/>
    <cellStyle name="20% - Accent5 3 2 5 2 2 3" xfId="25237" xr:uid="{034CF4D4-5303-417E-9477-E31DE29D8870}"/>
    <cellStyle name="20% - Accent5 3 2 5 2 2 4" xfId="33684" xr:uid="{45EBDB67-05EA-490A-9B79-9BCADEADA1B1}"/>
    <cellStyle name="20% - Accent5 3 2 5 2 3" xfId="12572" xr:uid="{533656FC-A2F7-443D-8AAA-746008294141}"/>
    <cellStyle name="20% - Accent5 3 2 5 2 4" xfId="21020" xr:uid="{46C12932-2578-4FD6-94CB-117C98039ECE}"/>
    <cellStyle name="20% - Accent5 3 2 5 2 5" xfId="29467" xr:uid="{24B0CF3B-6ADD-4CAA-B934-56614B995771}"/>
    <cellStyle name="20% - Accent5 3 2 5 3" xfId="6195" xr:uid="{00000000-0005-0000-0000-0000E3020000}"/>
    <cellStyle name="20% - Accent5 3 2 5 3 2" xfId="14645" xr:uid="{2C38668F-4542-40B7-A19A-58754C4009D1}"/>
    <cellStyle name="20% - Accent5 3 2 5 3 3" xfId="23092" xr:uid="{89944F75-BDEB-4110-993F-420BDE4BAC14}"/>
    <cellStyle name="20% - Accent5 3 2 5 3 4" xfId="31539" xr:uid="{570D4743-12EF-4642-B023-044B48649EEC}"/>
    <cellStyle name="20% - Accent5 3 2 5 4" xfId="10427" xr:uid="{884DDEA2-BD83-4A33-AD84-787B02253C40}"/>
    <cellStyle name="20% - Accent5 3 2 5 5" xfId="18875" xr:uid="{AC253495-1F15-49B4-894A-3AF8B176205D}"/>
    <cellStyle name="20% - Accent5 3 2 5 6" xfId="27322" xr:uid="{3E30E544-FA5A-412C-8920-790F48FBD937}"/>
    <cellStyle name="20% - Accent5 3 2 6" xfId="2302" xr:uid="{00000000-0005-0000-0000-0000E4020000}"/>
    <cellStyle name="20% - Accent5 3 2 6 2" xfId="6608" xr:uid="{00000000-0005-0000-0000-0000E5020000}"/>
    <cellStyle name="20% - Accent5 3 2 6 2 2" xfId="15058" xr:uid="{7B00AC39-BF68-4AC8-ACC5-8E39C92572A1}"/>
    <cellStyle name="20% - Accent5 3 2 6 2 3" xfId="23505" xr:uid="{FFA90170-C189-483A-BCBB-8D0D0B60139B}"/>
    <cellStyle name="20% - Accent5 3 2 6 2 4" xfId="31952" xr:uid="{8095F33B-79DA-4CEB-91DA-472DAD19623B}"/>
    <cellStyle name="20% - Accent5 3 2 6 3" xfId="10840" xr:uid="{A945A3A4-975A-4F8E-965F-2322029EB35D}"/>
    <cellStyle name="20% - Accent5 3 2 6 4" xfId="19288" xr:uid="{089909D7-9F47-4B10-8E0B-C2F9DA0039F1}"/>
    <cellStyle name="20% - Accent5 3 2 6 5" xfId="27735" xr:uid="{E87BE2F0-2A8F-49F1-955A-09DE460791D3}"/>
    <cellStyle name="20% - Accent5 3 2 7" xfId="4542" xr:uid="{00000000-0005-0000-0000-0000E6020000}"/>
    <cellStyle name="20% - Accent5 3 2 7 2" xfId="12992" xr:uid="{4009F095-731A-4BBD-A114-8575A93853C4}"/>
    <cellStyle name="20% - Accent5 3 2 7 3" xfId="21439" xr:uid="{263C578C-6F94-46E9-8DF5-A18DD05022BE}"/>
    <cellStyle name="20% - Accent5 3 2 7 4" xfId="29886" xr:uid="{57CB82E8-27E3-4222-A4C3-2010AEEC47CF}"/>
    <cellStyle name="20% - Accent5 3 2 8" xfId="8774" xr:uid="{D9899187-B2F9-48D6-B917-C6802EFFC2D2}"/>
    <cellStyle name="20% - Accent5 3 2 9" xfId="17222" xr:uid="{53B021A2-8EE7-4E79-B4D7-63BDD794AC1F}"/>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52808BAF-9BF0-4C0E-ABFE-3BDAE8B19C19}"/>
    <cellStyle name="20% - Accent5 3 3 2 2 3" xfId="23997" xr:uid="{85D9B3CE-5AD6-41FD-AC56-DF5B053BEDEC}"/>
    <cellStyle name="20% - Accent5 3 3 2 2 4" xfId="32444" xr:uid="{BEB50D04-C513-4471-8354-BC5D23C80905}"/>
    <cellStyle name="20% - Accent5 3 3 2 3" xfId="11332" xr:uid="{F84D5852-3CFA-4CE6-967D-B261C9040A68}"/>
    <cellStyle name="20% - Accent5 3 3 2 4" xfId="19780" xr:uid="{8509F7A1-D202-47E2-853D-DFF6DC2E4986}"/>
    <cellStyle name="20% - Accent5 3 3 2 5" xfId="28227" xr:uid="{8AEBAA89-83EF-4A54-BE60-2EA2C635985C}"/>
    <cellStyle name="20% - Accent5 3 3 3" xfId="4955" xr:uid="{00000000-0005-0000-0000-0000EA020000}"/>
    <cellStyle name="20% - Accent5 3 3 3 2" xfId="13405" xr:uid="{921F7F0E-236A-4952-BDCE-166491948F2E}"/>
    <cellStyle name="20% - Accent5 3 3 3 3" xfId="21852" xr:uid="{3CA1C164-C62E-425B-AFAF-2344E8D452B6}"/>
    <cellStyle name="20% - Accent5 3 3 3 4" xfId="30299" xr:uid="{FED93893-1BCA-4AA3-9FCC-E94B31969735}"/>
    <cellStyle name="20% - Accent5 3 3 4" xfId="9187" xr:uid="{5C757885-87C9-4ABB-94A3-EAFE589EDADB}"/>
    <cellStyle name="20% - Accent5 3 3 5" xfId="17635" xr:uid="{FDBE9AC6-E497-4BB5-94CE-D860E6588DB5}"/>
    <cellStyle name="20% - Accent5 3 3 6" xfId="26082" xr:uid="{6566229C-26C0-47ED-8585-E90285BDE02F}"/>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102D0FBD-3865-4B86-98A6-7695D4AAB1CA}"/>
    <cellStyle name="20% - Accent5 3 4 2 2 3" xfId="24410" xr:uid="{86BA00E4-E1F1-42E7-A24E-D05456321640}"/>
    <cellStyle name="20% - Accent5 3 4 2 2 4" xfId="32857" xr:uid="{C91C4436-1338-420A-9C3B-8BD8EF0185F6}"/>
    <cellStyle name="20% - Accent5 3 4 2 3" xfId="11745" xr:uid="{F1F46A55-B187-499F-AA3D-C87086552796}"/>
    <cellStyle name="20% - Accent5 3 4 2 4" xfId="20193" xr:uid="{4930ABEB-22EA-4EEE-AF32-F0569455E276}"/>
    <cellStyle name="20% - Accent5 3 4 2 5" xfId="28640" xr:uid="{75055056-5674-4C46-A27C-ABE7B143D4A9}"/>
    <cellStyle name="20% - Accent5 3 4 3" xfId="5368" xr:uid="{00000000-0005-0000-0000-0000EE020000}"/>
    <cellStyle name="20% - Accent5 3 4 3 2" xfId="13818" xr:uid="{1EDC3D17-0BE0-4D04-B715-06300C6C2A62}"/>
    <cellStyle name="20% - Accent5 3 4 3 3" xfId="22265" xr:uid="{E685D8BB-43DD-487A-A71D-88DA451F1AFC}"/>
    <cellStyle name="20% - Accent5 3 4 3 4" xfId="30712" xr:uid="{DC73299A-A7F7-4AB0-8D80-CDDE623C78DA}"/>
    <cellStyle name="20% - Accent5 3 4 4" xfId="9600" xr:uid="{CDE599D7-EBE6-4AF9-A300-3FDBEF2D1240}"/>
    <cellStyle name="20% - Accent5 3 4 5" xfId="18048" xr:uid="{3175361C-E779-46B6-82B9-DF4AAFBA20EC}"/>
    <cellStyle name="20% - Accent5 3 4 6" xfId="26495" xr:uid="{0F20F9B2-8090-4461-8050-0370CED4A094}"/>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C1A368CA-AC0E-4DFE-A913-13D4208B9257}"/>
    <cellStyle name="20% - Accent5 3 5 2 2 3" xfId="24823" xr:uid="{4751D3D8-7C28-43B8-8929-8F2E36DE39C9}"/>
    <cellStyle name="20% - Accent5 3 5 2 2 4" xfId="33270" xr:uid="{E6174BD5-45EB-46B0-A013-F72E30C1AFE4}"/>
    <cellStyle name="20% - Accent5 3 5 2 3" xfId="12158" xr:uid="{20677570-CFDD-426A-A49A-B28D1A29F61C}"/>
    <cellStyle name="20% - Accent5 3 5 2 4" xfId="20606" xr:uid="{06EDB34F-2E4B-4048-BEA3-3E170D3DF4C1}"/>
    <cellStyle name="20% - Accent5 3 5 2 5" xfId="29053" xr:uid="{30E2C9F6-5CEE-4046-8E49-1829F743CAF1}"/>
    <cellStyle name="20% - Accent5 3 5 3" xfId="5781" xr:uid="{00000000-0005-0000-0000-0000F2020000}"/>
    <cellStyle name="20% - Accent5 3 5 3 2" xfId="14231" xr:uid="{8E416714-1728-4EE3-A58C-613EFB3C7492}"/>
    <cellStyle name="20% - Accent5 3 5 3 3" xfId="22678" xr:uid="{BCA0DB93-0E48-4E15-8A94-5A8342691400}"/>
    <cellStyle name="20% - Accent5 3 5 3 4" xfId="31125" xr:uid="{8466B66E-7222-4367-A68D-2F6F1CE9D4B8}"/>
    <cellStyle name="20% - Accent5 3 5 4" xfId="10013" xr:uid="{E49B2FBE-C6EA-48BE-857A-BC5ED7CF50E5}"/>
    <cellStyle name="20% - Accent5 3 5 5" xfId="18461" xr:uid="{57E6C156-C979-4352-84A0-65C85E50AAF9}"/>
    <cellStyle name="20% - Accent5 3 5 6" xfId="26908" xr:uid="{D4F8493E-76AB-4839-AA55-1B5E6931AF38}"/>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7CFD8602-36CD-495E-9191-89280EF54896}"/>
    <cellStyle name="20% - Accent5 3 6 2 2 3" xfId="25236" xr:uid="{9C722306-1638-441D-81B3-F394BE857682}"/>
    <cellStyle name="20% - Accent5 3 6 2 2 4" xfId="33683" xr:uid="{3301AA30-277E-4EEC-AB21-FCE4943B129C}"/>
    <cellStyle name="20% - Accent5 3 6 2 3" xfId="12571" xr:uid="{E5AA05FE-CC76-4F18-9E0C-E52B83538167}"/>
    <cellStyle name="20% - Accent5 3 6 2 4" xfId="21019" xr:uid="{F1B31E8E-0FE2-4EAF-BD4E-FE27FCD51EFE}"/>
    <cellStyle name="20% - Accent5 3 6 2 5" xfId="29466" xr:uid="{34E0454B-2548-4574-B556-EB6343C18C96}"/>
    <cellStyle name="20% - Accent5 3 6 3" xfId="6194" xr:uid="{00000000-0005-0000-0000-0000F6020000}"/>
    <cellStyle name="20% - Accent5 3 6 3 2" xfId="14644" xr:uid="{FBF93868-3BFA-4204-A09B-4850546C064D}"/>
    <cellStyle name="20% - Accent5 3 6 3 3" xfId="23091" xr:uid="{B5DC451D-D43C-45FC-A321-A059E5FAAA36}"/>
    <cellStyle name="20% - Accent5 3 6 3 4" xfId="31538" xr:uid="{385A5C8F-8448-4866-810F-2F90CE401C3A}"/>
    <cellStyle name="20% - Accent5 3 6 4" xfId="10426" xr:uid="{41245044-F119-47B7-B058-2E3526F18404}"/>
    <cellStyle name="20% - Accent5 3 6 5" xfId="18874" xr:uid="{88D8483E-C532-4743-91FA-78CFEBD71FFD}"/>
    <cellStyle name="20% - Accent5 3 6 6" xfId="27321" xr:uid="{1C8A7511-8770-48A6-907A-AFD5837B28A3}"/>
    <cellStyle name="20% - Accent5 3 7" xfId="2301" xr:uid="{00000000-0005-0000-0000-0000F7020000}"/>
    <cellStyle name="20% - Accent5 3 7 2" xfId="6607" xr:uid="{00000000-0005-0000-0000-0000F8020000}"/>
    <cellStyle name="20% - Accent5 3 7 2 2" xfId="15057" xr:uid="{9BFD5486-B40D-4159-9A68-B7F455609873}"/>
    <cellStyle name="20% - Accent5 3 7 2 3" xfId="23504" xr:uid="{A361ACD6-2DB7-418D-991B-72BBC5DB7076}"/>
    <cellStyle name="20% - Accent5 3 7 2 4" xfId="31951" xr:uid="{E8E02327-1840-446D-8B41-C61E1970D05C}"/>
    <cellStyle name="20% - Accent5 3 7 3" xfId="10839" xr:uid="{0475F965-206D-48D2-8AEA-F654945BDEBD}"/>
    <cellStyle name="20% - Accent5 3 7 4" xfId="19287" xr:uid="{4B3180C2-24D1-4499-B0DA-D93174BBA8D0}"/>
    <cellStyle name="20% - Accent5 3 7 5" xfId="27734" xr:uid="{9EE7FF42-EA43-4D01-A1A6-322401D5979E}"/>
    <cellStyle name="20% - Accent5 3 8" xfId="4541" xr:uid="{00000000-0005-0000-0000-0000F9020000}"/>
    <cellStyle name="20% - Accent5 3 8 2" xfId="12991" xr:uid="{F8744581-2B0B-4163-AE9C-C460F61F6A89}"/>
    <cellStyle name="20% - Accent5 3 8 3" xfId="21438" xr:uid="{0B5688AB-935C-4BB7-92BC-A9AA0E5AC843}"/>
    <cellStyle name="20% - Accent5 3 8 4" xfId="29885" xr:uid="{6782947F-297D-4180-99CC-8C60679C568F}"/>
    <cellStyle name="20% - Accent5 3 9" xfId="8773" xr:uid="{F15BCF85-DE8F-4EF7-B2DB-7272983CAA59}"/>
    <cellStyle name="20% - Accent5 4" xfId="40" xr:uid="{00000000-0005-0000-0000-0000FA020000}"/>
    <cellStyle name="20% - Accent5 4 10" xfId="25670" xr:uid="{EF2E1C74-C4B7-49F3-ADE4-D7A8AC4EB655}"/>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C4BDA513-A117-4D7A-A8CB-213FBD895063}"/>
    <cellStyle name="20% - Accent5 4 2 2 2 3" xfId="23999" xr:uid="{DC8B6090-1646-4188-8ACD-B345DA5C4371}"/>
    <cellStyle name="20% - Accent5 4 2 2 2 4" xfId="32446" xr:uid="{0BE7645A-78C6-447D-899C-E1408EBC1992}"/>
    <cellStyle name="20% - Accent5 4 2 2 3" xfId="11334" xr:uid="{933C547B-27E9-4B19-8743-58D1EB9AD07B}"/>
    <cellStyle name="20% - Accent5 4 2 2 4" xfId="19782" xr:uid="{E7B56BB4-0506-42C0-8F07-6385F6FA4ACA}"/>
    <cellStyle name="20% - Accent5 4 2 2 5" xfId="28229" xr:uid="{41C2A7B9-88FF-4E3A-BEDD-A39394DE0004}"/>
    <cellStyle name="20% - Accent5 4 2 3" xfId="4957" xr:uid="{00000000-0005-0000-0000-0000FE020000}"/>
    <cellStyle name="20% - Accent5 4 2 3 2" xfId="13407" xr:uid="{05AC9AD0-4588-47EE-8E49-1740CBA09B3C}"/>
    <cellStyle name="20% - Accent5 4 2 3 3" xfId="21854" xr:uid="{4AB54594-E6C2-455B-B1A9-ABFAEC5931E2}"/>
    <cellStyle name="20% - Accent5 4 2 3 4" xfId="30301" xr:uid="{2AD3B6F5-CA21-405C-8D86-8CD31961480A}"/>
    <cellStyle name="20% - Accent5 4 2 4" xfId="9189" xr:uid="{EA2FC930-1BB2-4C80-8DD4-7084C275EA79}"/>
    <cellStyle name="20% - Accent5 4 2 5" xfId="17637" xr:uid="{E6E54D99-B480-4180-A06A-BA1BDFE8A4B4}"/>
    <cellStyle name="20% - Accent5 4 2 6" xfId="26084" xr:uid="{3C3D08B9-718D-4B5B-AA02-261820BF43E3}"/>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828798EE-C764-43AB-B4AE-3A427B57EB0B}"/>
    <cellStyle name="20% - Accent5 4 3 2 2 3" xfId="24412" xr:uid="{315F416B-00A5-48B7-92C6-168051E75B6E}"/>
    <cellStyle name="20% - Accent5 4 3 2 2 4" xfId="32859" xr:uid="{F2115EBA-EF5C-4204-9CB5-7629794560E1}"/>
    <cellStyle name="20% - Accent5 4 3 2 3" xfId="11747" xr:uid="{73B5A0B8-C3B9-4093-ABCE-15FE449D69FE}"/>
    <cellStyle name="20% - Accent5 4 3 2 4" xfId="20195" xr:uid="{0018F9C0-105E-4D05-8BD8-D44520E6AC81}"/>
    <cellStyle name="20% - Accent5 4 3 2 5" xfId="28642" xr:uid="{0AA155EF-2B22-4223-8C06-4EAF84B7986D}"/>
    <cellStyle name="20% - Accent5 4 3 3" xfId="5370" xr:uid="{00000000-0005-0000-0000-000002030000}"/>
    <cellStyle name="20% - Accent5 4 3 3 2" xfId="13820" xr:uid="{BEC0773B-A94C-4C59-AD08-AC3168426ECE}"/>
    <cellStyle name="20% - Accent5 4 3 3 3" xfId="22267" xr:uid="{79A0A86C-4287-4C37-AD25-8B3B4194ED76}"/>
    <cellStyle name="20% - Accent5 4 3 3 4" xfId="30714" xr:uid="{9034A2B0-B412-48B2-8AE6-7AE0DD610F98}"/>
    <cellStyle name="20% - Accent5 4 3 4" xfId="9602" xr:uid="{D0D51D35-4300-422C-942B-E1E20A049ACD}"/>
    <cellStyle name="20% - Accent5 4 3 5" xfId="18050" xr:uid="{6953C6CC-8B58-450F-A563-183CC40D48D0}"/>
    <cellStyle name="20% - Accent5 4 3 6" xfId="26497" xr:uid="{302B5B5C-7658-406D-B5F3-E225823B5FFF}"/>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9E749925-EC33-4E79-95B3-FB4D5CEEF5D6}"/>
    <cellStyle name="20% - Accent5 4 4 2 2 3" xfId="24825" xr:uid="{D3BC436F-C107-425D-8963-D7F2CF482C38}"/>
    <cellStyle name="20% - Accent5 4 4 2 2 4" xfId="33272" xr:uid="{22AE47C3-6EB1-447A-ACE5-20D7B4CD478C}"/>
    <cellStyle name="20% - Accent5 4 4 2 3" xfId="12160" xr:uid="{EC50B761-E414-4A47-A22D-01F737338D02}"/>
    <cellStyle name="20% - Accent5 4 4 2 4" xfId="20608" xr:uid="{B149AF51-C5B4-4507-B23D-37F7E15E6F1E}"/>
    <cellStyle name="20% - Accent5 4 4 2 5" xfId="29055" xr:uid="{F5F8F61E-743D-49D2-B5D4-ED7799B77AC6}"/>
    <cellStyle name="20% - Accent5 4 4 3" xfId="5783" xr:uid="{00000000-0005-0000-0000-000006030000}"/>
    <cellStyle name="20% - Accent5 4 4 3 2" xfId="14233" xr:uid="{E8FAF484-6C8F-4D47-8A50-C68AFDD6EEA2}"/>
    <cellStyle name="20% - Accent5 4 4 3 3" xfId="22680" xr:uid="{45696990-4FFC-42A3-BBFD-CB80DCB8A72F}"/>
    <cellStyle name="20% - Accent5 4 4 3 4" xfId="31127" xr:uid="{3B3023DF-6BB6-4E8E-809E-B6A9FC7726BD}"/>
    <cellStyle name="20% - Accent5 4 4 4" xfId="10015" xr:uid="{A6A3318F-FF91-46EC-8041-48DF9395C001}"/>
    <cellStyle name="20% - Accent5 4 4 5" xfId="18463" xr:uid="{9EE0D7CC-64D4-4E50-9B86-0292E57A421E}"/>
    <cellStyle name="20% - Accent5 4 4 6" xfId="26910" xr:uid="{9D7A827A-B009-4C49-82C7-4999FDF36D81}"/>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0282B6F2-823C-490C-95D7-80B585E9319F}"/>
    <cellStyle name="20% - Accent5 4 5 2 2 3" xfId="25238" xr:uid="{79E8A753-B326-43BC-BF2E-DB6B44345C89}"/>
    <cellStyle name="20% - Accent5 4 5 2 2 4" xfId="33685" xr:uid="{C50B9CD6-EDE0-4E7B-8AB0-C9C6E51B97EC}"/>
    <cellStyle name="20% - Accent5 4 5 2 3" xfId="12573" xr:uid="{450EBA9B-58BE-4732-A27D-4AD5C1876B6F}"/>
    <cellStyle name="20% - Accent5 4 5 2 4" xfId="21021" xr:uid="{3E82DB68-338E-4611-A97D-8ED7397D77A6}"/>
    <cellStyle name="20% - Accent5 4 5 2 5" xfId="29468" xr:uid="{17F29E56-4EFF-47BA-A2C0-AADC0DE3C451}"/>
    <cellStyle name="20% - Accent5 4 5 3" xfId="6196" xr:uid="{00000000-0005-0000-0000-00000A030000}"/>
    <cellStyle name="20% - Accent5 4 5 3 2" xfId="14646" xr:uid="{9381AC71-B78D-4F00-AE01-1627A64714FC}"/>
    <cellStyle name="20% - Accent5 4 5 3 3" xfId="23093" xr:uid="{2F2CD9E2-F034-4845-9E0B-71221F790B30}"/>
    <cellStyle name="20% - Accent5 4 5 3 4" xfId="31540" xr:uid="{B8895C79-0957-4C75-8EEF-59401030FE0A}"/>
    <cellStyle name="20% - Accent5 4 5 4" xfId="10428" xr:uid="{1BAE4422-6A6A-42B2-94E3-6DF0C2343A42}"/>
    <cellStyle name="20% - Accent5 4 5 5" xfId="18876" xr:uid="{59024E4F-E074-4DD3-815B-D296BC812385}"/>
    <cellStyle name="20% - Accent5 4 5 6" xfId="27323" xr:uid="{886BD844-5BB7-4818-A477-0B87B094538B}"/>
    <cellStyle name="20% - Accent5 4 6" xfId="2303" xr:uid="{00000000-0005-0000-0000-00000B030000}"/>
    <cellStyle name="20% - Accent5 4 6 2" xfId="6609" xr:uid="{00000000-0005-0000-0000-00000C030000}"/>
    <cellStyle name="20% - Accent5 4 6 2 2" xfId="15059" xr:uid="{96FC6C0B-6E5A-46CB-8F06-BCB4DC54C863}"/>
    <cellStyle name="20% - Accent5 4 6 2 3" xfId="23506" xr:uid="{A04E19B0-F311-4DD7-BC5F-E8B4DE98A870}"/>
    <cellStyle name="20% - Accent5 4 6 2 4" xfId="31953" xr:uid="{1E241CE7-09E7-4B18-BAD6-9905CC8F3BAD}"/>
    <cellStyle name="20% - Accent5 4 6 3" xfId="10841" xr:uid="{4D1B72DD-D2B8-415E-875E-561A6E5C9851}"/>
    <cellStyle name="20% - Accent5 4 6 4" xfId="19289" xr:uid="{24EB57EA-5F3E-4B5A-9F60-A3074BBA8CF4}"/>
    <cellStyle name="20% - Accent5 4 6 5" xfId="27736" xr:uid="{95855121-6F22-4317-9594-23C7EB414BA8}"/>
    <cellStyle name="20% - Accent5 4 7" xfId="4543" xr:uid="{00000000-0005-0000-0000-00000D030000}"/>
    <cellStyle name="20% - Accent5 4 7 2" xfId="12993" xr:uid="{9B5B6BF3-C0F1-4480-A7C4-9DC52CE2224A}"/>
    <cellStyle name="20% - Accent5 4 7 3" xfId="21440" xr:uid="{12C515D1-1AC8-4B43-A3E9-9B4E1D135DEA}"/>
    <cellStyle name="20% - Accent5 4 7 4" xfId="29887" xr:uid="{A56153DA-ADD9-4655-8470-77B975188EAA}"/>
    <cellStyle name="20% - Accent5 4 8" xfId="8775" xr:uid="{9D3477A4-EAB5-432A-BED4-CE56CCCE8897}"/>
    <cellStyle name="20% - Accent5 4 9" xfId="17223" xr:uid="{8B86B520-E424-486C-93F5-1D79A637DB32}"/>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AABD48BD-8F76-4385-91E4-3326CC4FF10A}"/>
    <cellStyle name="20% - Accent5 5 2 2 3" xfId="23992" xr:uid="{FF08EE78-32C1-4D38-B0E8-74416D1D0E6D}"/>
    <cellStyle name="20% - Accent5 5 2 2 4" xfId="32439" xr:uid="{50435D53-8631-4223-8CFF-4DCC1D880C76}"/>
    <cellStyle name="20% - Accent5 5 2 3" xfId="11327" xr:uid="{483B69EB-27CB-4E10-A732-3D4A116DDD70}"/>
    <cellStyle name="20% - Accent5 5 2 4" xfId="19775" xr:uid="{598D9F81-0A3F-48A2-BE09-45593F8F8567}"/>
    <cellStyle name="20% - Accent5 5 2 5" xfId="28222" xr:uid="{D8732F54-6C6A-42E3-AA0C-44E908627655}"/>
    <cellStyle name="20% - Accent5 5 3" xfId="4950" xr:uid="{00000000-0005-0000-0000-000011030000}"/>
    <cellStyle name="20% - Accent5 5 3 2" xfId="13400" xr:uid="{685A5343-9A64-43BD-BA25-489199B090D8}"/>
    <cellStyle name="20% - Accent5 5 3 3" xfId="21847" xr:uid="{35DC03B6-18C7-4279-8863-E0E45A916080}"/>
    <cellStyle name="20% - Accent5 5 3 4" xfId="30294" xr:uid="{141E2314-54E0-44D7-92FC-3B681D2A46EB}"/>
    <cellStyle name="20% - Accent5 5 4" xfId="9182" xr:uid="{1BFA9D76-C44D-4226-91BC-9AE35964CB76}"/>
    <cellStyle name="20% - Accent5 5 5" xfId="17630" xr:uid="{C11BD13E-1B28-4138-90C3-179E888C70AA}"/>
    <cellStyle name="20% - Accent5 5 6" xfId="26077" xr:uid="{72A3103D-4EA4-4383-966F-6B85BD3FE631}"/>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8DC038EB-9641-463A-9717-BBD1B271FF8D}"/>
    <cellStyle name="20% - Accent5 6 2 2 3" xfId="24405" xr:uid="{36509473-5638-4102-8D90-8DCBDD8907ED}"/>
    <cellStyle name="20% - Accent5 6 2 2 4" xfId="32852" xr:uid="{3F17D6F7-4627-4914-BDB3-5E53271CFF46}"/>
    <cellStyle name="20% - Accent5 6 2 3" xfId="11740" xr:uid="{E2D86338-9863-4E0C-8E87-748036A97FAD}"/>
    <cellStyle name="20% - Accent5 6 2 4" xfId="20188" xr:uid="{ABFB0F4C-97AC-4DE3-B771-13659EBD504A}"/>
    <cellStyle name="20% - Accent5 6 2 5" xfId="28635" xr:uid="{B426A16B-6A7D-474A-9414-76CA5058A08A}"/>
    <cellStyle name="20% - Accent5 6 3" xfId="5363" xr:uid="{00000000-0005-0000-0000-000015030000}"/>
    <cellStyle name="20% - Accent5 6 3 2" xfId="13813" xr:uid="{A1E09E61-B848-47CA-8D5D-680FFE26638C}"/>
    <cellStyle name="20% - Accent5 6 3 3" xfId="22260" xr:uid="{BD902215-36E0-43F9-BDB4-BE284040C33D}"/>
    <cellStyle name="20% - Accent5 6 3 4" xfId="30707" xr:uid="{7458E9CC-743A-4AFE-B958-FA2C952025E4}"/>
    <cellStyle name="20% - Accent5 6 4" xfId="9595" xr:uid="{14E75FFB-2D2D-4D5A-ADD7-B5575AE2B11D}"/>
    <cellStyle name="20% - Accent5 6 5" xfId="18043" xr:uid="{2173C85E-767F-473C-A103-19B72E3AA93A}"/>
    <cellStyle name="20% - Accent5 6 6" xfId="26490" xr:uid="{8AA2DDB2-8A34-4571-B02D-95A9E3C749D9}"/>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B81A6411-AAC7-4543-BF29-00933F982C87}"/>
    <cellStyle name="20% - Accent5 7 2 2 3" xfId="24818" xr:uid="{8932EB72-67A4-4B66-A77D-2CCDFF41B423}"/>
    <cellStyle name="20% - Accent5 7 2 2 4" xfId="33265" xr:uid="{0186F3FA-7370-4330-89FD-9F85FB039C34}"/>
    <cellStyle name="20% - Accent5 7 2 3" xfId="12153" xr:uid="{52A071B6-0FA8-421B-B0D5-97486AFEBCD5}"/>
    <cellStyle name="20% - Accent5 7 2 4" xfId="20601" xr:uid="{4E9A3067-852E-4170-BA6C-FF1C1EA11AF4}"/>
    <cellStyle name="20% - Accent5 7 2 5" xfId="29048" xr:uid="{887A93CF-5AE0-4D58-94E3-43CC1D06C28F}"/>
    <cellStyle name="20% - Accent5 7 3" xfId="5776" xr:uid="{00000000-0005-0000-0000-000019030000}"/>
    <cellStyle name="20% - Accent5 7 3 2" xfId="14226" xr:uid="{DADF5285-0E61-48A4-B785-E098D181D649}"/>
    <cellStyle name="20% - Accent5 7 3 3" xfId="22673" xr:uid="{77FF2D74-D949-49D7-92FA-D0C0648EE339}"/>
    <cellStyle name="20% - Accent5 7 3 4" xfId="31120" xr:uid="{6649D97E-7BF5-4C11-8094-26D4586D8187}"/>
    <cellStyle name="20% - Accent5 7 4" xfId="10008" xr:uid="{2F1D209C-944B-491B-9BBB-C0B0B8E08CEC}"/>
    <cellStyle name="20% - Accent5 7 5" xfId="18456" xr:uid="{0E8DF226-50C5-4D2B-A31C-CE30065F654D}"/>
    <cellStyle name="20% - Accent5 7 6" xfId="26903" xr:uid="{0757E918-31F2-4583-B4E1-C5BD232D0D0D}"/>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92AC7D5F-284C-43A9-87A0-CFDB3E8FEB22}"/>
    <cellStyle name="20% - Accent5 8 2 2 3" xfId="25231" xr:uid="{6E330780-B302-40F9-8428-5C8CACFE2052}"/>
    <cellStyle name="20% - Accent5 8 2 2 4" xfId="33678" xr:uid="{4D061BA7-E22D-4262-AAB2-E4D92C65609E}"/>
    <cellStyle name="20% - Accent5 8 2 3" xfId="12566" xr:uid="{1BA8B568-2D4D-4C85-9926-280326B82ED8}"/>
    <cellStyle name="20% - Accent5 8 2 4" xfId="21014" xr:uid="{EBB67FA9-00F7-4839-ACF4-34417153679B}"/>
    <cellStyle name="20% - Accent5 8 2 5" xfId="29461" xr:uid="{19126953-D898-4EA6-A59E-C325D02704BE}"/>
    <cellStyle name="20% - Accent5 8 3" xfId="6189" xr:uid="{00000000-0005-0000-0000-00001D030000}"/>
    <cellStyle name="20% - Accent5 8 3 2" xfId="14639" xr:uid="{F787C3FE-0FF6-48DB-B5CB-CC8CBAAAF216}"/>
    <cellStyle name="20% - Accent5 8 3 3" xfId="23086" xr:uid="{C0D82574-6B45-44BA-95E9-492B437B69CC}"/>
    <cellStyle name="20% - Accent5 8 3 4" xfId="31533" xr:uid="{2AEDF136-9900-4F83-8C0F-2D0FD8C409F2}"/>
    <cellStyle name="20% - Accent5 8 4" xfId="10421" xr:uid="{B3674F28-3638-459C-8336-92370DF78A48}"/>
    <cellStyle name="20% - Accent5 8 5" xfId="18869" xr:uid="{C62C15E4-F4BB-4967-B8F8-9C62E2E8A816}"/>
    <cellStyle name="20% - Accent5 8 6" xfId="27316" xr:uid="{56213EE5-4883-42DA-B7E5-B52B3ABAF03D}"/>
    <cellStyle name="20% - Accent5 9" xfId="2296" xr:uid="{00000000-0005-0000-0000-00001E030000}"/>
    <cellStyle name="20% - Accent5 9 2" xfId="6602" xr:uid="{00000000-0005-0000-0000-00001F030000}"/>
    <cellStyle name="20% - Accent5 9 2 2" xfId="15052" xr:uid="{36A3451A-0A8D-4E3D-9CDD-EDCEAD9137A0}"/>
    <cellStyle name="20% - Accent5 9 2 3" xfId="23499" xr:uid="{95FC76C4-1AD4-4D1E-B9B6-BCDB2652C97E}"/>
    <cellStyle name="20% - Accent5 9 2 4" xfId="31946" xr:uid="{4A1545F6-6A51-4075-89A1-54142E5F8C1E}"/>
    <cellStyle name="20% - Accent5 9 3" xfId="10834" xr:uid="{8FC5C563-5B10-499E-90B8-61DC36390F75}"/>
    <cellStyle name="20% - Accent5 9 4" xfId="19282" xr:uid="{8BE7BE1B-54F7-4D40-9BBC-30B4C4FF32F8}"/>
    <cellStyle name="20% - Accent5 9 5" xfId="27729" xr:uid="{D60AE918-784A-4EFC-A836-FAEDA435B68F}"/>
    <cellStyle name="20% - Accent6" xfId="41" builtinId="50" customBuiltin="1"/>
    <cellStyle name="20% - Accent6 10" xfId="4544" xr:uid="{00000000-0005-0000-0000-000021030000}"/>
    <cellStyle name="20% - Accent6 10 2" xfId="12994" xr:uid="{7E1D325E-3284-4189-AF6B-BE95924C63C9}"/>
    <cellStyle name="20% - Accent6 10 3" xfId="21441" xr:uid="{897F4841-B68F-486B-972E-869AC46FAEA0}"/>
    <cellStyle name="20% - Accent6 10 4" xfId="29888" xr:uid="{25E92699-ACAE-4915-A2AC-007A49ABF233}"/>
    <cellStyle name="20% - Accent6 11" xfId="8776" xr:uid="{94117C3A-F67E-41D9-9301-BFF2BB8F0B74}"/>
    <cellStyle name="20% - Accent6 12" xfId="17224" xr:uid="{CD190604-D79B-400A-9406-37E12C333DCF}"/>
    <cellStyle name="20% - Accent6 13" xfId="25671" xr:uid="{3CC71ABF-903C-4451-8D48-E0EAF4524CAC}"/>
    <cellStyle name="20% - Accent6 2" xfId="42" xr:uid="{00000000-0005-0000-0000-000022030000}"/>
    <cellStyle name="20% - Accent6 2 10" xfId="8777" xr:uid="{149399BC-B0E4-496F-AD8B-48127A40D073}"/>
    <cellStyle name="20% - Accent6 2 11" xfId="17225" xr:uid="{D7820AC2-59C7-49E2-A91E-6F87A332CD67}"/>
    <cellStyle name="20% - Accent6 2 12" xfId="25672" xr:uid="{E6C7B540-6ED6-4F40-B5B0-1283DFC427CF}"/>
    <cellStyle name="20% - Accent6 2 2" xfId="43" xr:uid="{00000000-0005-0000-0000-000023030000}"/>
    <cellStyle name="20% - Accent6 2 2 10" xfId="17226" xr:uid="{A00AF138-8B5C-4317-ABF7-86030DB6B6BF}"/>
    <cellStyle name="20% - Accent6 2 2 11" xfId="25673" xr:uid="{F415DBCA-6D9A-474D-B5B4-C649239D8C4E}"/>
    <cellStyle name="20% - Accent6 2 2 2" xfId="44" xr:uid="{00000000-0005-0000-0000-000024030000}"/>
    <cellStyle name="20% - Accent6 2 2 2 10" xfId="25674" xr:uid="{F014BCFB-A8FC-43A7-A8FA-AE04B167E9CD}"/>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31516585-FD7F-48F4-B0D0-12582467642D}"/>
    <cellStyle name="20% - Accent6 2 2 2 2 2 2 3" xfId="24003" xr:uid="{5079DC4A-F47E-4D0E-9396-2BD145C30045}"/>
    <cellStyle name="20% - Accent6 2 2 2 2 2 2 4" xfId="32450" xr:uid="{DF1317FD-663C-4D00-8431-156B060D049A}"/>
    <cellStyle name="20% - Accent6 2 2 2 2 2 3" xfId="11338" xr:uid="{0C12CA51-870C-44FC-A71B-D9446719AB5B}"/>
    <cellStyle name="20% - Accent6 2 2 2 2 2 4" xfId="19786" xr:uid="{A8000E1F-B157-4645-833F-D9E55C2961B6}"/>
    <cellStyle name="20% - Accent6 2 2 2 2 2 5" xfId="28233" xr:uid="{1BAA6D41-F8BA-4E0C-99E4-40D64521B776}"/>
    <cellStyle name="20% - Accent6 2 2 2 2 3" xfId="4961" xr:uid="{00000000-0005-0000-0000-000028030000}"/>
    <cellStyle name="20% - Accent6 2 2 2 2 3 2" xfId="13411" xr:uid="{BA0C293D-5C4B-440A-B9D4-71FC49931D8F}"/>
    <cellStyle name="20% - Accent6 2 2 2 2 3 3" xfId="21858" xr:uid="{B81B40F8-4D78-4FE1-A598-7458016C8836}"/>
    <cellStyle name="20% - Accent6 2 2 2 2 3 4" xfId="30305" xr:uid="{B0E39988-FA59-41E9-A78B-ADB431B58B6C}"/>
    <cellStyle name="20% - Accent6 2 2 2 2 4" xfId="9193" xr:uid="{7AD9BB74-1F6E-479F-A7E2-B18873C2E633}"/>
    <cellStyle name="20% - Accent6 2 2 2 2 5" xfId="17641" xr:uid="{90387DC5-EFD6-4FA4-BD1D-7D0B064FC77B}"/>
    <cellStyle name="20% - Accent6 2 2 2 2 6" xfId="26088" xr:uid="{9BF133D8-B505-4869-8FBC-276ACA436555}"/>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A18F130F-4D06-497F-ADA1-7E18142DE5C6}"/>
    <cellStyle name="20% - Accent6 2 2 2 3 2 2 3" xfId="24416" xr:uid="{557087DE-5949-4A8C-AAD4-1B0C05541B26}"/>
    <cellStyle name="20% - Accent6 2 2 2 3 2 2 4" xfId="32863" xr:uid="{4D556B11-D3BD-4DC8-A2F7-1CC85C4F5DC8}"/>
    <cellStyle name="20% - Accent6 2 2 2 3 2 3" xfId="11751" xr:uid="{A3DE9450-7BFD-4D65-BB42-23D72487541C}"/>
    <cellStyle name="20% - Accent6 2 2 2 3 2 4" xfId="20199" xr:uid="{BEBA82C9-1F88-47B9-A7D5-72E48CBE6972}"/>
    <cellStyle name="20% - Accent6 2 2 2 3 2 5" xfId="28646" xr:uid="{554F18DB-4F7C-48EB-B6F7-BD9477E6DEC6}"/>
    <cellStyle name="20% - Accent6 2 2 2 3 3" xfId="5374" xr:uid="{00000000-0005-0000-0000-00002C030000}"/>
    <cellStyle name="20% - Accent6 2 2 2 3 3 2" xfId="13824" xr:uid="{47563B3B-DB35-4596-ABA5-46719C543EC4}"/>
    <cellStyle name="20% - Accent6 2 2 2 3 3 3" xfId="22271" xr:uid="{65C74748-7A28-49CF-8035-C0ED3361ED04}"/>
    <cellStyle name="20% - Accent6 2 2 2 3 3 4" xfId="30718" xr:uid="{917F3811-80C6-41CD-9492-A6D54C346986}"/>
    <cellStyle name="20% - Accent6 2 2 2 3 4" xfId="9606" xr:uid="{EF633461-2685-4C72-B377-8599E5F4A7D1}"/>
    <cellStyle name="20% - Accent6 2 2 2 3 5" xfId="18054" xr:uid="{FB1057E5-31B8-47BA-9819-B9A010E2E66A}"/>
    <cellStyle name="20% - Accent6 2 2 2 3 6" xfId="26501" xr:uid="{092DD3FA-652A-419D-972F-FAC1FD3A2C2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4036E91C-A64C-4DD2-BFA5-BCC74AEDF9F1}"/>
    <cellStyle name="20% - Accent6 2 2 2 4 2 2 3" xfId="24829" xr:uid="{829A26BE-77C0-4929-B0A8-9FCCE6CFF4B1}"/>
    <cellStyle name="20% - Accent6 2 2 2 4 2 2 4" xfId="33276" xr:uid="{0C03CA21-4B86-45C7-BA59-B0C154D9814F}"/>
    <cellStyle name="20% - Accent6 2 2 2 4 2 3" xfId="12164" xr:uid="{91B068A9-449F-4DE5-81FB-4C310BB2D34B}"/>
    <cellStyle name="20% - Accent6 2 2 2 4 2 4" xfId="20612" xr:uid="{6054CA92-39B6-4FCC-9CA7-C6CFBB939552}"/>
    <cellStyle name="20% - Accent6 2 2 2 4 2 5" xfId="29059" xr:uid="{67A20E4E-A37C-412C-B725-4C558B60952A}"/>
    <cellStyle name="20% - Accent6 2 2 2 4 3" xfId="5787" xr:uid="{00000000-0005-0000-0000-000030030000}"/>
    <cellStyle name="20% - Accent6 2 2 2 4 3 2" xfId="14237" xr:uid="{CC3C71CF-0787-4C77-944A-D8B72E8750BA}"/>
    <cellStyle name="20% - Accent6 2 2 2 4 3 3" xfId="22684" xr:uid="{2B8370AC-8F3D-4A9E-B1FF-ADE71E5B38A1}"/>
    <cellStyle name="20% - Accent6 2 2 2 4 3 4" xfId="31131" xr:uid="{6CA3A105-020A-4F60-801D-3FB8E3D48F1A}"/>
    <cellStyle name="20% - Accent6 2 2 2 4 4" xfId="10019" xr:uid="{B6107330-9773-476D-A817-177D88E6276D}"/>
    <cellStyle name="20% - Accent6 2 2 2 4 5" xfId="18467" xr:uid="{19F999AD-79BA-4108-83F7-A6D365012AD1}"/>
    <cellStyle name="20% - Accent6 2 2 2 4 6" xfId="26914" xr:uid="{9BE0AD74-7D80-4F0E-96AC-08327ACFD044}"/>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EFD9CE69-70E8-4BE3-986D-31404D7B2B8E}"/>
    <cellStyle name="20% - Accent6 2 2 2 5 2 2 3" xfId="25242" xr:uid="{FC4C2A37-EB28-4A63-B2BE-360A99B19B2C}"/>
    <cellStyle name="20% - Accent6 2 2 2 5 2 2 4" xfId="33689" xr:uid="{346C0724-B6FF-4E7E-BDD2-F60BB1839029}"/>
    <cellStyle name="20% - Accent6 2 2 2 5 2 3" xfId="12577" xr:uid="{5B21A9CD-9F18-4579-BDD9-6BBE366387A8}"/>
    <cellStyle name="20% - Accent6 2 2 2 5 2 4" xfId="21025" xr:uid="{8FEA3FCD-2D78-4343-8C5D-82244D5A3F95}"/>
    <cellStyle name="20% - Accent6 2 2 2 5 2 5" xfId="29472" xr:uid="{72424F38-A99D-4A80-A58E-D83D2B38AC24}"/>
    <cellStyle name="20% - Accent6 2 2 2 5 3" xfId="6200" xr:uid="{00000000-0005-0000-0000-000034030000}"/>
    <cellStyle name="20% - Accent6 2 2 2 5 3 2" xfId="14650" xr:uid="{63245799-F6EC-478C-9715-FCB8B1E9D673}"/>
    <cellStyle name="20% - Accent6 2 2 2 5 3 3" xfId="23097" xr:uid="{1B72BCA6-0BA5-44CB-AE05-D8B37789DA93}"/>
    <cellStyle name="20% - Accent6 2 2 2 5 3 4" xfId="31544" xr:uid="{767F1FF2-8EE5-4A1C-B8FD-900A439F1C90}"/>
    <cellStyle name="20% - Accent6 2 2 2 5 4" xfId="10432" xr:uid="{79ABE54A-CB1D-401D-9A77-51C858552E61}"/>
    <cellStyle name="20% - Accent6 2 2 2 5 5" xfId="18880" xr:uid="{6B266C93-7859-4020-ACE6-EADEBC55B1D0}"/>
    <cellStyle name="20% - Accent6 2 2 2 5 6" xfId="27327" xr:uid="{56426993-E985-47D4-B987-DACAC7504291}"/>
    <cellStyle name="20% - Accent6 2 2 2 6" xfId="2307" xr:uid="{00000000-0005-0000-0000-000035030000}"/>
    <cellStyle name="20% - Accent6 2 2 2 6 2" xfId="6613" xr:uid="{00000000-0005-0000-0000-000036030000}"/>
    <cellStyle name="20% - Accent6 2 2 2 6 2 2" xfId="15063" xr:uid="{6980B3D4-86F7-43A1-BF29-870966B3E13A}"/>
    <cellStyle name="20% - Accent6 2 2 2 6 2 3" xfId="23510" xr:uid="{112022CB-E73B-478B-B781-54D0B88DBEFB}"/>
    <cellStyle name="20% - Accent6 2 2 2 6 2 4" xfId="31957" xr:uid="{C4BE90AE-C914-4481-BF21-65A2C5647FBA}"/>
    <cellStyle name="20% - Accent6 2 2 2 6 3" xfId="10845" xr:uid="{CB65A954-51F9-4E86-9B76-82A3471758CD}"/>
    <cellStyle name="20% - Accent6 2 2 2 6 4" xfId="19293" xr:uid="{E9A9D644-ED63-40A8-8324-7E262AF71046}"/>
    <cellStyle name="20% - Accent6 2 2 2 6 5" xfId="27740" xr:uid="{837EFDC1-9A60-473A-AFA4-D88386149590}"/>
    <cellStyle name="20% - Accent6 2 2 2 7" xfId="4547" xr:uid="{00000000-0005-0000-0000-000037030000}"/>
    <cellStyle name="20% - Accent6 2 2 2 7 2" xfId="12997" xr:uid="{96B428AD-AA06-487A-B199-0DE117933D35}"/>
    <cellStyle name="20% - Accent6 2 2 2 7 3" xfId="21444" xr:uid="{B7C8C636-2732-4D77-BB60-A944A2C7AFB6}"/>
    <cellStyle name="20% - Accent6 2 2 2 7 4" xfId="29891" xr:uid="{61DB2B2C-C20D-4530-8FF8-FD2D1F4A0177}"/>
    <cellStyle name="20% - Accent6 2 2 2 8" xfId="8779" xr:uid="{7B794518-DA70-448C-9C2A-0A66BEB2F928}"/>
    <cellStyle name="20% - Accent6 2 2 2 9" xfId="17227" xr:uid="{EA08BA6A-E707-42D4-80C6-61D8932D7C5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60143B43-7B05-4F23-986C-26ACB3E4A60F}"/>
    <cellStyle name="20% - Accent6 2 2 3 2 2 3" xfId="24002" xr:uid="{9FD7B863-92C7-49FA-BB0E-C5DE79C49CC1}"/>
    <cellStyle name="20% - Accent6 2 2 3 2 2 4" xfId="32449" xr:uid="{57B734CC-E9FA-4797-8DA9-7E70B8EA42BB}"/>
    <cellStyle name="20% - Accent6 2 2 3 2 3" xfId="11337" xr:uid="{57521C7C-6F21-4037-AF0F-B8ACFAAC26FF}"/>
    <cellStyle name="20% - Accent6 2 2 3 2 4" xfId="19785" xr:uid="{9482B179-D9BA-4920-90E9-8A34EB518848}"/>
    <cellStyle name="20% - Accent6 2 2 3 2 5" xfId="28232" xr:uid="{9F621D0E-E737-4050-8AA9-17343C9ED141}"/>
    <cellStyle name="20% - Accent6 2 2 3 3" xfId="4960" xr:uid="{00000000-0005-0000-0000-00003B030000}"/>
    <cellStyle name="20% - Accent6 2 2 3 3 2" xfId="13410" xr:uid="{DDEE1C50-AB1F-4A8D-B912-61EE0077675F}"/>
    <cellStyle name="20% - Accent6 2 2 3 3 3" xfId="21857" xr:uid="{7934DEB0-10C2-449A-8C15-81CBDEDABFC0}"/>
    <cellStyle name="20% - Accent6 2 2 3 3 4" xfId="30304" xr:uid="{BCA33B0E-4AA5-4048-BF15-D595E686FC36}"/>
    <cellStyle name="20% - Accent6 2 2 3 4" xfId="9192" xr:uid="{E4758C74-4827-4081-A0A4-97387A1E8C90}"/>
    <cellStyle name="20% - Accent6 2 2 3 5" xfId="17640" xr:uid="{E8652673-AE5C-4680-BEAB-3038418399F4}"/>
    <cellStyle name="20% - Accent6 2 2 3 6" xfId="26087" xr:uid="{9FB77A8F-E0A8-4684-BE58-EF916663EE9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A330CFBC-ABFA-4F25-ADE1-30C74C377975}"/>
    <cellStyle name="20% - Accent6 2 2 4 2 2 3" xfId="24415" xr:uid="{AB1D4E5E-3FBF-47B6-AA8C-D1098E6F053C}"/>
    <cellStyle name="20% - Accent6 2 2 4 2 2 4" xfId="32862" xr:uid="{E51948E7-275C-4651-82EB-40DE3E1275A1}"/>
    <cellStyle name="20% - Accent6 2 2 4 2 3" xfId="11750" xr:uid="{F35B28D9-D07A-44E3-ACC7-0DC18C2D4953}"/>
    <cellStyle name="20% - Accent6 2 2 4 2 4" xfId="20198" xr:uid="{79C55D4A-4ADD-4B4F-9350-00113C5FDA5A}"/>
    <cellStyle name="20% - Accent6 2 2 4 2 5" xfId="28645" xr:uid="{4B03008F-B3FB-44D3-AD7C-CAA714842A10}"/>
    <cellStyle name="20% - Accent6 2 2 4 3" xfId="5373" xr:uid="{00000000-0005-0000-0000-00003F030000}"/>
    <cellStyle name="20% - Accent6 2 2 4 3 2" xfId="13823" xr:uid="{5285F8FB-8C13-4D23-8D57-19D8C14AC3E2}"/>
    <cellStyle name="20% - Accent6 2 2 4 3 3" xfId="22270" xr:uid="{B9163185-D3BB-4824-B025-8C5CA762C7DA}"/>
    <cellStyle name="20% - Accent6 2 2 4 3 4" xfId="30717" xr:uid="{C6353B1D-0A95-413A-8ED1-D4FDF2B4A4CC}"/>
    <cellStyle name="20% - Accent6 2 2 4 4" xfId="9605" xr:uid="{052052D7-6D8A-4487-B130-B9908F78CC00}"/>
    <cellStyle name="20% - Accent6 2 2 4 5" xfId="18053" xr:uid="{D7BA890A-BBDD-4AFE-989A-B4018EFE29DE}"/>
    <cellStyle name="20% - Accent6 2 2 4 6" xfId="26500" xr:uid="{2079B677-840C-4110-A5FD-73CECBD73972}"/>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5848B935-7D3C-4851-9513-B0E1E4F65994}"/>
    <cellStyle name="20% - Accent6 2 2 5 2 2 3" xfId="24828" xr:uid="{B6682B33-95FE-4E27-AC49-2311BC1967EA}"/>
    <cellStyle name="20% - Accent6 2 2 5 2 2 4" xfId="33275" xr:uid="{FAFD5C18-D441-43D4-AE2D-DC25A64C444E}"/>
    <cellStyle name="20% - Accent6 2 2 5 2 3" xfId="12163" xr:uid="{7AEBD275-7164-44CE-B783-0C098983E7E1}"/>
    <cellStyle name="20% - Accent6 2 2 5 2 4" xfId="20611" xr:uid="{46B4E319-AD84-44C9-AE92-19E87339A0DF}"/>
    <cellStyle name="20% - Accent6 2 2 5 2 5" xfId="29058" xr:uid="{F1376C8B-3951-42DA-BAFF-D8BE32BE2324}"/>
    <cellStyle name="20% - Accent6 2 2 5 3" xfId="5786" xr:uid="{00000000-0005-0000-0000-000043030000}"/>
    <cellStyle name="20% - Accent6 2 2 5 3 2" xfId="14236" xr:uid="{22F0BA00-A90A-474A-8491-C5A38A34A053}"/>
    <cellStyle name="20% - Accent6 2 2 5 3 3" xfId="22683" xr:uid="{FF3DD119-2DC2-4C08-9765-39F30ED9A4BA}"/>
    <cellStyle name="20% - Accent6 2 2 5 3 4" xfId="31130" xr:uid="{494EFFA7-724A-4B2B-9247-BDEEFCA07702}"/>
    <cellStyle name="20% - Accent6 2 2 5 4" xfId="10018" xr:uid="{67E7D7CF-54B7-4748-ABF4-72ABBF95BA81}"/>
    <cellStyle name="20% - Accent6 2 2 5 5" xfId="18466" xr:uid="{2AE5401B-E15F-4B85-AF68-82896A6AA9C1}"/>
    <cellStyle name="20% - Accent6 2 2 5 6" xfId="26913" xr:uid="{D8BB3D78-F37B-4C4B-BA93-86BC74A944A6}"/>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54835D50-CBE6-47B4-B4E6-33197C2F6B6E}"/>
    <cellStyle name="20% - Accent6 2 2 6 2 2 3" xfId="25241" xr:uid="{30932D1C-809C-47EC-B213-2E4C01B88E9B}"/>
    <cellStyle name="20% - Accent6 2 2 6 2 2 4" xfId="33688" xr:uid="{F5AE4ADC-4092-41D9-B513-263283E46476}"/>
    <cellStyle name="20% - Accent6 2 2 6 2 3" xfId="12576" xr:uid="{7CC8015B-DDC2-45EE-9D10-B2BB8DB8DB6C}"/>
    <cellStyle name="20% - Accent6 2 2 6 2 4" xfId="21024" xr:uid="{E4BB2DFC-18E4-4B8D-93D2-5CA1A2208BD8}"/>
    <cellStyle name="20% - Accent6 2 2 6 2 5" xfId="29471" xr:uid="{638FB2CF-1507-4F09-B26C-A8DD7C172C30}"/>
    <cellStyle name="20% - Accent6 2 2 6 3" xfId="6199" xr:uid="{00000000-0005-0000-0000-000047030000}"/>
    <cellStyle name="20% - Accent6 2 2 6 3 2" xfId="14649" xr:uid="{592CD61B-1640-40A0-928C-C614D7EDAA52}"/>
    <cellStyle name="20% - Accent6 2 2 6 3 3" xfId="23096" xr:uid="{F50B6BBA-0E1E-4408-87CA-89E7ACEC2292}"/>
    <cellStyle name="20% - Accent6 2 2 6 3 4" xfId="31543" xr:uid="{7E8835BF-18BA-4E3A-AE80-6C7AE18BFFD6}"/>
    <cellStyle name="20% - Accent6 2 2 6 4" xfId="10431" xr:uid="{7F89268D-A96D-4DB4-BC4E-18042D9D5C58}"/>
    <cellStyle name="20% - Accent6 2 2 6 5" xfId="18879" xr:uid="{116BB546-912F-42E6-BDA0-5E1026248056}"/>
    <cellStyle name="20% - Accent6 2 2 6 6" xfId="27326" xr:uid="{0CEEC90A-3780-49EB-90F9-28D161A47334}"/>
    <cellStyle name="20% - Accent6 2 2 7" xfId="2306" xr:uid="{00000000-0005-0000-0000-000048030000}"/>
    <cellStyle name="20% - Accent6 2 2 7 2" xfId="6612" xr:uid="{00000000-0005-0000-0000-000049030000}"/>
    <cellStyle name="20% - Accent6 2 2 7 2 2" xfId="15062" xr:uid="{D0E1063D-F1E8-4803-800D-3E7949A16497}"/>
    <cellStyle name="20% - Accent6 2 2 7 2 3" xfId="23509" xr:uid="{BF454B61-BA17-4184-AB0A-C5700A37214D}"/>
    <cellStyle name="20% - Accent6 2 2 7 2 4" xfId="31956" xr:uid="{B8D345CA-D214-42F4-B59D-B665FA7853D4}"/>
    <cellStyle name="20% - Accent6 2 2 7 3" xfId="10844" xr:uid="{830A0183-AB5C-4242-953B-57DDC2F583D9}"/>
    <cellStyle name="20% - Accent6 2 2 7 4" xfId="19292" xr:uid="{0B66F245-AC90-4603-915E-A8DF2A250789}"/>
    <cellStyle name="20% - Accent6 2 2 7 5" xfId="27739" xr:uid="{44C3A2FC-1F7C-42DB-B0B8-5A4AFA1069F3}"/>
    <cellStyle name="20% - Accent6 2 2 8" xfId="4546" xr:uid="{00000000-0005-0000-0000-00004A030000}"/>
    <cellStyle name="20% - Accent6 2 2 8 2" xfId="12996" xr:uid="{37B4ED8E-268D-4005-9931-0A9931F92535}"/>
    <cellStyle name="20% - Accent6 2 2 8 3" xfId="21443" xr:uid="{B166D66C-0F54-4E5D-A8DA-C8603D7D283E}"/>
    <cellStyle name="20% - Accent6 2 2 8 4" xfId="29890" xr:uid="{16903983-9568-4B16-94FB-935E673FEE30}"/>
    <cellStyle name="20% - Accent6 2 2 9" xfId="8778" xr:uid="{86CE0D49-4DC2-4A44-AE8F-8F75D2B9D67C}"/>
    <cellStyle name="20% - Accent6 2 3" xfId="45" xr:uid="{00000000-0005-0000-0000-00004B030000}"/>
    <cellStyle name="20% - Accent6 2 3 10" xfId="25675" xr:uid="{50C68237-A4E3-4A8C-9C28-5DA297B3BDCE}"/>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1AB08CE1-6569-4424-92A4-4E395E6A8341}"/>
    <cellStyle name="20% - Accent6 2 3 2 2 2 3" xfId="24004" xr:uid="{BDC01154-603D-4E79-B565-0CCDEE70664C}"/>
    <cellStyle name="20% - Accent6 2 3 2 2 2 4" xfId="32451" xr:uid="{5A9C0077-61B9-48FA-BE5A-7E1C64BD9E19}"/>
    <cellStyle name="20% - Accent6 2 3 2 2 3" xfId="11339" xr:uid="{9E5D2F00-9F48-4F8C-ADF1-6D038CC5D1DE}"/>
    <cellStyle name="20% - Accent6 2 3 2 2 4" xfId="19787" xr:uid="{865C1EA9-F7AF-433A-8620-D1B08C515933}"/>
    <cellStyle name="20% - Accent6 2 3 2 2 5" xfId="28234" xr:uid="{8B5494EA-E1ED-431E-A757-EB47DE10AEC8}"/>
    <cellStyle name="20% - Accent6 2 3 2 3" xfId="4962" xr:uid="{00000000-0005-0000-0000-00004F030000}"/>
    <cellStyle name="20% - Accent6 2 3 2 3 2" xfId="13412" xr:uid="{33AF6ED7-B813-4D87-8B18-6DB24FCBEA5E}"/>
    <cellStyle name="20% - Accent6 2 3 2 3 3" xfId="21859" xr:uid="{0DF974FE-A29E-4945-B084-7720ADD34BFC}"/>
    <cellStyle name="20% - Accent6 2 3 2 3 4" xfId="30306" xr:uid="{A813773B-7926-4381-B41A-5373308F9C42}"/>
    <cellStyle name="20% - Accent6 2 3 2 4" xfId="9194" xr:uid="{8314DC25-F51C-4AE2-9F28-607BC4D4FDB0}"/>
    <cellStyle name="20% - Accent6 2 3 2 5" xfId="17642" xr:uid="{2836FDF9-13FE-4781-8C12-4771F20386FD}"/>
    <cellStyle name="20% - Accent6 2 3 2 6" xfId="26089" xr:uid="{11918DAF-0507-485B-A997-59113D2FF7CE}"/>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05532380-D69E-4AE8-8B9B-1CDC38040C89}"/>
    <cellStyle name="20% - Accent6 2 3 3 2 2 3" xfId="24417" xr:uid="{EEC3C701-11AC-42EC-A9F2-04A001F6C369}"/>
    <cellStyle name="20% - Accent6 2 3 3 2 2 4" xfId="32864" xr:uid="{36F00A2E-2435-4429-BF8C-0EB613720D29}"/>
    <cellStyle name="20% - Accent6 2 3 3 2 3" xfId="11752" xr:uid="{2A295E25-1F90-4A13-B64E-8AE8286BC6D9}"/>
    <cellStyle name="20% - Accent6 2 3 3 2 4" xfId="20200" xr:uid="{2996DECE-07F9-430B-A97A-D35BC86F83AB}"/>
    <cellStyle name="20% - Accent6 2 3 3 2 5" xfId="28647" xr:uid="{648D68F4-6F4A-4948-B5E2-428F4C3142F1}"/>
    <cellStyle name="20% - Accent6 2 3 3 3" xfId="5375" xr:uid="{00000000-0005-0000-0000-000053030000}"/>
    <cellStyle name="20% - Accent6 2 3 3 3 2" xfId="13825" xr:uid="{690FD635-69E1-4710-A910-4F85446FC786}"/>
    <cellStyle name="20% - Accent6 2 3 3 3 3" xfId="22272" xr:uid="{CD61C4B8-AFC2-4FC6-972A-C707185AE686}"/>
    <cellStyle name="20% - Accent6 2 3 3 3 4" xfId="30719" xr:uid="{0CE21B93-A7AD-4871-B499-1BE1D4C16859}"/>
    <cellStyle name="20% - Accent6 2 3 3 4" xfId="9607" xr:uid="{E4138C45-3C06-45E4-8C1D-266E32E2A74B}"/>
    <cellStyle name="20% - Accent6 2 3 3 5" xfId="18055" xr:uid="{4330D4EB-AA47-4F1A-8FF5-5D20CA3E5ECF}"/>
    <cellStyle name="20% - Accent6 2 3 3 6" xfId="26502" xr:uid="{83E2FC67-447C-4E65-8C75-B6DD3583B1BB}"/>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CF2C5B7D-BAF5-4106-B9AE-95DEE2AD7DDF}"/>
    <cellStyle name="20% - Accent6 2 3 4 2 2 3" xfId="24830" xr:uid="{9E2E712A-8A61-4C35-A919-C0414E5D13A6}"/>
    <cellStyle name="20% - Accent6 2 3 4 2 2 4" xfId="33277" xr:uid="{14F9BF02-9B18-4EDE-B22B-4D43AF4E64E4}"/>
    <cellStyle name="20% - Accent6 2 3 4 2 3" xfId="12165" xr:uid="{985F9C86-3825-44F4-8984-56EAEE3FBE66}"/>
    <cellStyle name="20% - Accent6 2 3 4 2 4" xfId="20613" xr:uid="{B092FD85-5D7C-462E-87C5-4B22D7D15017}"/>
    <cellStyle name="20% - Accent6 2 3 4 2 5" xfId="29060" xr:uid="{2C4E99A3-6A57-404A-ADEF-37AC750FDEE9}"/>
    <cellStyle name="20% - Accent6 2 3 4 3" xfId="5788" xr:uid="{00000000-0005-0000-0000-000057030000}"/>
    <cellStyle name="20% - Accent6 2 3 4 3 2" xfId="14238" xr:uid="{8C47D410-5337-4E7A-81CC-16E25EB8F9AA}"/>
    <cellStyle name="20% - Accent6 2 3 4 3 3" xfId="22685" xr:uid="{2A42E2B9-84B5-47D7-9E5C-D0157A84E3DD}"/>
    <cellStyle name="20% - Accent6 2 3 4 3 4" xfId="31132" xr:uid="{B55F9DA6-125E-4B8C-811C-7E9182D3E367}"/>
    <cellStyle name="20% - Accent6 2 3 4 4" xfId="10020" xr:uid="{C38D9A4F-82FE-4A8E-8517-B6E0EF4C57A6}"/>
    <cellStyle name="20% - Accent6 2 3 4 5" xfId="18468" xr:uid="{CFE0AE2A-473B-45E3-BFE7-6935447CE39B}"/>
    <cellStyle name="20% - Accent6 2 3 4 6" xfId="26915" xr:uid="{F360AA3A-EADC-4F7A-B159-8BC9BE8B5763}"/>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43C81B07-7EF4-4FBC-BF9B-D200C0ADC2B9}"/>
    <cellStyle name="20% - Accent6 2 3 5 2 2 3" xfId="25243" xr:uid="{1B7EE001-526E-4A23-B22D-D08EFFD5222D}"/>
    <cellStyle name="20% - Accent6 2 3 5 2 2 4" xfId="33690" xr:uid="{4AD7A59C-8C1A-40C9-9F85-4E5C24E14AB9}"/>
    <cellStyle name="20% - Accent6 2 3 5 2 3" xfId="12578" xr:uid="{DFA7FEBB-9A22-44A9-9468-002D3054BE13}"/>
    <cellStyle name="20% - Accent6 2 3 5 2 4" xfId="21026" xr:uid="{8AFA771D-4859-4586-89C4-68AAE012F992}"/>
    <cellStyle name="20% - Accent6 2 3 5 2 5" xfId="29473" xr:uid="{FB670950-2EBA-46D1-8D3A-E6034A95FC22}"/>
    <cellStyle name="20% - Accent6 2 3 5 3" xfId="6201" xr:uid="{00000000-0005-0000-0000-00005B030000}"/>
    <cellStyle name="20% - Accent6 2 3 5 3 2" xfId="14651" xr:uid="{B3422BEA-3781-44E4-88E1-104415AE6B45}"/>
    <cellStyle name="20% - Accent6 2 3 5 3 3" xfId="23098" xr:uid="{5A2F7498-43C5-4ADC-A9E2-A76BF9CBD48F}"/>
    <cellStyle name="20% - Accent6 2 3 5 3 4" xfId="31545" xr:uid="{FE194F77-D675-4D7D-ADC6-EE216C4938F1}"/>
    <cellStyle name="20% - Accent6 2 3 5 4" xfId="10433" xr:uid="{2FC3C780-6E18-4E4A-9209-B7C7209F44DD}"/>
    <cellStyle name="20% - Accent6 2 3 5 5" xfId="18881" xr:uid="{33D872E9-4A7F-4A38-BE8B-A3EF3A55457C}"/>
    <cellStyle name="20% - Accent6 2 3 5 6" xfId="27328" xr:uid="{3FE7F70E-F069-43A8-A73B-4D0DD87A9C23}"/>
    <cellStyle name="20% - Accent6 2 3 6" xfId="2308" xr:uid="{00000000-0005-0000-0000-00005C030000}"/>
    <cellStyle name="20% - Accent6 2 3 6 2" xfId="6614" xr:uid="{00000000-0005-0000-0000-00005D030000}"/>
    <cellStyle name="20% - Accent6 2 3 6 2 2" xfId="15064" xr:uid="{057B07CD-BD7F-440D-BA96-94D6A13349CA}"/>
    <cellStyle name="20% - Accent6 2 3 6 2 3" xfId="23511" xr:uid="{08F67597-E8E5-4329-90AE-91057032B875}"/>
    <cellStyle name="20% - Accent6 2 3 6 2 4" xfId="31958" xr:uid="{C1485B45-97E5-47C2-BB0A-A1C8EE0EF425}"/>
    <cellStyle name="20% - Accent6 2 3 6 3" xfId="10846" xr:uid="{C7F5E0B6-9FBA-40D1-8776-6052076CE75D}"/>
    <cellStyle name="20% - Accent6 2 3 6 4" xfId="19294" xr:uid="{12F371A8-8278-4ADE-8249-07B610604BBA}"/>
    <cellStyle name="20% - Accent6 2 3 6 5" xfId="27741" xr:uid="{CD43723F-486A-4D14-A093-563F823C15B7}"/>
    <cellStyle name="20% - Accent6 2 3 7" xfId="4548" xr:uid="{00000000-0005-0000-0000-00005E030000}"/>
    <cellStyle name="20% - Accent6 2 3 7 2" xfId="12998" xr:uid="{7C99F89D-2A7D-45A6-B786-ECC43361D7D6}"/>
    <cellStyle name="20% - Accent6 2 3 7 3" xfId="21445" xr:uid="{859D18D3-245C-4495-9195-691388CBB4CF}"/>
    <cellStyle name="20% - Accent6 2 3 7 4" xfId="29892" xr:uid="{3EBE32C8-4855-4DDA-A2F6-554B7802EB42}"/>
    <cellStyle name="20% - Accent6 2 3 8" xfId="8780" xr:uid="{C7DF5B3F-DDBA-44A7-8E02-15A23395A3AE}"/>
    <cellStyle name="20% - Accent6 2 3 9" xfId="17228" xr:uid="{3486E68C-4B00-4760-A922-D9DC25C70FDF}"/>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95EA19D6-EF1C-4BDB-8B57-4F2040A189E7}"/>
    <cellStyle name="20% - Accent6 2 4 2 2 3" xfId="24001" xr:uid="{00A55D4C-FCEC-4A15-A2C5-D1E09367E97B}"/>
    <cellStyle name="20% - Accent6 2 4 2 2 4" xfId="32448" xr:uid="{8D734E87-D3E5-4737-B260-99D1D39D6B1D}"/>
    <cellStyle name="20% - Accent6 2 4 2 3" xfId="11336" xr:uid="{2186E88D-FCEB-487D-A880-9E70AB145BDF}"/>
    <cellStyle name="20% - Accent6 2 4 2 4" xfId="19784" xr:uid="{3A68280D-9872-45DB-B284-4EB5E28A3FB7}"/>
    <cellStyle name="20% - Accent6 2 4 2 5" xfId="28231" xr:uid="{D89AD8A1-2B35-459B-AEEF-271769515B47}"/>
    <cellStyle name="20% - Accent6 2 4 3" xfId="4959" xr:uid="{00000000-0005-0000-0000-000062030000}"/>
    <cellStyle name="20% - Accent6 2 4 3 2" xfId="13409" xr:uid="{CD396EB2-4773-4ECC-ADE7-ECDC1611587E}"/>
    <cellStyle name="20% - Accent6 2 4 3 3" xfId="21856" xr:uid="{C632A563-44AD-4C47-8C00-738C00E3FDEC}"/>
    <cellStyle name="20% - Accent6 2 4 3 4" xfId="30303" xr:uid="{B637E4F4-7DF2-4D0B-9FA0-241358BEDCB7}"/>
    <cellStyle name="20% - Accent6 2 4 4" xfId="9191" xr:uid="{96B8ABE2-A5E1-4A8A-B0A9-C30B49916C15}"/>
    <cellStyle name="20% - Accent6 2 4 5" xfId="17639" xr:uid="{09F4EF8E-C671-4BDE-ACB0-81A4E6325891}"/>
    <cellStyle name="20% - Accent6 2 4 6" xfId="26086" xr:uid="{766456D5-A6F8-46CF-99C3-F4C585B13BA2}"/>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1F4A4F19-8AE0-4390-8BBE-0DFAE44EEE2E}"/>
    <cellStyle name="20% - Accent6 2 5 2 2 3" xfId="24414" xr:uid="{0ADC2411-6ECB-4FAF-B13F-40CD24AE58F7}"/>
    <cellStyle name="20% - Accent6 2 5 2 2 4" xfId="32861" xr:uid="{B9441E86-851F-4B75-AB98-DE43207B204A}"/>
    <cellStyle name="20% - Accent6 2 5 2 3" xfId="11749" xr:uid="{D4EE419B-F400-466B-9C8B-85AA02D988C9}"/>
    <cellStyle name="20% - Accent6 2 5 2 4" xfId="20197" xr:uid="{DD531612-4A0F-45CE-8610-F15F7A6564ED}"/>
    <cellStyle name="20% - Accent6 2 5 2 5" xfId="28644" xr:uid="{DDFCF3FA-718E-428A-BBAD-0D5D0AA538AF}"/>
    <cellStyle name="20% - Accent6 2 5 3" xfId="5372" xr:uid="{00000000-0005-0000-0000-000066030000}"/>
    <cellStyle name="20% - Accent6 2 5 3 2" xfId="13822" xr:uid="{F302B3DB-3166-4395-87A5-249F8B906B42}"/>
    <cellStyle name="20% - Accent6 2 5 3 3" xfId="22269" xr:uid="{8921AEAA-5A16-4DBD-95F0-95CDBEDDC8FA}"/>
    <cellStyle name="20% - Accent6 2 5 3 4" xfId="30716" xr:uid="{B40165BC-0ADB-4CB4-BE99-27AC4D6B19AB}"/>
    <cellStyle name="20% - Accent6 2 5 4" xfId="9604" xr:uid="{4606DE7D-2D61-4D25-8283-9788D889D2DB}"/>
    <cellStyle name="20% - Accent6 2 5 5" xfId="18052" xr:uid="{068363F2-2133-4A19-88CC-7017D2BFB811}"/>
    <cellStyle name="20% - Accent6 2 5 6" xfId="26499" xr:uid="{617DD2C1-D6EA-4617-8E90-724E20A3E06A}"/>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135F0CE3-A6C3-4B2E-AFC5-DA4FE66D7F66}"/>
    <cellStyle name="20% - Accent6 2 6 2 2 3" xfId="24827" xr:uid="{EAF91817-0D02-4129-AA3A-556ED1F0E4D5}"/>
    <cellStyle name="20% - Accent6 2 6 2 2 4" xfId="33274" xr:uid="{57DF1191-BE9E-4D7E-AD1A-D5D94B9D7E17}"/>
    <cellStyle name="20% - Accent6 2 6 2 3" xfId="12162" xr:uid="{7F38821E-6193-4FB9-B19A-CDC292958CE7}"/>
    <cellStyle name="20% - Accent6 2 6 2 4" xfId="20610" xr:uid="{E68F211A-18B9-4043-A446-471419812E6D}"/>
    <cellStyle name="20% - Accent6 2 6 2 5" xfId="29057" xr:uid="{1D7C7C00-4E14-4FF9-B772-BAD284C2560A}"/>
    <cellStyle name="20% - Accent6 2 6 3" xfId="5785" xr:uid="{00000000-0005-0000-0000-00006A030000}"/>
    <cellStyle name="20% - Accent6 2 6 3 2" xfId="14235" xr:uid="{EC10EB0C-8FF1-4B74-BC6E-0127D3D04BC4}"/>
    <cellStyle name="20% - Accent6 2 6 3 3" xfId="22682" xr:uid="{38FE5DAC-21CB-4F57-AD8A-20A1A5C06AD8}"/>
    <cellStyle name="20% - Accent6 2 6 3 4" xfId="31129" xr:uid="{AB7AE837-82DC-40D0-8DD9-45C6451B91BB}"/>
    <cellStyle name="20% - Accent6 2 6 4" xfId="10017" xr:uid="{E8FCEC07-C3E7-448C-AEEF-61D18E052A55}"/>
    <cellStyle name="20% - Accent6 2 6 5" xfId="18465" xr:uid="{456DCD8E-4079-44DC-A130-DFC655FB6178}"/>
    <cellStyle name="20% - Accent6 2 6 6" xfId="26912" xr:uid="{152ADFEB-BFC8-4E1B-A41D-989BE44CFA50}"/>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A108ED37-9AC3-45D5-AAFF-549A227A16AF}"/>
    <cellStyle name="20% - Accent6 2 7 2 2 3" xfId="25240" xr:uid="{7528C21B-1130-419E-9FA6-14A07DE0A250}"/>
    <cellStyle name="20% - Accent6 2 7 2 2 4" xfId="33687" xr:uid="{EB2832CF-BF39-43F2-9F9F-E5DF3419AFE6}"/>
    <cellStyle name="20% - Accent6 2 7 2 3" xfId="12575" xr:uid="{3175EED2-6153-472B-82FF-04E8B5D60A48}"/>
    <cellStyle name="20% - Accent6 2 7 2 4" xfId="21023" xr:uid="{0B47C30C-9316-4010-ABB3-386A74C64C99}"/>
    <cellStyle name="20% - Accent6 2 7 2 5" xfId="29470" xr:uid="{AC26A239-E56A-44B9-912B-E3C2A66D1D8B}"/>
    <cellStyle name="20% - Accent6 2 7 3" xfId="6198" xr:uid="{00000000-0005-0000-0000-00006E030000}"/>
    <cellStyle name="20% - Accent6 2 7 3 2" xfId="14648" xr:uid="{9528D189-71F6-443F-AF31-E87FCAF38DC8}"/>
    <cellStyle name="20% - Accent6 2 7 3 3" xfId="23095" xr:uid="{E7A694F6-0D29-4227-A136-DEB62450F3E8}"/>
    <cellStyle name="20% - Accent6 2 7 3 4" xfId="31542" xr:uid="{C370654F-F194-4965-89D5-66835383E979}"/>
    <cellStyle name="20% - Accent6 2 7 4" xfId="10430" xr:uid="{5210D975-7041-4C4F-A8BE-2FC6DC07023B}"/>
    <cellStyle name="20% - Accent6 2 7 5" xfId="18878" xr:uid="{B720C416-F71B-43CF-BBBD-F9DA1CBA9891}"/>
    <cellStyle name="20% - Accent6 2 7 6" xfId="27325" xr:uid="{ABF4D3C3-5B72-4053-8D97-BD4F4C53C544}"/>
    <cellStyle name="20% - Accent6 2 8" xfId="2305" xr:uid="{00000000-0005-0000-0000-00006F030000}"/>
    <cellStyle name="20% - Accent6 2 8 2" xfId="6611" xr:uid="{00000000-0005-0000-0000-000070030000}"/>
    <cellStyle name="20% - Accent6 2 8 2 2" xfId="15061" xr:uid="{5B5225BB-BC78-4137-B3E4-F7B3A0062A91}"/>
    <cellStyle name="20% - Accent6 2 8 2 3" xfId="23508" xr:uid="{ADF9DACD-A0A7-4DA8-AAE6-96A5AD08EDFD}"/>
    <cellStyle name="20% - Accent6 2 8 2 4" xfId="31955" xr:uid="{1C237A39-682A-4BE5-BABA-FD5AE3263771}"/>
    <cellStyle name="20% - Accent6 2 8 3" xfId="10843" xr:uid="{8418C5A6-E0B6-4025-B1AB-DA2CD4DC8DDB}"/>
    <cellStyle name="20% - Accent6 2 8 4" xfId="19291" xr:uid="{E1568CBF-DCA2-4454-A7C2-8038200A3F87}"/>
    <cellStyle name="20% - Accent6 2 8 5" xfId="27738" xr:uid="{CB062261-5E6F-4FD1-AEEA-69265467329A}"/>
    <cellStyle name="20% - Accent6 2 9" xfId="4545" xr:uid="{00000000-0005-0000-0000-000071030000}"/>
    <cellStyle name="20% - Accent6 2 9 2" xfId="12995" xr:uid="{9AE49545-69F8-461B-8E85-1D0984CF9E62}"/>
    <cellStyle name="20% - Accent6 2 9 3" xfId="21442" xr:uid="{17AA496C-B584-4381-AAFF-1EC541A82AF2}"/>
    <cellStyle name="20% - Accent6 2 9 4" xfId="29889" xr:uid="{5AC255CC-6DFD-4390-9035-1AED34E16177}"/>
    <cellStyle name="20% - Accent6 3" xfId="46" xr:uid="{00000000-0005-0000-0000-000072030000}"/>
    <cellStyle name="20% - Accent6 3 10" xfId="17229" xr:uid="{4813E234-5A47-4DAF-B05E-ED474B46E6DB}"/>
    <cellStyle name="20% - Accent6 3 11" xfId="25676" xr:uid="{861E9CE9-28EC-4780-8CE9-423261D92AB7}"/>
    <cellStyle name="20% - Accent6 3 2" xfId="47" xr:uid="{00000000-0005-0000-0000-000073030000}"/>
    <cellStyle name="20% - Accent6 3 2 10" xfId="25677" xr:uid="{7698C137-D592-4585-BB91-3F3984587B6F}"/>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F4A60091-4A31-405C-AD02-CF87E0679B19}"/>
    <cellStyle name="20% - Accent6 3 2 2 2 2 3" xfId="24006" xr:uid="{96CAC440-9696-4E0B-A098-792C8D0C906D}"/>
    <cellStyle name="20% - Accent6 3 2 2 2 2 4" xfId="32453" xr:uid="{77C3AA1A-457E-4852-800D-6CF435EE451A}"/>
    <cellStyle name="20% - Accent6 3 2 2 2 3" xfId="11341" xr:uid="{7ADB924F-EAFC-460F-BCD0-F58BAA8E93C8}"/>
    <cellStyle name="20% - Accent6 3 2 2 2 4" xfId="19789" xr:uid="{9F452DC7-C42C-4307-A456-7DC18C6083E3}"/>
    <cellStyle name="20% - Accent6 3 2 2 2 5" xfId="28236" xr:uid="{6636EC79-9F3C-42F7-B3FC-2CF2CA4DF329}"/>
    <cellStyle name="20% - Accent6 3 2 2 3" xfId="4964" xr:uid="{00000000-0005-0000-0000-000077030000}"/>
    <cellStyle name="20% - Accent6 3 2 2 3 2" xfId="13414" xr:uid="{18C16D76-3F73-41EF-8261-78A32F2AADF8}"/>
    <cellStyle name="20% - Accent6 3 2 2 3 3" xfId="21861" xr:uid="{44C157A4-EEAC-4E4E-8BCC-DB6727B4376F}"/>
    <cellStyle name="20% - Accent6 3 2 2 3 4" xfId="30308" xr:uid="{E658CC03-35C0-47EC-9DA2-606D455FE0F8}"/>
    <cellStyle name="20% - Accent6 3 2 2 4" xfId="9196" xr:uid="{909AA73E-EC76-489A-ADD0-6C0AC90354FF}"/>
    <cellStyle name="20% - Accent6 3 2 2 5" xfId="17644" xr:uid="{01FB5731-4201-424F-9516-075471DD1AFF}"/>
    <cellStyle name="20% - Accent6 3 2 2 6" xfId="26091" xr:uid="{333E4548-43CE-4949-A443-E92BF0D8CEB3}"/>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76768E08-F26E-4A61-92E1-A06F8E53A058}"/>
    <cellStyle name="20% - Accent6 3 2 3 2 2 3" xfId="24419" xr:uid="{444A4395-F001-449B-8AB8-D281CCCD3AB8}"/>
    <cellStyle name="20% - Accent6 3 2 3 2 2 4" xfId="32866" xr:uid="{DDA97EE5-EBAF-447E-8DEC-5B46DAE580AA}"/>
    <cellStyle name="20% - Accent6 3 2 3 2 3" xfId="11754" xr:uid="{C76BEFF5-3E8C-4DF3-9748-4D5812B949AE}"/>
    <cellStyle name="20% - Accent6 3 2 3 2 4" xfId="20202" xr:uid="{98361F9A-AFF0-4049-874F-1F19BA846D76}"/>
    <cellStyle name="20% - Accent6 3 2 3 2 5" xfId="28649" xr:uid="{8EF7750F-FC21-4BA9-9574-DB2F7EE2927D}"/>
    <cellStyle name="20% - Accent6 3 2 3 3" xfId="5377" xr:uid="{00000000-0005-0000-0000-00007B030000}"/>
    <cellStyle name="20% - Accent6 3 2 3 3 2" xfId="13827" xr:uid="{3C8BA386-71A1-4686-8941-DA32E18700F9}"/>
    <cellStyle name="20% - Accent6 3 2 3 3 3" xfId="22274" xr:uid="{FE5D3E94-BA79-4451-B020-2406D7990394}"/>
    <cellStyle name="20% - Accent6 3 2 3 3 4" xfId="30721" xr:uid="{89A805B3-9AFD-4385-980A-D5DA78E4A2B8}"/>
    <cellStyle name="20% - Accent6 3 2 3 4" xfId="9609" xr:uid="{532E46E9-4B6E-454E-ACCA-4F0B2891106F}"/>
    <cellStyle name="20% - Accent6 3 2 3 5" xfId="18057" xr:uid="{41526A52-A613-4E3A-AA1C-564613A1F18F}"/>
    <cellStyle name="20% - Accent6 3 2 3 6" xfId="26504" xr:uid="{07874067-048E-499F-8E4C-9643D07B30B7}"/>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738C9300-087A-4DA2-9BFC-27CB6F602AFD}"/>
    <cellStyle name="20% - Accent6 3 2 4 2 2 3" xfId="24832" xr:uid="{C90E6643-BA5C-4B8B-967F-2F01AD94229D}"/>
    <cellStyle name="20% - Accent6 3 2 4 2 2 4" xfId="33279" xr:uid="{7ACF0BA0-5E35-4B73-A04A-FBFE84B49CF8}"/>
    <cellStyle name="20% - Accent6 3 2 4 2 3" xfId="12167" xr:uid="{14686B91-6EF1-4485-80F3-A3AFF72C8A95}"/>
    <cellStyle name="20% - Accent6 3 2 4 2 4" xfId="20615" xr:uid="{408C7FF1-9096-47E4-A6B5-9611E1D3B892}"/>
    <cellStyle name="20% - Accent6 3 2 4 2 5" xfId="29062" xr:uid="{D3BF6E91-5430-46B5-9004-C08845F09992}"/>
    <cellStyle name="20% - Accent6 3 2 4 3" xfId="5790" xr:uid="{00000000-0005-0000-0000-00007F030000}"/>
    <cellStyle name="20% - Accent6 3 2 4 3 2" xfId="14240" xr:uid="{E4723EA6-0780-4DAF-B1C8-F8AB33695D31}"/>
    <cellStyle name="20% - Accent6 3 2 4 3 3" xfId="22687" xr:uid="{DD725C52-78D1-4662-89E1-BAF56A11C33C}"/>
    <cellStyle name="20% - Accent6 3 2 4 3 4" xfId="31134" xr:uid="{1A2BBE87-FD15-4A10-8572-3E42565E9679}"/>
    <cellStyle name="20% - Accent6 3 2 4 4" xfId="10022" xr:uid="{1D0703D4-333A-4618-8568-04C2433FABAE}"/>
    <cellStyle name="20% - Accent6 3 2 4 5" xfId="18470" xr:uid="{B771C3E2-10BF-4F16-A57A-747F45C8B44C}"/>
    <cellStyle name="20% - Accent6 3 2 4 6" xfId="26917" xr:uid="{0A4719E7-F5F4-49DA-8D42-8278F8FB83C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7789F7F2-9D98-49F6-AD5A-30B23640BD0B}"/>
    <cellStyle name="20% - Accent6 3 2 5 2 2 3" xfId="25245" xr:uid="{7AD2312A-B239-4393-8615-3563224C786A}"/>
    <cellStyle name="20% - Accent6 3 2 5 2 2 4" xfId="33692" xr:uid="{153BA953-004C-4C60-9503-731502102618}"/>
    <cellStyle name="20% - Accent6 3 2 5 2 3" xfId="12580" xr:uid="{9138E42D-3C18-4727-80BD-94AAAE9F8B24}"/>
    <cellStyle name="20% - Accent6 3 2 5 2 4" xfId="21028" xr:uid="{7B7A3E72-5959-4F63-942B-7FF9C4FDAA39}"/>
    <cellStyle name="20% - Accent6 3 2 5 2 5" xfId="29475" xr:uid="{1C6D0C8C-DB42-47A8-9909-8C0E27EF7294}"/>
    <cellStyle name="20% - Accent6 3 2 5 3" xfId="6203" xr:uid="{00000000-0005-0000-0000-000083030000}"/>
    <cellStyle name="20% - Accent6 3 2 5 3 2" xfId="14653" xr:uid="{C15D3223-D48E-47B2-A3C1-E8AB7E00EE41}"/>
    <cellStyle name="20% - Accent6 3 2 5 3 3" xfId="23100" xr:uid="{86163CA5-5970-486A-B16E-CA02C96C3F61}"/>
    <cellStyle name="20% - Accent6 3 2 5 3 4" xfId="31547" xr:uid="{00718CC0-7947-40CC-ACBD-949D4D5F505C}"/>
    <cellStyle name="20% - Accent6 3 2 5 4" xfId="10435" xr:uid="{0A05A5DC-8BE2-4851-9B48-940E8DA490CA}"/>
    <cellStyle name="20% - Accent6 3 2 5 5" xfId="18883" xr:uid="{E84D26E4-DCEF-45F3-AFE5-14C9960AF235}"/>
    <cellStyle name="20% - Accent6 3 2 5 6" xfId="27330" xr:uid="{05C14756-08F3-401D-943F-18BE2F1852E2}"/>
    <cellStyle name="20% - Accent6 3 2 6" xfId="2310" xr:uid="{00000000-0005-0000-0000-000084030000}"/>
    <cellStyle name="20% - Accent6 3 2 6 2" xfId="6616" xr:uid="{00000000-0005-0000-0000-000085030000}"/>
    <cellStyle name="20% - Accent6 3 2 6 2 2" xfId="15066" xr:uid="{8E5D210D-D12B-4511-972E-C5C499B55EE0}"/>
    <cellStyle name="20% - Accent6 3 2 6 2 3" xfId="23513" xr:uid="{2D0F6327-A2F3-4F78-AE6D-0734A780145E}"/>
    <cellStyle name="20% - Accent6 3 2 6 2 4" xfId="31960" xr:uid="{9D727064-197D-4638-9A91-42A561560BA9}"/>
    <cellStyle name="20% - Accent6 3 2 6 3" xfId="10848" xr:uid="{EF5F672B-E149-48AB-8EBF-EB3A0D595609}"/>
    <cellStyle name="20% - Accent6 3 2 6 4" xfId="19296" xr:uid="{EE45B2A2-95B1-4636-9AAE-256356450767}"/>
    <cellStyle name="20% - Accent6 3 2 6 5" xfId="27743" xr:uid="{744BA6CD-5557-4D2E-99CB-5B960CEF0170}"/>
    <cellStyle name="20% - Accent6 3 2 7" xfId="4550" xr:uid="{00000000-0005-0000-0000-000086030000}"/>
    <cellStyle name="20% - Accent6 3 2 7 2" xfId="13000" xr:uid="{9C07A08B-B83D-4BD3-B11A-365CD7819003}"/>
    <cellStyle name="20% - Accent6 3 2 7 3" xfId="21447" xr:uid="{845D2B1C-3D93-4F95-A6DF-8FEB65284793}"/>
    <cellStyle name="20% - Accent6 3 2 7 4" xfId="29894" xr:uid="{7343090B-9884-4A93-884B-D19BFB5E86A0}"/>
    <cellStyle name="20% - Accent6 3 2 8" xfId="8782" xr:uid="{26ACCDF2-EA77-4D44-ADAD-58A00A6B02ED}"/>
    <cellStyle name="20% - Accent6 3 2 9" xfId="17230" xr:uid="{FFBB79B0-816B-41E3-ADB6-F06A13AB638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E2ECB764-65F0-4E62-8B22-4ACF67BAF28A}"/>
    <cellStyle name="20% - Accent6 3 3 2 2 3" xfId="24005" xr:uid="{25E91251-84EC-422A-806C-2DE7B6A184AB}"/>
    <cellStyle name="20% - Accent6 3 3 2 2 4" xfId="32452" xr:uid="{7C8B3D1C-97BF-4124-B7D9-A76C2605E7E2}"/>
    <cellStyle name="20% - Accent6 3 3 2 3" xfId="11340" xr:uid="{6645BC20-C512-42B7-9E81-845AFC5EED3A}"/>
    <cellStyle name="20% - Accent6 3 3 2 4" xfId="19788" xr:uid="{572DF987-5D80-48E9-86BF-4F0A61468A3E}"/>
    <cellStyle name="20% - Accent6 3 3 2 5" xfId="28235" xr:uid="{D7CA6188-69A3-4AF0-8E06-5D40476BB9A3}"/>
    <cellStyle name="20% - Accent6 3 3 3" xfId="4963" xr:uid="{00000000-0005-0000-0000-00008A030000}"/>
    <cellStyle name="20% - Accent6 3 3 3 2" xfId="13413" xr:uid="{B6EC3FE4-079F-4E97-BDEC-C14A42D7CEBB}"/>
    <cellStyle name="20% - Accent6 3 3 3 3" xfId="21860" xr:uid="{C15BCD04-70CB-4595-8C6A-22971D643578}"/>
    <cellStyle name="20% - Accent6 3 3 3 4" xfId="30307" xr:uid="{E8D43047-C85C-45C5-A596-A0F989AB0B84}"/>
    <cellStyle name="20% - Accent6 3 3 4" xfId="9195" xr:uid="{0C743129-426B-4021-BC74-BF66D65EAA43}"/>
    <cellStyle name="20% - Accent6 3 3 5" xfId="17643" xr:uid="{9E73A9F0-6567-4450-8A4A-02FCAD729F21}"/>
    <cellStyle name="20% - Accent6 3 3 6" xfId="26090" xr:uid="{A1AC1AC7-0BBE-4200-969D-9932668B58A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7F8CD571-0EE9-4602-A70C-9BADA0BFCE45}"/>
    <cellStyle name="20% - Accent6 3 4 2 2 3" xfId="24418" xr:uid="{E8E59D1A-89F0-43D7-A10D-22833F8AD519}"/>
    <cellStyle name="20% - Accent6 3 4 2 2 4" xfId="32865" xr:uid="{DF75AC7B-FEB6-4E05-830C-4B69F5EE0B86}"/>
    <cellStyle name="20% - Accent6 3 4 2 3" xfId="11753" xr:uid="{F6006E10-A429-438F-B025-C3B18A69E2CA}"/>
    <cellStyle name="20% - Accent6 3 4 2 4" xfId="20201" xr:uid="{687437B9-F598-4FBE-B4DA-FA8B4B69F05C}"/>
    <cellStyle name="20% - Accent6 3 4 2 5" xfId="28648" xr:uid="{F5954599-AD80-4F4E-8008-C2425898EA1B}"/>
    <cellStyle name="20% - Accent6 3 4 3" xfId="5376" xr:uid="{00000000-0005-0000-0000-00008E030000}"/>
    <cellStyle name="20% - Accent6 3 4 3 2" xfId="13826" xr:uid="{B743FAE2-8EFC-4F75-94EA-40CD9BD11CD9}"/>
    <cellStyle name="20% - Accent6 3 4 3 3" xfId="22273" xr:uid="{57A1621F-3CA5-45F0-9E79-D5059CBFD4F8}"/>
    <cellStyle name="20% - Accent6 3 4 3 4" xfId="30720" xr:uid="{54A3F193-F587-48F8-AA75-A62655EA31CE}"/>
    <cellStyle name="20% - Accent6 3 4 4" xfId="9608" xr:uid="{989A91CC-E338-4E4A-A760-16803791D89C}"/>
    <cellStyle name="20% - Accent6 3 4 5" xfId="18056" xr:uid="{B1962EB8-6DB1-4E04-9634-16A632BDBCEC}"/>
    <cellStyle name="20% - Accent6 3 4 6" xfId="26503" xr:uid="{2B05406A-FC59-4011-86BF-3B6C6DC0379F}"/>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A413E5F4-E2F8-4F51-ACA0-AC0571F1D19E}"/>
    <cellStyle name="20% - Accent6 3 5 2 2 3" xfId="24831" xr:uid="{3B391248-0F80-4E91-9C21-81D63602A3DB}"/>
    <cellStyle name="20% - Accent6 3 5 2 2 4" xfId="33278" xr:uid="{2DDC9763-FB2E-4C6A-AA34-410E45934BBC}"/>
    <cellStyle name="20% - Accent6 3 5 2 3" xfId="12166" xr:uid="{5682CC9B-D9C5-49DB-8709-C34CAF116A57}"/>
    <cellStyle name="20% - Accent6 3 5 2 4" xfId="20614" xr:uid="{7779F90E-D604-4DC9-8DAC-808A6AD58EB8}"/>
    <cellStyle name="20% - Accent6 3 5 2 5" xfId="29061" xr:uid="{6FE82B19-0310-4314-9E6F-5143CBFDD520}"/>
    <cellStyle name="20% - Accent6 3 5 3" xfId="5789" xr:uid="{00000000-0005-0000-0000-000092030000}"/>
    <cellStyle name="20% - Accent6 3 5 3 2" xfId="14239" xr:uid="{7C9FFF1C-9A87-4401-BEE6-D3651C125ECB}"/>
    <cellStyle name="20% - Accent6 3 5 3 3" xfId="22686" xr:uid="{630E4C3A-1414-48F0-B27F-710B9A1DF098}"/>
    <cellStyle name="20% - Accent6 3 5 3 4" xfId="31133" xr:uid="{1FD04059-9534-4AD4-8B6C-694FBED8544E}"/>
    <cellStyle name="20% - Accent6 3 5 4" xfId="10021" xr:uid="{1DF77381-5C37-4D57-9E25-D966C92D81AD}"/>
    <cellStyle name="20% - Accent6 3 5 5" xfId="18469" xr:uid="{D1EACE32-D696-4218-89FE-C9E160173875}"/>
    <cellStyle name="20% - Accent6 3 5 6" xfId="26916" xr:uid="{22A2C4D2-9882-402A-9F63-79222FC51E3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22DC1144-7AF2-47A3-9CD0-D9768AED8F71}"/>
    <cellStyle name="20% - Accent6 3 6 2 2 3" xfId="25244" xr:uid="{3A35983F-52EF-4F00-9BE8-FF13E3C9231D}"/>
    <cellStyle name="20% - Accent6 3 6 2 2 4" xfId="33691" xr:uid="{3A3E4443-EBB1-4EC1-AC53-78C4E183D3A1}"/>
    <cellStyle name="20% - Accent6 3 6 2 3" xfId="12579" xr:uid="{3F0DE3EA-6828-418E-A012-C476878AC9A8}"/>
    <cellStyle name="20% - Accent6 3 6 2 4" xfId="21027" xr:uid="{0FC63ADD-E8AA-4E94-82A1-27FC3C738AD0}"/>
    <cellStyle name="20% - Accent6 3 6 2 5" xfId="29474" xr:uid="{DA9152E2-3C83-4EE5-863A-E06220EFDE05}"/>
    <cellStyle name="20% - Accent6 3 6 3" xfId="6202" xr:uid="{00000000-0005-0000-0000-000096030000}"/>
    <cellStyle name="20% - Accent6 3 6 3 2" xfId="14652" xr:uid="{714898C4-A8E7-48EF-9751-03573A829131}"/>
    <cellStyle name="20% - Accent6 3 6 3 3" xfId="23099" xr:uid="{0B31605C-F093-40A3-AFA9-D3616D2EE6ED}"/>
    <cellStyle name="20% - Accent6 3 6 3 4" xfId="31546" xr:uid="{7A94BA9F-AD71-43B1-908A-7474EC3B1D25}"/>
    <cellStyle name="20% - Accent6 3 6 4" xfId="10434" xr:uid="{6D897190-CBD5-4E95-9258-B52738497CC8}"/>
    <cellStyle name="20% - Accent6 3 6 5" xfId="18882" xr:uid="{76240D3B-C7F1-4491-BF35-CDD29AB95A8D}"/>
    <cellStyle name="20% - Accent6 3 6 6" xfId="27329" xr:uid="{481FBDA1-0A53-4615-B0E7-0FEBE323BFFB}"/>
    <cellStyle name="20% - Accent6 3 7" xfId="2309" xr:uid="{00000000-0005-0000-0000-000097030000}"/>
    <cellStyle name="20% - Accent6 3 7 2" xfId="6615" xr:uid="{00000000-0005-0000-0000-000098030000}"/>
    <cellStyle name="20% - Accent6 3 7 2 2" xfId="15065" xr:uid="{F451C08E-41E9-45F9-B727-780A3572147E}"/>
    <cellStyle name="20% - Accent6 3 7 2 3" xfId="23512" xr:uid="{3D0A7D0D-3609-4A65-98F1-30483B8253C5}"/>
    <cellStyle name="20% - Accent6 3 7 2 4" xfId="31959" xr:uid="{11AC1F93-0C34-432E-8935-482F6E0EE16F}"/>
    <cellStyle name="20% - Accent6 3 7 3" xfId="10847" xr:uid="{6AEF09D2-ECC9-433A-9C3A-0A708A35AD02}"/>
    <cellStyle name="20% - Accent6 3 7 4" xfId="19295" xr:uid="{5D924783-55C4-405A-BFB1-8BFEEF282033}"/>
    <cellStyle name="20% - Accent6 3 7 5" xfId="27742" xr:uid="{5ABAB02C-73C8-450D-AC16-C5D21460E2BB}"/>
    <cellStyle name="20% - Accent6 3 8" xfId="4549" xr:uid="{00000000-0005-0000-0000-000099030000}"/>
    <cellStyle name="20% - Accent6 3 8 2" xfId="12999" xr:uid="{42622E88-EDE8-4D65-A798-81B729C43877}"/>
    <cellStyle name="20% - Accent6 3 8 3" xfId="21446" xr:uid="{B150B227-210F-4A83-9106-D3C3EC28AF17}"/>
    <cellStyle name="20% - Accent6 3 8 4" xfId="29893" xr:uid="{F3D61C52-B2AA-42D4-9D62-B1263EC0CD67}"/>
    <cellStyle name="20% - Accent6 3 9" xfId="8781" xr:uid="{EAB47C1B-1DFD-490E-8A0D-4311B7A77D93}"/>
    <cellStyle name="20% - Accent6 4" xfId="48" xr:uid="{00000000-0005-0000-0000-00009A030000}"/>
    <cellStyle name="20% - Accent6 4 10" xfId="25678" xr:uid="{B3CA4D2D-CE2C-4464-9797-B09D2649792E}"/>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2ACEBEC4-ED33-4E03-9255-3E5AFEF3A540}"/>
    <cellStyle name="20% - Accent6 4 2 2 2 3" xfId="24007" xr:uid="{DD30B91F-46C4-4D27-9870-48EC26C7DA1D}"/>
    <cellStyle name="20% - Accent6 4 2 2 2 4" xfId="32454" xr:uid="{ACEC26FC-5B93-448F-9EB1-3ACD5058D9DC}"/>
    <cellStyle name="20% - Accent6 4 2 2 3" xfId="11342" xr:uid="{3A64F551-FC86-49D8-B212-72E5A2A760DC}"/>
    <cellStyle name="20% - Accent6 4 2 2 4" xfId="19790" xr:uid="{E50E77FF-C367-4641-B6ED-485E8DA987A7}"/>
    <cellStyle name="20% - Accent6 4 2 2 5" xfId="28237" xr:uid="{422C5FFC-EDAE-4C08-9E23-7B7F77AD8070}"/>
    <cellStyle name="20% - Accent6 4 2 3" xfId="4965" xr:uid="{00000000-0005-0000-0000-00009E030000}"/>
    <cellStyle name="20% - Accent6 4 2 3 2" xfId="13415" xr:uid="{B34AFEFA-66E8-47B3-BC24-770446BF6024}"/>
    <cellStyle name="20% - Accent6 4 2 3 3" xfId="21862" xr:uid="{C76649A5-952F-4546-9CE6-0C184C8E7357}"/>
    <cellStyle name="20% - Accent6 4 2 3 4" xfId="30309" xr:uid="{7C947722-8B3E-4EF7-9291-352FE79A17BC}"/>
    <cellStyle name="20% - Accent6 4 2 4" xfId="9197" xr:uid="{80748DE4-2FC9-4AC6-BF7E-ABDAE8D8A052}"/>
    <cellStyle name="20% - Accent6 4 2 5" xfId="17645" xr:uid="{4B286CC3-23B2-4052-AA39-11F28229D4C4}"/>
    <cellStyle name="20% - Accent6 4 2 6" xfId="26092" xr:uid="{A28793A5-781D-47D7-932E-444EE9ED6871}"/>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3515DDFC-C754-45FA-B99A-99C071369740}"/>
    <cellStyle name="20% - Accent6 4 3 2 2 3" xfId="24420" xr:uid="{42445A35-8290-4A9A-BE02-204A195738DF}"/>
    <cellStyle name="20% - Accent6 4 3 2 2 4" xfId="32867" xr:uid="{D0ED43FA-01D2-4466-8B50-78030E912100}"/>
    <cellStyle name="20% - Accent6 4 3 2 3" xfId="11755" xr:uid="{D97E46AA-C988-4B8C-B8BF-3ED8D037D8DE}"/>
    <cellStyle name="20% - Accent6 4 3 2 4" xfId="20203" xr:uid="{43FA7C14-770E-4AC8-AD41-2D2F6DA0D31F}"/>
    <cellStyle name="20% - Accent6 4 3 2 5" xfId="28650" xr:uid="{A4BCD627-A033-4842-AC80-4FD09731277C}"/>
    <cellStyle name="20% - Accent6 4 3 3" xfId="5378" xr:uid="{00000000-0005-0000-0000-0000A2030000}"/>
    <cellStyle name="20% - Accent6 4 3 3 2" xfId="13828" xr:uid="{31F92917-461B-4AB1-AA06-605215C8C4F6}"/>
    <cellStyle name="20% - Accent6 4 3 3 3" xfId="22275" xr:uid="{393173AE-BA0C-49AD-A6C4-DBADAF0B6EFC}"/>
    <cellStyle name="20% - Accent6 4 3 3 4" xfId="30722" xr:uid="{02384CA3-D66D-4B20-A3C3-C27295EC5D1B}"/>
    <cellStyle name="20% - Accent6 4 3 4" xfId="9610" xr:uid="{ACD6038E-5E3B-46C1-8657-A22528D1AAEA}"/>
    <cellStyle name="20% - Accent6 4 3 5" xfId="18058" xr:uid="{A0373F70-6D26-45F4-BE12-DAE40F0E4804}"/>
    <cellStyle name="20% - Accent6 4 3 6" xfId="26505" xr:uid="{B407A3F4-42A4-458E-9476-F0F467EEA21C}"/>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BCAC90A6-2885-449D-9C58-C7EAB141BDB2}"/>
    <cellStyle name="20% - Accent6 4 4 2 2 3" xfId="24833" xr:uid="{59727665-79C8-43E5-B497-A6780E6464FD}"/>
    <cellStyle name="20% - Accent6 4 4 2 2 4" xfId="33280" xr:uid="{D6DB3F84-A5FE-43F6-A141-84F81C1E41BC}"/>
    <cellStyle name="20% - Accent6 4 4 2 3" xfId="12168" xr:uid="{0DB7FB3B-ABDE-476D-8542-6F2085EA88A6}"/>
    <cellStyle name="20% - Accent6 4 4 2 4" xfId="20616" xr:uid="{915AEFB0-6D6A-4B8C-9F2E-F212AD879E15}"/>
    <cellStyle name="20% - Accent6 4 4 2 5" xfId="29063" xr:uid="{0A4AECB1-3F05-421F-BA65-13CE256A413C}"/>
    <cellStyle name="20% - Accent6 4 4 3" xfId="5791" xr:uid="{00000000-0005-0000-0000-0000A6030000}"/>
    <cellStyle name="20% - Accent6 4 4 3 2" xfId="14241" xr:uid="{BE5E27A4-2440-46D6-A04B-76AE8D36A92E}"/>
    <cellStyle name="20% - Accent6 4 4 3 3" xfId="22688" xr:uid="{814A81C7-A483-48F9-B282-663822A79B08}"/>
    <cellStyle name="20% - Accent6 4 4 3 4" xfId="31135" xr:uid="{DBD879A5-BB96-4B3F-9BD3-62B32E24D671}"/>
    <cellStyle name="20% - Accent6 4 4 4" xfId="10023" xr:uid="{0E4A14A9-7A3C-4657-BFAB-C8795A5127B9}"/>
    <cellStyle name="20% - Accent6 4 4 5" xfId="18471" xr:uid="{D14796A2-2193-4205-976D-36C68E159B85}"/>
    <cellStyle name="20% - Accent6 4 4 6" xfId="26918" xr:uid="{D6E5CEDA-3D6E-403F-AAA2-B90B855074F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7D198E9E-136B-41D5-9A81-5DE295E6B3DC}"/>
    <cellStyle name="20% - Accent6 4 5 2 2 3" xfId="25246" xr:uid="{D0A3BFA3-628D-4817-87B2-C1D6610C0293}"/>
    <cellStyle name="20% - Accent6 4 5 2 2 4" xfId="33693" xr:uid="{B0F5150A-D82A-454C-80E4-1310EF7AB53D}"/>
    <cellStyle name="20% - Accent6 4 5 2 3" xfId="12581" xr:uid="{6EC25052-24CB-4E59-B938-40C0697E1E6E}"/>
    <cellStyle name="20% - Accent6 4 5 2 4" xfId="21029" xr:uid="{A9ED1207-4786-4402-BA26-9782EA961BE1}"/>
    <cellStyle name="20% - Accent6 4 5 2 5" xfId="29476" xr:uid="{7261C4D4-BB9A-4FD3-9303-B8AE25913B0C}"/>
    <cellStyle name="20% - Accent6 4 5 3" xfId="6204" xr:uid="{00000000-0005-0000-0000-0000AA030000}"/>
    <cellStyle name="20% - Accent6 4 5 3 2" xfId="14654" xr:uid="{2E8361C6-426A-4952-94E2-C288D201F3B1}"/>
    <cellStyle name="20% - Accent6 4 5 3 3" xfId="23101" xr:uid="{E8924426-3AA4-4F51-A957-ED9CE2018AA6}"/>
    <cellStyle name="20% - Accent6 4 5 3 4" xfId="31548" xr:uid="{CBB34317-9660-4095-A446-32EA7ACF4293}"/>
    <cellStyle name="20% - Accent6 4 5 4" xfId="10436" xr:uid="{E9AF6306-FAFD-4B39-AC6E-2D1CB781935E}"/>
    <cellStyle name="20% - Accent6 4 5 5" xfId="18884" xr:uid="{FF93DB89-0C89-4F18-AC73-CBB722D390B8}"/>
    <cellStyle name="20% - Accent6 4 5 6" xfId="27331" xr:uid="{70143AF7-CEC8-4059-8E8D-64DCFDD05A25}"/>
    <cellStyle name="20% - Accent6 4 6" xfId="2311" xr:uid="{00000000-0005-0000-0000-0000AB030000}"/>
    <cellStyle name="20% - Accent6 4 6 2" xfId="6617" xr:uid="{00000000-0005-0000-0000-0000AC030000}"/>
    <cellStyle name="20% - Accent6 4 6 2 2" xfId="15067" xr:uid="{A993C3F3-C86B-4CD5-9B24-065E52CA612D}"/>
    <cellStyle name="20% - Accent6 4 6 2 3" xfId="23514" xr:uid="{756BDBE9-39FA-4B29-ABD9-E414F2217529}"/>
    <cellStyle name="20% - Accent6 4 6 2 4" xfId="31961" xr:uid="{2B1827EB-284D-45AA-9D44-0F50A72A0D5C}"/>
    <cellStyle name="20% - Accent6 4 6 3" xfId="10849" xr:uid="{33260305-9AF2-4856-81DE-8E65801C2C52}"/>
    <cellStyle name="20% - Accent6 4 6 4" xfId="19297" xr:uid="{42B3078C-47BC-40CC-8FEC-E09464405F63}"/>
    <cellStyle name="20% - Accent6 4 6 5" xfId="27744" xr:uid="{C44FB386-31E2-4FA3-AEF5-C69A17133E95}"/>
    <cellStyle name="20% - Accent6 4 7" xfId="4551" xr:uid="{00000000-0005-0000-0000-0000AD030000}"/>
    <cellStyle name="20% - Accent6 4 7 2" xfId="13001" xr:uid="{797D07D0-E5D8-4E4C-AA66-7F7F70BAC97E}"/>
    <cellStyle name="20% - Accent6 4 7 3" xfId="21448" xr:uid="{DA9ADE77-896E-497F-8205-0A7E6AD0C62F}"/>
    <cellStyle name="20% - Accent6 4 7 4" xfId="29895" xr:uid="{50DAF7AF-D855-4840-9D64-2A3FCF6C239E}"/>
    <cellStyle name="20% - Accent6 4 8" xfId="8783" xr:uid="{35AFE18C-D69B-4E7E-8EB7-ACF71ABB0402}"/>
    <cellStyle name="20% - Accent6 4 9" xfId="17231" xr:uid="{10B0AF7D-3878-4617-8DDB-617CBF35EB08}"/>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98926FED-5EA0-49E9-876A-1B31349A82F0}"/>
    <cellStyle name="20% - Accent6 5 2 2 3" xfId="24000" xr:uid="{1D8A1D32-6ED7-402E-9868-362DD32BDC37}"/>
    <cellStyle name="20% - Accent6 5 2 2 4" xfId="32447" xr:uid="{740484A7-5A8A-4864-9ECA-FF7C789C1143}"/>
    <cellStyle name="20% - Accent6 5 2 3" xfId="11335" xr:uid="{4504C3E7-B577-4064-B902-C1DFCB0C556A}"/>
    <cellStyle name="20% - Accent6 5 2 4" xfId="19783" xr:uid="{C095697B-311A-42AE-8F99-8A6569F5E418}"/>
    <cellStyle name="20% - Accent6 5 2 5" xfId="28230" xr:uid="{4C3046A8-4218-4829-90CA-3A6EA986607B}"/>
    <cellStyle name="20% - Accent6 5 3" xfId="4958" xr:uid="{00000000-0005-0000-0000-0000B1030000}"/>
    <cellStyle name="20% - Accent6 5 3 2" xfId="13408" xr:uid="{ED6A7302-1002-4B62-8F9C-842730FBB33D}"/>
    <cellStyle name="20% - Accent6 5 3 3" xfId="21855" xr:uid="{D1E4F541-BA20-4CF0-AC19-87F541BDCC8D}"/>
    <cellStyle name="20% - Accent6 5 3 4" xfId="30302" xr:uid="{0E457E39-F93F-450F-8B44-9FE26B5CCADE}"/>
    <cellStyle name="20% - Accent6 5 4" xfId="9190" xr:uid="{E233AF84-9F8D-4385-A9AE-D6E126A0DDD7}"/>
    <cellStyle name="20% - Accent6 5 5" xfId="17638" xr:uid="{61A6E264-A837-4CA7-8B08-F225C75ADB57}"/>
    <cellStyle name="20% - Accent6 5 6" xfId="26085" xr:uid="{6B1A40D7-DB72-43AE-9AD8-941F0641C182}"/>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FED76B7B-ED13-4CD0-9C0E-0F474317EE0C}"/>
    <cellStyle name="20% - Accent6 6 2 2 3" xfId="24413" xr:uid="{08BDA366-4883-455E-B23D-66F5C70746DA}"/>
    <cellStyle name="20% - Accent6 6 2 2 4" xfId="32860" xr:uid="{6E1A1FEF-9812-4A2D-8DF7-56B798EB638A}"/>
    <cellStyle name="20% - Accent6 6 2 3" xfId="11748" xr:uid="{9C76DC1E-45CF-483E-AEAB-A7AB6D67C474}"/>
    <cellStyle name="20% - Accent6 6 2 4" xfId="20196" xr:uid="{C6E81B5B-A4EC-4BC8-8C2E-EB3DD4188C67}"/>
    <cellStyle name="20% - Accent6 6 2 5" xfId="28643" xr:uid="{392F5F85-5C2D-4C46-9D52-C6DE7062012B}"/>
    <cellStyle name="20% - Accent6 6 3" xfId="5371" xr:uid="{00000000-0005-0000-0000-0000B5030000}"/>
    <cellStyle name="20% - Accent6 6 3 2" xfId="13821" xr:uid="{A872EF4B-DFE9-4B0B-A6AF-362F56652DAB}"/>
    <cellStyle name="20% - Accent6 6 3 3" xfId="22268" xr:uid="{8266AA80-3901-4A1D-B8C5-DDFB5C1B6642}"/>
    <cellStyle name="20% - Accent6 6 3 4" xfId="30715" xr:uid="{74699937-7D4E-4A31-B1D6-C0DECA1BE013}"/>
    <cellStyle name="20% - Accent6 6 4" xfId="9603" xr:uid="{E682BF3F-49B1-4047-A8EA-B01F25BAF049}"/>
    <cellStyle name="20% - Accent6 6 5" xfId="18051" xr:uid="{75A62537-1F07-4C4B-ABB5-37C18944AC8E}"/>
    <cellStyle name="20% - Accent6 6 6" xfId="26498" xr:uid="{AC2FE096-3FD8-4FCA-AAE4-EB038EC9CE4E}"/>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B40B7B45-4D29-4DBF-99FE-42A8BFD9BD1C}"/>
    <cellStyle name="20% - Accent6 7 2 2 3" xfId="24826" xr:uid="{7ADA32C2-7712-49F1-A070-2D16B22121AA}"/>
    <cellStyle name="20% - Accent6 7 2 2 4" xfId="33273" xr:uid="{8CF65E92-6853-4A86-94F0-418B725EE522}"/>
    <cellStyle name="20% - Accent6 7 2 3" xfId="12161" xr:uid="{F5652943-9E14-40DD-9FBB-B56D2F1505E1}"/>
    <cellStyle name="20% - Accent6 7 2 4" xfId="20609" xr:uid="{A6711923-D666-4613-A25F-5BC3037743DD}"/>
    <cellStyle name="20% - Accent6 7 2 5" xfId="29056" xr:uid="{8EA78F0F-A8F6-4C38-A7C3-A9A6FD231084}"/>
    <cellStyle name="20% - Accent6 7 3" xfId="5784" xr:uid="{00000000-0005-0000-0000-0000B9030000}"/>
    <cellStyle name="20% - Accent6 7 3 2" xfId="14234" xr:uid="{E1279564-9E3A-4AF7-AB04-22289629C625}"/>
    <cellStyle name="20% - Accent6 7 3 3" xfId="22681" xr:uid="{8CAF12F0-467D-4A13-8721-9AAFA4160AC1}"/>
    <cellStyle name="20% - Accent6 7 3 4" xfId="31128" xr:uid="{8B7D9CE3-B8ED-4DD3-B105-E091D27E2AF3}"/>
    <cellStyle name="20% - Accent6 7 4" xfId="10016" xr:uid="{CE098C0A-B265-4E5C-A84B-D4F838DE4103}"/>
    <cellStyle name="20% - Accent6 7 5" xfId="18464" xr:uid="{F3E5D700-4A41-409B-8DC8-1000AA4CC9E4}"/>
    <cellStyle name="20% - Accent6 7 6" xfId="26911" xr:uid="{88E2282C-26A8-4847-828E-068A93DE8181}"/>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EE256DF3-827D-4EBF-BB2B-C0CDA78B5393}"/>
    <cellStyle name="20% - Accent6 8 2 2 3" xfId="25239" xr:uid="{B20DABB2-D406-42CB-95AA-D89F456CA5C2}"/>
    <cellStyle name="20% - Accent6 8 2 2 4" xfId="33686" xr:uid="{627D11EC-4CCC-4208-B38F-495C3313A0BD}"/>
    <cellStyle name="20% - Accent6 8 2 3" xfId="12574" xr:uid="{6485C3C9-BBA1-4D17-A35F-640C8380A131}"/>
    <cellStyle name="20% - Accent6 8 2 4" xfId="21022" xr:uid="{A11F2489-4A69-4EF5-BB7D-537791F8446C}"/>
    <cellStyle name="20% - Accent6 8 2 5" xfId="29469" xr:uid="{E2F19B2A-8465-4794-8DBE-BBBDF2E6F407}"/>
    <cellStyle name="20% - Accent6 8 3" xfId="6197" xr:uid="{00000000-0005-0000-0000-0000BD030000}"/>
    <cellStyle name="20% - Accent6 8 3 2" xfId="14647" xr:uid="{3D10CC73-D970-4E81-B92F-E5418A32FC47}"/>
    <cellStyle name="20% - Accent6 8 3 3" xfId="23094" xr:uid="{59C1221D-7003-41DE-8D0C-1C59A818A6BF}"/>
    <cellStyle name="20% - Accent6 8 3 4" xfId="31541" xr:uid="{56417FCB-60FF-4B40-BD7E-1B8CF9A69B35}"/>
    <cellStyle name="20% - Accent6 8 4" xfId="10429" xr:uid="{A13B3132-DECE-4E43-9711-1CA3FD2C1A58}"/>
    <cellStyle name="20% - Accent6 8 5" xfId="18877" xr:uid="{08626E8A-E67D-401C-A2DC-0C9BC5780255}"/>
    <cellStyle name="20% - Accent6 8 6" xfId="27324" xr:uid="{D032D220-0F37-49F5-8F02-2CEA16C8ECCE}"/>
    <cellStyle name="20% - Accent6 9" xfId="2304" xr:uid="{00000000-0005-0000-0000-0000BE030000}"/>
    <cellStyle name="20% - Accent6 9 2" xfId="6610" xr:uid="{00000000-0005-0000-0000-0000BF030000}"/>
    <cellStyle name="20% - Accent6 9 2 2" xfId="15060" xr:uid="{F32ABF2C-EB97-42A2-9279-C14106B3B171}"/>
    <cellStyle name="20% - Accent6 9 2 3" xfId="23507" xr:uid="{A508A9BC-161E-4520-953C-FD26EC7FC563}"/>
    <cellStyle name="20% - Accent6 9 2 4" xfId="31954" xr:uid="{33C05776-FC2D-4A4F-897F-A2D8D3AF6D31}"/>
    <cellStyle name="20% - Accent6 9 3" xfId="10842" xr:uid="{61FA2744-E8F0-485A-9127-6EE89EB750FA}"/>
    <cellStyle name="20% - Accent6 9 4" xfId="19290" xr:uid="{F8ACBF4A-F91F-42BF-BC2E-E592E9D64519}"/>
    <cellStyle name="20% - Accent6 9 5" xfId="27737" xr:uid="{73DBF214-E69D-4EAA-9550-101D7A548F09}"/>
    <cellStyle name="40% - Accent1" xfId="49" builtinId="31" customBuiltin="1"/>
    <cellStyle name="40% - Accent1 10" xfId="4552" xr:uid="{00000000-0005-0000-0000-0000C1030000}"/>
    <cellStyle name="40% - Accent1 10 2" xfId="13002" xr:uid="{AECD5BE3-9A7D-4B07-8F48-CA694B2DD833}"/>
    <cellStyle name="40% - Accent1 10 3" xfId="21449" xr:uid="{4E92F403-D9D8-4942-AC0C-BBEB0F739676}"/>
    <cellStyle name="40% - Accent1 10 4" xfId="29896" xr:uid="{19F0B80A-BD29-4455-94E5-1A5B4C884050}"/>
    <cellStyle name="40% - Accent1 11" xfId="8784" xr:uid="{1C86AC2E-FABE-4F73-9745-0C3B3A809528}"/>
    <cellStyle name="40% - Accent1 12" xfId="17232" xr:uid="{38C54F0A-4926-4F14-BF49-092AD8CFFE97}"/>
    <cellStyle name="40% - Accent1 13" xfId="25679" xr:uid="{3B5E87B1-73F5-4D45-B4B8-86373722C831}"/>
    <cellStyle name="40% - Accent1 2" xfId="50" xr:uid="{00000000-0005-0000-0000-0000C2030000}"/>
    <cellStyle name="40% - Accent1 2 10" xfId="8785" xr:uid="{AD7B6DAD-43DB-45F7-8043-5717FB7151F8}"/>
    <cellStyle name="40% - Accent1 2 11" xfId="17233" xr:uid="{B28085A6-46FA-45DC-BCF8-4B74F90EE3C4}"/>
    <cellStyle name="40% - Accent1 2 12" xfId="25680" xr:uid="{89B04863-B835-4043-93A5-873D0C8027B0}"/>
    <cellStyle name="40% - Accent1 2 2" xfId="51" xr:uid="{00000000-0005-0000-0000-0000C3030000}"/>
    <cellStyle name="40% - Accent1 2 2 10" xfId="17234" xr:uid="{564C06DF-C525-478E-B448-49669A20378F}"/>
    <cellStyle name="40% - Accent1 2 2 11" xfId="25681" xr:uid="{31DF9CAC-88BB-498C-BF83-DEBADDABCD2B}"/>
    <cellStyle name="40% - Accent1 2 2 2" xfId="52" xr:uid="{00000000-0005-0000-0000-0000C4030000}"/>
    <cellStyle name="40% - Accent1 2 2 2 10" xfId="25682" xr:uid="{65C73516-21AA-4B7C-912F-8AD1512879C4}"/>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4128B7F6-64B4-46D9-835A-3CB12B14B156}"/>
    <cellStyle name="40% - Accent1 2 2 2 2 2 2 3" xfId="24011" xr:uid="{A7C4FA4B-739D-43F9-8E9E-5480DBE9C1A9}"/>
    <cellStyle name="40% - Accent1 2 2 2 2 2 2 4" xfId="32458" xr:uid="{F611B5A8-5168-4844-A2AF-B4ACCEB24F9A}"/>
    <cellStyle name="40% - Accent1 2 2 2 2 2 3" xfId="11346" xr:uid="{9A886DB5-1DB7-4F91-962B-512A1BD6D759}"/>
    <cellStyle name="40% - Accent1 2 2 2 2 2 4" xfId="19794" xr:uid="{E172B0B9-4B19-4FC4-B81A-80C4CD523A93}"/>
    <cellStyle name="40% - Accent1 2 2 2 2 2 5" xfId="28241" xr:uid="{4D227E3A-AB05-4262-8610-A6342B20065A}"/>
    <cellStyle name="40% - Accent1 2 2 2 2 3" xfId="4969" xr:uid="{00000000-0005-0000-0000-0000C8030000}"/>
    <cellStyle name="40% - Accent1 2 2 2 2 3 2" xfId="13419" xr:uid="{4D1E4A03-8D0A-4A51-BE98-452DFD9286A2}"/>
    <cellStyle name="40% - Accent1 2 2 2 2 3 3" xfId="21866" xr:uid="{5988F209-C8A7-4732-957B-93E9CA259481}"/>
    <cellStyle name="40% - Accent1 2 2 2 2 3 4" xfId="30313" xr:uid="{C11B4336-1F9B-41E7-800C-57B7E662D860}"/>
    <cellStyle name="40% - Accent1 2 2 2 2 4" xfId="9201" xr:uid="{4902D0A3-C956-4D81-9806-9465DA9F4C47}"/>
    <cellStyle name="40% - Accent1 2 2 2 2 5" xfId="17649" xr:uid="{2A8B8D32-CA0A-40C5-AB31-6ECF8F11B4C2}"/>
    <cellStyle name="40% - Accent1 2 2 2 2 6" xfId="26096" xr:uid="{9912E352-6E7C-4271-8DBE-C09EC8201B5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28370226-0D4D-4849-8B1F-15B84CCF31D2}"/>
    <cellStyle name="40% - Accent1 2 2 2 3 2 2 3" xfId="24424" xr:uid="{7BEC776D-CFFB-4CF2-8459-CBE73337A0B6}"/>
    <cellStyle name="40% - Accent1 2 2 2 3 2 2 4" xfId="32871" xr:uid="{AC4FC6C4-735E-4D1C-A5BF-A18A654F6873}"/>
    <cellStyle name="40% - Accent1 2 2 2 3 2 3" xfId="11759" xr:uid="{8A571DD4-B224-4361-9BE5-683B0D539871}"/>
    <cellStyle name="40% - Accent1 2 2 2 3 2 4" xfId="20207" xr:uid="{2EE107B6-8AB3-4727-9BFE-5B0B0288D895}"/>
    <cellStyle name="40% - Accent1 2 2 2 3 2 5" xfId="28654" xr:uid="{4C47F4A3-37D9-4F44-A397-3A299470F7BC}"/>
    <cellStyle name="40% - Accent1 2 2 2 3 3" xfId="5382" xr:uid="{00000000-0005-0000-0000-0000CC030000}"/>
    <cellStyle name="40% - Accent1 2 2 2 3 3 2" xfId="13832" xr:uid="{B5A3F8B1-B6F0-465E-833D-C8B9AC1FB93F}"/>
    <cellStyle name="40% - Accent1 2 2 2 3 3 3" xfId="22279" xr:uid="{B262996D-F9F9-493B-886B-949B27D2E1B6}"/>
    <cellStyle name="40% - Accent1 2 2 2 3 3 4" xfId="30726" xr:uid="{37A679FE-2B9D-4D44-8A46-54187C3BD291}"/>
    <cellStyle name="40% - Accent1 2 2 2 3 4" xfId="9614" xr:uid="{BF31F148-9799-4138-B471-BA5C25C0180E}"/>
    <cellStyle name="40% - Accent1 2 2 2 3 5" xfId="18062" xr:uid="{9B0C0F16-3758-4CE4-98F6-B86C9113E8EA}"/>
    <cellStyle name="40% - Accent1 2 2 2 3 6" xfId="26509" xr:uid="{539C660C-1A95-4D6E-BE88-5680DAE5089A}"/>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9B679B51-8819-4B89-8879-8D17FF887079}"/>
    <cellStyle name="40% - Accent1 2 2 2 4 2 2 3" xfId="24837" xr:uid="{734784B8-6CBE-4AEC-9B71-60385E13588F}"/>
    <cellStyle name="40% - Accent1 2 2 2 4 2 2 4" xfId="33284" xr:uid="{5F08CB88-252D-4EBD-82C1-07A5B0EED552}"/>
    <cellStyle name="40% - Accent1 2 2 2 4 2 3" xfId="12172" xr:uid="{7BCD6F0C-197B-471F-AF82-5ADFCA2588C8}"/>
    <cellStyle name="40% - Accent1 2 2 2 4 2 4" xfId="20620" xr:uid="{C397349B-CCCD-4DF4-B9C0-4EC91C2C1937}"/>
    <cellStyle name="40% - Accent1 2 2 2 4 2 5" xfId="29067" xr:uid="{DD0859C0-840F-4A0C-B712-0907B3EC22F6}"/>
    <cellStyle name="40% - Accent1 2 2 2 4 3" xfId="5795" xr:uid="{00000000-0005-0000-0000-0000D0030000}"/>
    <cellStyle name="40% - Accent1 2 2 2 4 3 2" xfId="14245" xr:uid="{35F0B2C2-8980-41F2-84B2-AA99CC81C0F6}"/>
    <cellStyle name="40% - Accent1 2 2 2 4 3 3" xfId="22692" xr:uid="{2CBF07FA-A2D5-4E98-B81E-F82E175B4EF0}"/>
    <cellStyle name="40% - Accent1 2 2 2 4 3 4" xfId="31139" xr:uid="{F40F1D22-2F10-4117-B54A-EBB99B40F9FE}"/>
    <cellStyle name="40% - Accent1 2 2 2 4 4" xfId="10027" xr:uid="{7032CFB4-474E-48E8-9F92-A445183D5570}"/>
    <cellStyle name="40% - Accent1 2 2 2 4 5" xfId="18475" xr:uid="{3BDB70B1-3805-42B4-9817-C342779E8DD8}"/>
    <cellStyle name="40% - Accent1 2 2 2 4 6" xfId="26922" xr:uid="{0412A12A-AFDE-4EFB-AB85-26C5BE5E91A3}"/>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D3E1A105-0829-477F-ACAF-BF7CAC348D5C}"/>
    <cellStyle name="40% - Accent1 2 2 2 5 2 2 3" xfId="25250" xr:uid="{392B7E68-2573-4015-ADD5-FC15AEAB4132}"/>
    <cellStyle name="40% - Accent1 2 2 2 5 2 2 4" xfId="33697" xr:uid="{5F29E6ED-DD9B-4BB4-BA35-2C5977A670C4}"/>
    <cellStyle name="40% - Accent1 2 2 2 5 2 3" xfId="12585" xr:uid="{E36C32DC-3F9A-44F6-B953-C6B6148828F8}"/>
    <cellStyle name="40% - Accent1 2 2 2 5 2 4" xfId="21033" xr:uid="{0C09701E-7972-4EB8-ACE2-5642CCD26606}"/>
    <cellStyle name="40% - Accent1 2 2 2 5 2 5" xfId="29480" xr:uid="{DD167A83-CA00-458A-9AF9-2AF5335447D8}"/>
    <cellStyle name="40% - Accent1 2 2 2 5 3" xfId="6208" xr:uid="{00000000-0005-0000-0000-0000D4030000}"/>
    <cellStyle name="40% - Accent1 2 2 2 5 3 2" xfId="14658" xr:uid="{F1EB46D3-C7C7-482C-99CA-0E21D92EBDEA}"/>
    <cellStyle name="40% - Accent1 2 2 2 5 3 3" xfId="23105" xr:uid="{30D044AD-1AF1-4E37-95CF-FD5631E04715}"/>
    <cellStyle name="40% - Accent1 2 2 2 5 3 4" xfId="31552" xr:uid="{80229CD2-C1E0-4F2E-A236-C4D3E80FA464}"/>
    <cellStyle name="40% - Accent1 2 2 2 5 4" xfId="10440" xr:uid="{1559F1B9-621E-466E-931D-4F45A74E2937}"/>
    <cellStyle name="40% - Accent1 2 2 2 5 5" xfId="18888" xr:uid="{572643CE-FFE4-4510-8F5F-F127F4DA299F}"/>
    <cellStyle name="40% - Accent1 2 2 2 5 6" xfId="27335" xr:uid="{2CE75963-B034-4FC8-86A4-5766CCBE854F}"/>
    <cellStyle name="40% - Accent1 2 2 2 6" xfId="2315" xr:uid="{00000000-0005-0000-0000-0000D5030000}"/>
    <cellStyle name="40% - Accent1 2 2 2 6 2" xfId="6621" xr:uid="{00000000-0005-0000-0000-0000D6030000}"/>
    <cellStyle name="40% - Accent1 2 2 2 6 2 2" xfId="15071" xr:uid="{9A961123-0315-4972-A2A2-7374BD055DDC}"/>
    <cellStyle name="40% - Accent1 2 2 2 6 2 3" xfId="23518" xr:uid="{551C7A87-7BF8-42A3-92F2-0A30FEE4E8A1}"/>
    <cellStyle name="40% - Accent1 2 2 2 6 2 4" xfId="31965" xr:uid="{67CA5528-0044-4914-9301-0837AF70D8F6}"/>
    <cellStyle name="40% - Accent1 2 2 2 6 3" xfId="10853" xr:uid="{54024077-5BE6-49F4-9283-DC648F8C3A6C}"/>
    <cellStyle name="40% - Accent1 2 2 2 6 4" xfId="19301" xr:uid="{5ACBC9CA-23CD-45EE-B362-5B545B265031}"/>
    <cellStyle name="40% - Accent1 2 2 2 6 5" xfId="27748" xr:uid="{3D6C8547-6990-460F-9201-34EA284DE37A}"/>
    <cellStyle name="40% - Accent1 2 2 2 7" xfId="4555" xr:uid="{00000000-0005-0000-0000-0000D7030000}"/>
    <cellStyle name="40% - Accent1 2 2 2 7 2" xfId="13005" xr:uid="{96EC5AF3-A84F-4B39-A686-6C90E47CDBEA}"/>
    <cellStyle name="40% - Accent1 2 2 2 7 3" xfId="21452" xr:uid="{BA7E86CD-C449-45DC-9647-4695DAB168E7}"/>
    <cellStyle name="40% - Accent1 2 2 2 7 4" xfId="29899" xr:uid="{989DF71F-3768-49C1-AB4B-9DE824503EAC}"/>
    <cellStyle name="40% - Accent1 2 2 2 8" xfId="8787" xr:uid="{02D3D020-F5D8-4F7E-88FC-ADD47598AEA9}"/>
    <cellStyle name="40% - Accent1 2 2 2 9" xfId="17235" xr:uid="{6793BB17-FF50-43D3-A6D1-9FBFB5BA62BA}"/>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D6AB8709-5085-4C9A-B95E-D3B9AAF4147F}"/>
    <cellStyle name="40% - Accent1 2 2 3 2 2 3" xfId="24010" xr:uid="{B2A7C9AB-E635-4535-84BC-C07D25724D06}"/>
    <cellStyle name="40% - Accent1 2 2 3 2 2 4" xfId="32457" xr:uid="{2DF95068-01A6-4B40-B411-443CD0FC7143}"/>
    <cellStyle name="40% - Accent1 2 2 3 2 3" xfId="11345" xr:uid="{7BAA527F-1B28-4C18-B56F-F728BF9552AF}"/>
    <cellStyle name="40% - Accent1 2 2 3 2 4" xfId="19793" xr:uid="{52FA795B-412B-4DA9-A576-F4BA08EEDA86}"/>
    <cellStyle name="40% - Accent1 2 2 3 2 5" xfId="28240" xr:uid="{6A992AE4-F985-4903-8DEB-326A4F295BC7}"/>
    <cellStyle name="40% - Accent1 2 2 3 3" xfId="4968" xr:uid="{00000000-0005-0000-0000-0000DB030000}"/>
    <cellStyle name="40% - Accent1 2 2 3 3 2" xfId="13418" xr:uid="{B1891554-CC60-4D2F-8502-CEBA3359C85E}"/>
    <cellStyle name="40% - Accent1 2 2 3 3 3" xfId="21865" xr:uid="{405BDF0A-5937-4BF1-80DC-400B7522C018}"/>
    <cellStyle name="40% - Accent1 2 2 3 3 4" xfId="30312" xr:uid="{BD5AD8C9-4B2E-46F8-937C-D14B2B5B6518}"/>
    <cellStyle name="40% - Accent1 2 2 3 4" xfId="9200" xr:uid="{ABE240A0-FFC0-44D7-84E6-EE4A25084F89}"/>
    <cellStyle name="40% - Accent1 2 2 3 5" xfId="17648" xr:uid="{29B22307-C60B-401C-8CF9-74DE78B42F4A}"/>
    <cellStyle name="40% - Accent1 2 2 3 6" xfId="26095" xr:uid="{30D84B66-39D0-4225-891C-F340693F106A}"/>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7B999C6D-73DD-41FE-B9E1-677F6D7FECA3}"/>
    <cellStyle name="40% - Accent1 2 2 4 2 2 3" xfId="24423" xr:uid="{D0AE002A-2E09-4C92-A6C4-0F1DF569BD90}"/>
    <cellStyle name="40% - Accent1 2 2 4 2 2 4" xfId="32870" xr:uid="{CD3CADE4-A686-437C-A054-4A78A8937674}"/>
    <cellStyle name="40% - Accent1 2 2 4 2 3" xfId="11758" xr:uid="{6C5D9433-21DB-478F-9DEF-1CD785FB8B70}"/>
    <cellStyle name="40% - Accent1 2 2 4 2 4" xfId="20206" xr:uid="{7249A632-131A-4798-8EC4-A2F10C5F5522}"/>
    <cellStyle name="40% - Accent1 2 2 4 2 5" xfId="28653" xr:uid="{82C491F9-C51B-48B9-AB28-F8D3CB244411}"/>
    <cellStyle name="40% - Accent1 2 2 4 3" xfId="5381" xr:uid="{00000000-0005-0000-0000-0000DF030000}"/>
    <cellStyle name="40% - Accent1 2 2 4 3 2" xfId="13831" xr:uid="{A8D82B87-3DCE-4542-A19B-C8735CEDB61C}"/>
    <cellStyle name="40% - Accent1 2 2 4 3 3" xfId="22278" xr:uid="{BC10701C-E136-4DAD-BA26-196ACEA6ACF8}"/>
    <cellStyle name="40% - Accent1 2 2 4 3 4" xfId="30725" xr:uid="{A5287110-4913-46C0-A422-538869A4211B}"/>
    <cellStyle name="40% - Accent1 2 2 4 4" xfId="9613" xr:uid="{B9309272-AD86-45EE-8444-2278FFD07D28}"/>
    <cellStyle name="40% - Accent1 2 2 4 5" xfId="18061" xr:uid="{D0B325B5-5882-4BD1-86AE-DA9CE66289D0}"/>
    <cellStyle name="40% - Accent1 2 2 4 6" xfId="26508" xr:uid="{1D4A4785-B586-4A9C-A40B-F84F976AC5ED}"/>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AB3D0ED6-28D4-43F7-904C-A487799364F4}"/>
    <cellStyle name="40% - Accent1 2 2 5 2 2 3" xfId="24836" xr:uid="{2CAA9953-CF55-449F-A1E2-5CAE77C1C6F4}"/>
    <cellStyle name="40% - Accent1 2 2 5 2 2 4" xfId="33283" xr:uid="{F7649F81-D6FD-414B-AD06-3275459A3F47}"/>
    <cellStyle name="40% - Accent1 2 2 5 2 3" xfId="12171" xr:uid="{BFA33A58-2AB5-4205-B293-2A7912A87F03}"/>
    <cellStyle name="40% - Accent1 2 2 5 2 4" xfId="20619" xr:uid="{F40452FF-551A-427E-A0D6-A6D1649627AA}"/>
    <cellStyle name="40% - Accent1 2 2 5 2 5" xfId="29066" xr:uid="{6A3B6A39-8AEC-44BF-B4FD-72560B366486}"/>
    <cellStyle name="40% - Accent1 2 2 5 3" xfId="5794" xr:uid="{00000000-0005-0000-0000-0000E3030000}"/>
    <cellStyle name="40% - Accent1 2 2 5 3 2" xfId="14244" xr:uid="{3E2ABF63-1712-48D7-A4A9-5EF4B3FE5C9C}"/>
    <cellStyle name="40% - Accent1 2 2 5 3 3" xfId="22691" xr:uid="{CD5F560C-FCDB-45FD-A523-B0E9598A3044}"/>
    <cellStyle name="40% - Accent1 2 2 5 3 4" xfId="31138" xr:uid="{C5F5AF93-89C3-4248-B5EB-668C8EB2D66F}"/>
    <cellStyle name="40% - Accent1 2 2 5 4" xfId="10026" xr:uid="{1DB5B9F1-9065-43EB-8417-56C6A5E84338}"/>
    <cellStyle name="40% - Accent1 2 2 5 5" xfId="18474" xr:uid="{E11FF09B-A566-4731-A2DD-D3C49FFB5215}"/>
    <cellStyle name="40% - Accent1 2 2 5 6" xfId="26921" xr:uid="{CD2D9BF1-2386-4BD6-966D-45274686811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9E895219-436E-4CE4-BE87-C2765F2174C9}"/>
    <cellStyle name="40% - Accent1 2 2 6 2 2 3" xfId="25249" xr:uid="{008DDEDD-0552-448D-B4AD-28AB8B416BCD}"/>
    <cellStyle name="40% - Accent1 2 2 6 2 2 4" xfId="33696" xr:uid="{880E7414-42D1-44D7-9017-078776C47A23}"/>
    <cellStyle name="40% - Accent1 2 2 6 2 3" xfId="12584" xr:uid="{DCB08153-6093-4BA4-9DAE-2D2D56CD1CC9}"/>
    <cellStyle name="40% - Accent1 2 2 6 2 4" xfId="21032" xr:uid="{6A323B3C-7D50-47E8-8C11-01E76CE47C90}"/>
    <cellStyle name="40% - Accent1 2 2 6 2 5" xfId="29479" xr:uid="{0167635C-4C6F-4C15-9637-E0F62D3F75E3}"/>
    <cellStyle name="40% - Accent1 2 2 6 3" xfId="6207" xr:uid="{00000000-0005-0000-0000-0000E7030000}"/>
    <cellStyle name="40% - Accent1 2 2 6 3 2" xfId="14657" xr:uid="{FB9B8220-2273-4E8D-8C4C-C64FD42F2285}"/>
    <cellStyle name="40% - Accent1 2 2 6 3 3" xfId="23104" xr:uid="{A92E7B57-7E03-4040-BBE8-E1778023662F}"/>
    <cellStyle name="40% - Accent1 2 2 6 3 4" xfId="31551" xr:uid="{6880FFE1-B64F-4109-80F3-67C10D520A1C}"/>
    <cellStyle name="40% - Accent1 2 2 6 4" xfId="10439" xr:uid="{C98C5EB7-5971-48B9-85FE-145C01D95CD4}"/>
    <cellStyle name="40% - Accent1 2 2 6 5" xfId="18887" xr:uid="{EFB70178-6FB1-48DC-9F4D-BA51361C850B}"/>
    <cellStyle name="40% - Accent1 2 2 6 6" xfId="27334" xr:uid="{D05CFCA7-F57F-4C1E-9177-6092585F887D}"/>
    <cellStyle name="40% - Accent1 2 2 7" xfId="2314" xr:uid="{00000000-0005-0000-0000-0000E8030000}"/>
    <cellStyle name="40% - Accent1 2 2 7 2" xfId="6620" xr:uid="{00000000-0005-0000-0000-0000E9030000}"/>
    <cellStyle name="40% - Accent1 2 2 7 2 2" xfId="15070" xr:uid="{EBD51CB4-5685-4AE3-A168-F92883707882}"/>
    <cellStyle name="40% - Accent1 2 2 7 2 3" xfId="23517" xr:uid="{FC7ECB30-6CED-457A-BDE4-4A91B21875F3}"/>
    <cellStyle name="40% - Accent1 2 2 7 2 4" xfId="31964" xr:uid="{6F20FC76-8E75-466E-885C-6B06150A35FB}"/>
    <cellStyle name="40% - Accent1 2 2 7 3" xfId="10852" xr:uid="{7427EAC1-52C3-4450-9C58-24E4743F78D3}"/>
    <cellStyle name="40% - Accent1 2 2 7 4" xfId="19300" xr:uid="{D6F0FCD0-CC58-435D-9E46-D5EC8D0FAB29}"/>
    <cellStyle name="40% - Accent1 2 2 7 5" xfId="27747" xr:uid="{DF63EAC1-4190-4652-B79B-4035E18A4E5F}"/>
    <cellStyle name="40% - Accent1 2 2 8" xfId="4554" xr:uid="{00000000-0005-0000-0000-0000EA030000}"/>
    <cellStyle name="40% - Accent1 2 2 8 2" xfId="13004" xr:uid="{3DA526B2-834C-4E0D-A251-2FD19E58FB10}"/>
    <cellStyle name="40% - Accent1 2 2 8 3" xfId="21451" xr:uid="{65623CE9-7088-48C5-84B7-3298DA83F78A}"/>
    <cellStyle name="40% - Accent1 2 2 8 4" xfId="29898" xr:uid="{1217F399-D03D-4D39-B467-53EB4B47C9A2}"/>
    <cellStyle name="40% - Accent1 2 2 9" xfId="8786" xr:uid="{FF02265A-3C89-47C5-99F4-ADC20885B9A5}"/>
    <cellStyle name="40% - Accent1 2 3" xfId="53" xr:uid="{00000000-0005-0000-0000-0000EB030000}"/>
    <cellStyle name="40% - Accent1 2 3 10" xfId="25683" xr:uid="{08C8AB71-7B72-49CE-8DDE-FCEAD6547E1C}"/>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49F39BFE-FD2E-43C2-937D-F7A2E45A0631}"/>
    <cellStyle name="40% - Accent1 2 3 2 2 2 3" xfId="24012" xr:uid="{4BC3F8E3-EADC-446B-8BED-96698990E57A}"/>
    <cellStyle name="40% - Accent1 2 3 2 2 2 4" xfId="32459" xr:uid="{FCAAD0D9-1424-4144-BE51-B59B270CD6AE}"/>
    <cellStyle name="40% - Accent1 2 3 2 2 3" xfId="11347" xr:uid="{ED03E464-3FB0-4783-B9B0-CD75D0A0145C}"/>
    <cellStyle name="40% - Accent1 2 3 2 2 4" xfId="19795" xr:uid="{F829B3C7-9891-4D69-9980-FAED061D6651}"/>
    <cellStyle name="40% - Accent1 2 3 2 2 5" xfId="28242" xr:uid="{DA1EA300-D645-46BD-863A-F09F91D4F406}"/>
    <cellStyle name="40% - Accent1 2 3 2 3" xfId="4970" xr:uid="{00000000-0005-0000-0000-0000EF030000}"/>
    <cellStyle name="40% - Accent1 2 3 2 3 2" xfId="13420" xr:uid="{3812920E-E961-4E25-ABCC-A2EF4C26ED2F}"/>
    <cellStyle name="40% - Accent1 2 3 2 3 3" xfId="21867" xr:uid="{37B99A31-F681-4697-B42D-84F0B8B08DF2}"/>
    <cellStyle name="40% - Accent1 2 3 2 3 4" xfId="30314" xr:uid="{8B8405E8-5E02-447F-ACF0-596813671859}"/>
    <cellStyle name="40% - Accent1 2 3 2 4" xfId="9202" xr:uid="{D53085A1-34CA-4283-A263-1571E4ECB52C}"/>
    <cellStyle name="40% - Accent1 2 3 2 5" xfId="17650" xr:uid="{3955BDA5-FBA9-42B2-BD8F-44CB23922D06}"/>
    <cellStyle name="40% - Accent1 2 3 2 6" xfId="26097" xr:uid="{C9AD9BE1-38DD-462F-9711-1BB134DDEFD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91CA128D-7E82-4F91-AC84-14AFDE361E35}"/>
    <cellStyle name="40% - Accent1 2 3 3 2 2 3" xfId="24425" xr:uid="{4FA891ED-2F35-42BF-8BF9-38C276F79D78}"/>
    <cellStyle name="40% - Accent1 2 3 3 2 2 4" xfId="32872" xr:uid="{B0F76FD2-C358-44D8-8EB0-6F538CFAB639}"/>
    <cellStyle name="40% - Accent1 2 3 3 2 3" xfId="11760" xr:uid="{DE21A8E5-105F-4489-8C00-70A6676A9CA0}"/>
    <cellStyle name="40% - Accent1 2 3 3 2 4" xfId="20208" xr:uid="{73873184-5939-496B-A3BD-B89FE83496AE}"/>
    <cellStyle name="40% - Accent1 2 3 3 2 5" xfId="28655" xr:uid="{6AEC86F3-28C6-44A5-8D2F-F59F5F845F2C}"/>
    <cellStyle name="40% - Accent1 2 3 3 3" xfId="5383" xr:uid="{00000000-0005-0000-0000-0000F3030000}"/>
    <cellStyle name="40% - Accent1 2 3 3 3 2" xfId="13833" xr:uid="{1C89F58E-EA49-493D-8546-58429A59AD7D}"/>
    <cellStyle name="40% - Accent1 2 3 3 3 3" xfId="22280" xr:uid="{CBDF5F40-6D63-4F3B-89BE-C5488CB541A8}"/>
    <cellStyle name="40% - Accent1 2 3 3 3 4" xfId="30727" xr:uid="{E4622C97-5A8F-4045-9B8C-DB0F0FC2FC0E}"/>
    <cellStyle name="40% - Accent1 2 3 3 4" xfId="9615" xr:uid="{D877BEA1-B16A-4CBA-88C6-28CA5EC0ECF0}"/>
    <cellStyle name="40% - Accent1 2 3 3 5" xfId="18063" xr:uid="{E628BCE4-1CAF-4EF2-AB4E-9154A3CD1983}"/>
    <cellStyle name="40% - Accent1 2 3 3 6" xfId="26510" xr:uid="{92DBD481-616D-4704-9D26-C85383E01C97}"/>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36C3458D-D68D-40AF-8D1D-FB7623AA80E0}"/>
    <cellStyle name="40% - Accent1 2 3 4 2 2 3" xfId="24838" xr:uid="{0F0703AF-40C9-4968-8E49-D7201C095C22}"/>
    <cellStyle name="40% - Accent1 2 3 4 2 2 4" xfId="33285" xr:uid="{78486D05-66A1-4DCD-8E7A-2DDA143CCE70}"/>
    <cellStyle name="40% - Accent1 2 3 4 2 3" xfId="12173" xr:uid="{4EE13454-829D-497C-9F4D-C267E203CB72}"/>
    <cellStyle name="40% - Accent1 2 3 4 2 4" xfId="20621" xr:uid="{A0813982-47BF-41A5-8104-C150BD8F7E32}"/>
    <cellStyle name="40% - Accent1 2 3 4 2 5" xfId="29068" xr:uid="{E1A5D2A2-F930-4421-B582-79C8F1289FBD}"/>
    <cellStyle name="40% - Accent1 2 3 4 3" xfId="5796" xr:uid="{00000000-0005-0000-0000-0000F7030000}"/>
    <cellStyle name="40% - Accent1 2 3 4 3 2" xfId="14246" xr:uid="{A933B75F-1426-4C54-9E2A-5B1FE2D5CC18}"/>
    <cellStyle name="40% - Accent1 2 3 4 3 3" xfId="22693" xr:uid="{08426324-8B29-455C-B2D2-1FB36557D259}"/>
    <cellStyle name="40% - Accent1 2 3 4 3 4" xfId="31140" xr:uid="{06810D9B-FBE5-4983-A7FD-AD66A5E84CA4}"/>
    <cellStyle name="40% - Accent1 2 3 4 4" xfId="10028" xr:uid="{5FEF8B55-A837-4E57-98F8-C5E0D4A3108F}"/>
    <cellStyle name="40% - Accent1 2 3 4 5" xfId="18476" xr:uid="{71542A2B-12F0-4972-8A2E-666F54657B55}"/>
    <cellStyle name="40% - Accent1 2 3 4 6" xfId="26923" xr:uid="{F3300910-CA00-4B9B-A146-574162AD77F2}"/>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96ECD34D-8742-403A-A727-C1CD40320398}"/>
    <cellStyle name="40% - Accent1 2 3 5 2 2 3" xfId="25251" xr:uid="{15405FAD-17C8-405C-BBB7-97F0CFB3F990}"/>
    <cellStyle name="40% - Accent1 2 3 5 2 2 4" xfId="33698" xr:uid="{79B1B127-1D0A-4A15-BBB3-E4023421B4E8}"/>
    <cellStyle name="40% - Accent1 2 3 5 2 3" xfId="12586" xr:uid="{0BEC1E64-4190-4993-9B88-0697CF65A123}"/>
    <cellStyle name="40% - Accent1 2 3 5 2 4" xfId="21034" xr:uid="{B7B28BBD-01C7-4035-BC99-E8A78F62025C}"/>
    <cellStyle name="40% - Accent1 2 3 5 2 5" xfId="29481" xr:uid="{55D1ED0B-5CDD-4A51-8165-2CF9AA24CC05}"/>
    <cellStyle name="40% - Accent1 2 3 5 3" xfId="6209" xr:uid="{00000000-0005-0000-0000-0000FB030000}"/>
    <cellStyle name="40% - Accent1 2 3 5 3 2" xfId="14659" xr:uid="{DB1D750C-DD09-4D0A-9B1A-D109AA406DF4}"/>
    <cellStyle name="40% - Accent1 2 3 5 3 3" xfId="23106" xr:uid="{CDA8B560-21D2-4521-91C6-2184347A2E8A}"/>
    <cellStyle name="40% - Accent1 2 3 5 3 4" xfId="31553" xr:uid="{948A175B-7F3E-41AB-A035-C474420C4A82}"/>
    <cellStyle name="40% - Accent1 2 3 5 4" xfId="10441" xr:uid="{7C978118-5D74-44D8-A7BC-C0FE996A4F66}"/>
    <cellStyle name="40% - Accent1 2 3 5 5" xfId="18889" xr:uid="{631B4517-3BD6-44F0-94B7-8EF95A580566}"/>
    <cellStyle name="40% - Accent1 2 3 5 6" xfId="27336" xr:uid="{DA47893E-CD1B-4D8C-854F-F9B0147DB823}"/>
    <cellStyle name="40% - Accent1 2 3 6" xfId="2316" xr:uid="{00000000-0005-0000-0000-0000FC030000}"/>
    <cellStyle name="40% - Accent1 2 3 6 2" xfId="6622" xr:uid="{00000000-0005-0000-0000-0000FD030000}"/>
    <cellStyle name="40% - Accent1 2 3 6 2 2" xfId="15072" xr:uid="{7D4847C3-6CE6-4848-AF63-F4E7EFACB3EA}"/>
    <cellStyle name="40% - Accent1 2 3 6 2 3" xfId="23519" xr:uid="{3C538457-3397-47AA-BFD6-2CC731DD76BF}"/>
    <cellStyle name="40% - Accent1 2 3 6 2 4" xfId="31966" xr:uid="{50233E16-29C6-4DCB-ACC5-9FD05ECF1C66}"/>
    <cellStyle name="40% - Accent1 2 3 6 3" xfId="10854" xr:uid="{623E49A3-69F8-4E04-8801-04C5291BD99C}"/>
    <cellStyle name="40% - Accent1 2 3 6 4" xfId="19302" xr:uid="{D2CBF147-5290-40D2-80EC-C0352021BBC0}"/>
    <cellStyle name="40% - Accent1 2 3 6 5" xfId="27749" xr:uid="{BC8B6296-98D2-44CA-B4C0-7F93D469CA79}"/>
    <cellStyle name="40% - Accent1 2 3 7" xfId="4556" xr:uid="{00000000-0005-0000-0000-0000FE030000}"/>
    <cellStyle name="40% - Accent1 2 3 7 2" xfId="13006" xr:uid="{3C18AB37-7688-48C2-9C2C-A9CAEC0768A8}"/>
    <cellStyle name="40% - Accent1 2 3 7 3" xfId="21453" xr:uid="{0A98771B-9559-40D2-AF96-3EC97B6B45FA}"/>
    <cellStyle name="40% - Accent1 2 3 7 4" xfId="29900" xr:uid="{EF120ADC-C322-4417-8CBD-9C1887AC62BC}"/>
    <cellStyle name="40% - Accent1 2 3 8" xfId="8788" xr:uid="{4760560A-330B-428A-A3C0-605D2AC7DEE0}"/>
    <cellStyle name="40% - Accent1 2 3 9" xfId="17236" xr:uid="{0C3416D5-FFEF-408C-8BF5-2217B1C64694}"/>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D64E3308-780D-407D-A01E-A33BB35CF15E}"/>
    <cellStyle name="40% - Accent1 2 4 2 2 3" xfId="24009" xr:uid="{4EE52D59-45DC-4AB5-8128-9525E3B60418}"/>
    <cellStyle name="40% - Accent1 2 4 2 2 4" xfId="32456" xr:uid="{75DC68B0-1062-4E66-8290-15348CE71821}"/>
    <cellStyle name="40% - Accent1 2 4 2 3" xfId="11344" xr:uid="{86601C06-BEA2-4642-95CC-9E7BABBB1312}"/>
    <cellStyle name="40% - Accent1 2 4 2 4" xfId="19792" xr:uid="{BCE6565D-85C8-4F08-B570-B61542C26624}"/>
    <cellStyle name="40% - Accent1 2 4 2 5" xfId="28239" xr:uid="{25FC15F8-F8A0-455F-972A-A806408073B4}"/>
    <cellStyle name="40% - Accent1 2 4 3" xfId="4967" xr:uid="{00000000-0005-0000-0000-000002040000}"/>
    <cellStyle name="40% - Accent1 2 4 3 2" xfId="13417" xr:uid="{8C110790-F0BF-4AE3-ADFE-CAF591E76DEE}"/>
    <cellStyle name="40% - Accent1 2 4 3 3" xfId="21864" xr:uid="{3848A91A-7083-485B-B621-BE0A37A47562}"/>
    <cellStyle name="40% - Accent1 2 4 3 4" xfId="30311" xr:uid="{EECD570D-D9AD-4B3C-95CD-68F9B11C0617}"/>
    <cellStyle name="40% - Accent1 2 4 4" xfId="9199" xr:uid="{1204AB80-CADB-4DA8-92C8-5503CE6E52FF}"/>
    <cellStyle name="40% - Accent1 2 4 5" xfId="17647" xr:uid="{5271A36C-5FC6-4B31-BB35-E667E027CAE0}"/>
    <cellStyle name="40% - Accent1 2 4 6" xfId="26094" xr:uid="{7951BF1D-645E-47DA-9871-898F94CE3F27}"/>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68F5A22E-2AA6-44AE-89CA-1985151F0232}"/>
    <cellStyle name="40% - Accent1 2 5 2 2 3" xfId="24422" xr:uid="{20E39A43-D54D-4DC5-8546-8C42AC29C449}"/>
    <cellStyle name="40% - Accent1 2 5 2 2 4" xfId="32869" xr:uid="{148C45CC-0617-4279-87A9-E6C5A2DC44D4}"/>
    <cellStyle name="40% - Accent1 2 5 2 3" xfId="11757" xr:uid="{6335B9D1-DE39-4273-85E2-341372CDFB75}"/>
    <cellStyle name="40% - Accent1 2 5 2 4" xfId="20205" xr:uid="{48C10950-D2EC-4283-92F4-E842014A152E}"/>
    <cellStyle name="40% - Accent1 2 5 2 5" xfId="28652" xr:uid="{D094F718-0D42-4A86-9A79-AEAA43352FC9}"/>
    <cellStyle name="40% - Accent1 2 5 3" xfId="5380" xr:uid="{00000000-0005-0000-0000-000006040000}"/>
    <cellStyle name="40% - Accent1 2 5 3 2" xfId="13830" xr:uid="{2A1D90F9-82F8-42F9-8590-8883C8946C89}"/>
    <cellStyle name="40% - Accent1 2 5 3 3" xfId="22277" xr:uid="{16525726-0506-4B14-AEC7-BD65F16F8B4A}"/>
    <cellStyle name="40% - Accent1 2 5 3 4" xfId="30724" xr:uid="{40FAC0D8-0957-4606-870E-3A678EFABDAD}"/>
    <cellStyle name="40% - Accent1 2 5 4" xfId="9612" xr:uid="{9DC53184-0838-4F1F-AA94-C431FCED203C}"/>
    <cellStyle name="40% - Accent1 2 5 5" xfId="18060" xr:uid="{730175FA-D9C5-49E5-8F8F-9E99D8D2D021}"/>
    <cellStyle name="40% - Accent1 2 5 6" xfId="26507" xr:uid="{A4AC5C8B-DE00-49CF-91E4-4CAD5FF8B86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B453A69A-952C-415B-9C72-52FFF94687B4}"/>
    <cellStyle name="40% - Accent1 2 6 2 2 3" xfId="24835" xr:uid="{54778FEF-B0BF-40B0-8311-DDE378DE8259}"/>
    <cellStyle name="40% - Accent1 2 6 2 2 4" xfId="33282" xr:uid="{0CE3D2C3-907A-4D7C-87E8-943EEE2862A3}"/>
    <cellStyle name="40% - Accent1 2 6 2 3" xfId="12170" xr:uid="{66CA0B69-6064-4D96-86DB-07780FF25838}"/>
    <cellStyle name="40% - Accent1 2 6 2 4" xfId="20618" xr:uid="{70E75DF7-856F-45F6-9DE4-8A364E0CE1E2}"/>
    <cellStyle name="40% - Accent1 2 6 2 5" xfId="29065" xr:uid="{95500D14-360F-4852-A65F-63A2B9CEBD9A}"/>
    <cellStyle name="40% - Accent1 2 6 3" xfId="5793" xr:uid="{00000000-0005-0000-0000-00000A040000}"/>
    <cellStyle name="40% - Accent1 2 6 3 2" xfId="14243" xr:uid="{75F4F32B-3A8E-49B9-8E7F-E7AAD179FF23}"/>
    <cellStyle name="40% - Accent1 2 6 3 3" xfId="22690" xr:uid="{036EC0F1-0713-4B51-8F28-8A3C8843126D}"/>
    <cellStyle name="40% - Accent1 2 6 3 4" xfId="31137" xr:uid="{067CE84D-7830-459F-BAE2-0F38AD0BC3C0}"/>
    <cellStyle name="40% - Accent1 2 6 4" xfId="10025" xr:uid="{4828E925-AF70-4DFA-A793-B444C70DECE4}"/>
    <cellStyle name="40% - Accent1 2 6 5" xfId="18473" xr:uid="{4109BE5C-D087-46BA-A628-F7530A76CC6F}"/>
    <cellStyle name="40% - Accent1 2 6 6" xfId="26920" xr:uid="{52FD269D-204E-4378-9642-FA0FC90DC7DE}"/>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A33278A3-A895-4726-95F8-4FF39FDAFA21}"/>
    <cellStyle name="40% - Accent1 2 7 2 2 3" xfId="25248" xr:uid="{25A26C70-4857-4A47-AA57-1C4E34F67EAF}"/>
    <cellStyle name="40% - Accent1 2 7 2 2 4" xfId="33695" xr:uid="{2DF92866-B05B-472D-97C8-2461FB050E5E}"/>
    <cellStyle name="40% - Accent1 2 7 2 3" xfId="12583" xr:uid="{65655551-3B13-4EA7-BA5F-35DC68F34F01}"/>
    <cellStyle name="40% - Accent1 2 7 2 4" xfId="21031" xr:uid="{B456A764-DFB5-46E1-A02E-D44C10F5D63C}"/>
    <cellStyle name="40% - Accent1 2 7 2 5" xfId="29478" xr:uid="{3CF600BB-4461-4E57-999B-B88B0AB004D8}"/>
    <cellStyle name="40% - Accent1 2 7 3" xfId="6206" xr:uid="{00000000-0005-0000-0000-00000E040000}"/>
    <cellStyle name="40% - Accent1 2 7 3 2" xfId="14656" xr:uid="{DF370885-2E31-42A4-8EF6-E5265C62E605}"/>
    <cellStyle name="40% - Accent1 2 7 3 3" xfId="23103" xr:uid="{143A6821-D723-4293-A0DD-E356BFED5D2D}"/>
    <cellStyle name="40% - Accent1 2 7 3 4" xfId="31550" xr:uid="{EB9E3D41-6FFA-4A7D-87E7-678FECF48999}"/>
    <cellStyle name="40% - Accent1 2 7 4" xfId="10438" xr:uid="{5051D07F-A78A-4A41-8603-1C82EC6AB33A}"/>
    <cellStyle name="40% - Accent1 2 7 5" xfId="18886" xr:uid="{F9FF503F-C723-47CF-9017-28627A797BA1}"/>
    <cellStyle name="40% - Accent1 2 7 6" xfId="27333" xr:uid="{78696758-AAEE-4700-869B-A4C33AFEE007}"/>
    <cellStyle name="40% - Accent1 2 8" xfId="2313" xr:uid="{00000000-0005-0000-0000-00000F040000}"/>
    <cellStyle name="40% - Accent1 2 8 2" xfId="6619" xr:uid="{00000000-0005-0000-0000-000010040000}"/>
    <cellStyle name="40% - Accent1 2 8 2 2" xfId="15069" xr:uid="{802C6D47-4932-4B6E-89D3-BB0DBBFE5720}"/>
    <cellStyle name="40% - Accent1 2 8 2 3" xfId="23516" xr:uid="{C8A5E270-FF07-4ADC-8A9C-95828AA1662E}"/>
    <cellStyle name="40% - Accent1 2 8 2 4" xfId="31963" xr:uid="{4F6AC6A3-450A-4714-BB1E-F79D547226EF}"/>
    <cellStyle name="40% - Accent1 2 8 3" xfId="10851" xr:uid="{B1B1EEB7-39CB-4CA8-84E6-8E3D61A603C4}"/>
    <cellStyle name="40% - Accent1 2 8 4" xfId="19299" xr:uid="{742759A8-8B0C-41A3-BF57-B492EA8CDF31}"/>
    <cellStyle name="40% - Accent1 2 8 5" xfId="27746" xr:uid="{A205A583-2C34-48B8-AC9F-EFC39A8CAB60}"/>
    <cellStyle name="40% - Accent1 2 9" xfId="4553" xr:uid="{00000000-0005-0000-0000-000011040000}"/>
    <cellStyle name="40% - Accent1 2 9 2" xfId="13003" xr:uid="{0AE6705C-08BA-476B-B245-2F3D75A6E54E}"/>
    <cellStyle name="40% - Accent1 2 9 3" xfId="21450" xr:uid="{3B67FBF8-2F0A-426A-BE4A-47EB7C0B4DD6}"/>
    <cellStyle name="40% - Accent1 2 9 4" xfId="29897" xr:uid="{EE303037-3A93-4DE4-BD97-20DB8693F6A0}"/>
    <cellStyle name="40% - Accent1 3" xfId="54" xr:uid="{00000000-0005-0000-0000-000012040000}"/>
    <cellStyle name="40% - Accent1 3 10" xfId="17237" xr:uid="{BABC02BA-9159-4414-8F07-86E6E3A956FF}"/>
    <cellStyle name="40% - Accent1 3 11" xfId="25684" xr:uid="{44BCB34C-AFC7-4BF6-9E31-1E087BCCA2FC}"/>
    <cellStyle name="40% - Accent1 3 2" xfId="55" xr:uid="{00000000-0005-0000-0000-000013040000}"/>
    <cellStyle name="40% - Accent1 3 2 10" xfId="25685" xr:uid="{9B0D9516-258E-44D7-8961-1140CDB1940D}"/>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BCA12047-FFE5-4148-B63E-D4D807C8006C}"/>
    <cellStyle name="40% - Accent1 3 2 2 2 2 3" xfId="24014" xr:uid="{6E324F5A-C1B1-4896-A0FA-4B0599EE35FD}"/>
    <cellStyle name="40% - Accent1 3 2 2 2 2 4" xfId="32461" xr:uid="{D3CE1F19-DFC3-4C9F-B2EA-3EDDD7DB7975}"/>
    <cellStyle name="40% - Accent1 3 2 2 2 3" xfId="11349" xr:uid="{7D495B93-1D7F-4BEA-A826-2A088E18B92E}"/>
    <cellStyle name="40% - Accent1 3 2 2 2 4" xfId="19797" xr:uid="{A9AC4CF6-0DCD-4FAA-A0EB-1341E33D56A6}"/>
    <cellStyle name="40% - Accent1 3 2 2 2 5" xfId="28244" xr:uid="{E6D6E687-39D6-42F7-979F-AD3C51163552}"/>
    <cellStyle name="40% - Accent1 3 2 2 3" xfId="4972" xr:uid="{00000000-0005-0000-0000-000017040000}"/>
    <cellStyle name="40% - Accent1 3 2 2 3 2" xfId="13422" xr:uid="{6328565F-20B6-42C1-AC26-1A07A4CBE1C8}"/>
    <cellStyle name="40% - Accent1 3 2 2 3 3" xfId="21869" xr:uid="{9401BB96-2123-456E-A3B7-8FA73F8D65F0}"/>
    <cellStyle name="40% - Accent1 3 2 2 3 4" xfId="30316" xr:uid="{5FB0E76B-CCB2-4C75-8A68-3F694EC67557}"/>
    <cellStyle name="40% - Accent1 3 2 2 4" xfId="9204" xr:uid="{277466CD-B6F6-4C94-B9C5-63EDD767E213}"/>
    <cellStyle name="40% - Accent1 3 2 2 5" xfId="17652" xr:uid="{DB0B33A3-7E33-4329-9009-30AB298654B2}"/>
    <cellStyle name="40% - Accent1 3 2 2 6" xfId="26099" xr:uid="{4F4C5DC5-1A96-4B92-84F3-6ACCAFAB2B94}"/>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4CAA46FC-32BA-444E-9587-FD0A5B578A95}"/>
    <cellStyle name="40% - Accent1 3 2 3 2 2 3" xfId="24427" xr:uid="{176F6817-39A9-41E3-AF1B-CEDD15A12234}"/>
    <cellStyle name="40% - Accent1 3 2 3 2 2 4" xfId="32874" xr:uid="{147F1CA1-AA37-4915-9FE9-FCB58D2C4F86}"/>
    <cellStyle name="40% - Accent1 3 2 3 2 3" xfId="11762" xr:uid="{679358FB-74D8-4912-A43A-730F2ED81669}"/>
    <cellStyle name="40% - Accent1 3 2 3 2 4" xfId="20210" xr:uid="{A39A162E-0180-450B-8BF9-AC5DF8717A33}"/>
    <cellStyle name="40% - Accent1 3 2 3 2 5" xfId="28657" xr:uid="{333B81EB-C9A8-471D-8549-9EDD504ECA6F}"/>
    <cellStyle name="40% - Accent1 3 2 3 3" xfId="5385" xr:uid="{00000000-0005-0000-0000-00001B040000}"/>
    <cellStyle name="40% - Accent1 3 2 3 3 2" xfId="13835" xr:uid="{0ECB276D-0876-49EC-8A1F-8EF4FF985F7C}"/>
    <cellStyle name="40% - Accent1 3 2 3 3 3" xfId="22282" xr:uid="{FE245756-3251-465C-87C4-26FB605648F3}"/>
    <cellStyle name="40% - Accent1 3 2 3 3 4" xfId="30729" xr:uid="{DFB56C57-54AC-4D1D-B405-2F61ED296E49}"/>
    <cellStyle name="40% - Accent1 3 2 3 4" xfId="9617" xr:uid="{F61B6F09-E822-4DF3-87A6-3AECEAEA8D97}"/>
    <cellStyle name="40% - Accent1 3 2 3 5" xfId="18065" xr:uid="{E3E8D435-9995-462D-9987-38011075E5C0}"/>
    <cellStyle name="40% - Accent1 3 2 3 6" xfId="26512" xr:uid="{3BAA6608-4243-4095-B0E1-F94B73576457}"/>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1B431C19-098B-47E3-B60F-CD1B883E435D}"/>
    <cellStyle name="40% - Accent1 3 2 4 2 2 3" xfId="24840" xr:uid="{2C277812-168F-44C5-ADDF-081A7ADD839C}"/>
    <cellStyle name="40% - Accent1 3 2 4 2 2 4" xfId="33287" xr:uid="{51C01AF6-3A0F-4232-B908-F8724DB76A38}"/>
    <cellStyle name="40% - Accent1 3 2 4 2 3" xfId="12175" xr:uid="{EF7DD029-11CA-4AF3-836F-C4DDC3F964C5}"/>
    <cellStyle name="40% - Accent1 3 2 4 2 4" xfId="20623" xr:uid="{8EB293E4-666E-409F-9D73-0C294E8E17F0}"/>
    <cellStyle name="40% - Accent1 3 2 4 2 5" xfId="29070" xr:uid="{A4A64286-C29E-492D-AF1B-2AAAACD00FC8}"/>
    <cellStyle name="40% - Accent1 3 2 4 3" xfId="5798" xr:uid="{00000000-0005-0000-0000-00001F040000}"/>
    <cellStyle name="40% - Accent1 3 2 4 3 2" xfId="14248" xr:uid="{E390A546-A845-4180-B487-F8FAC0BFF1B3}"/>
    <cellStyle name="40% - Accent1 3 2 4 3 3" xfId="22695" xr:uid="{B40AB473-2755-4D92-8062-7067FC788915}"/>
    <cellStyle name="40% - Accent1 3 2 4 3 4" xfId="31142" xr:uid="{4C6DF558-2018-44DF-8FC7-29470341918D}"/>
    <cellStyle name="40% - Accent1 3 2 4 4" xfId="10030" xr:uid="{03321081-54B5-42DA-BE4F-7F8D6EA839DA}"/>
    <cellStyle name="40% - Accent1 3 2 4 5" xfId="18478" xr:uid="{0E43FFAC-F627-4B87-AE2E-2B5896900BD9}"/>
    <cellStyle name="40% - Accent1 3 2 4 6" xfId="26925" xr:uid="{24897415-C6D4-49F4-81F1-07264408240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472D69D1-BDEC-44A6-831E-8509214E0671}"/>
    <cellStyle name="40% - Accent1 3 2 5 2 2 3" xfId="25253" xr:uid="{BDF6AB3A-1502-4A8A-A718-2031C1E7EAD6}"/>
    <cellStyle name="40% - Accent1 3 2 5 2 2 4" xfId="33700" xr:uid="{3DE32E34-1F05-4B65-8C50-6AB18DB184FE}"/>
    <cellStyle name="40% - Accent1 3 2 5 2 3" xfId="12588" xr:uid="{E5C7DE43-2EF6-4FEC-B0B3-B43601C3864F}"/>
    <cellStyle name="40% - Accent1 3 2 5 2 4" xfId="21036" xr:uid="{40C66E10-3062-4EDC-8E0B-638CCCE594E4}"/>
    <cellStyle name="40% - Accent1 3 2 5 2 5" xfId="29483" xr:uid="{01ACA54E-9E0C-452A-A55D-B8AF70F59CB5}"/>
    <cellStyle name="40% - Accent1 3 2 5 3" xfId="6211" xr:uid="{00000000-0005-0000-0000-000023040000}"/>
    <cellStyle name="40% - Accent1 3 2 5 3 2" xfId="14661" xr:uid="{692F7CCD-99D8-49BA-B19A-88360F7FBE1C}"/>
    <cellStyle name="40% - Accent1 3 2 5 3 3" xfId="23108" xr:uid="{241C5572-E3F8-41E4-9C76-D5CBCB3A45D4}"/>
    <cellStyle name="40% - Accent1 3 2 5 3 4" xfId="31555" xr:uid="{242EBA57-BD2B-4C08-A4F3-C38B46B41035}"/>
    <cellStyle name="40% - Accent1 3 2 5 4" xfId="10443" xr:uid="{3FB43090-1A93-485D-AF51-B230F759F8EE}"/>
    <cellStyle name="40% - Accent1 3 2 5 5" xfId="18891" xr:uid="{CA3D9424-D3D0-4DCA-A0F3-4AD5407E71E5}"/>
    <cellStyle name="40% - Accent1 3 2 5 6" xfId="27338" xr:uid="{EE943633-717B-481F-9D3B-8F48966F94F8}"/>
    <cellStyle name="40% - Accent1 3 2 6" xfId="2318" xr:uid="{00000000-0005-0000-0000-000024040000}"/>
    <cellStyle name="40% - Accent1 3 2 6 2" xfId="6624" xr:uid="{00000000-0005-0000-0000-000025040000}"/>
    <cellStyle name="40% - Accent1 3 2 6 2 2" xfId="15074" xr:uid="{0AB7865E-C9ED-430B-8621-9720F5430EB4}"/>
    <cellStyle name="40% - Accent1 3 2 6 2 3" xfId="23521" xr:uid="{2DA76170-EC1F-4B76-B064-3EF24D313A12}"/>
    <cellStyle name="40% - Accent1 3 2 6 2 4" xfId="31968" xr:uid="{D91234F9-C2FF-4DC1-BE95-47B512C88A4F}"/>
    <cellStyle name="40% - Accent1 3 2 6 3" xfId="10856" xr:uid="{3725C0C5-A58B-4D19-8E3C-9EE78CE369AC}"/>
    <cellStyle name="40% - Accent1 3 2 6 4" xfId="19304" xr:uid="{FCB3411B-9CAB-45F3-9E29-3A2827269D2C}"/>
    <cellStyle name="40% - Accent1 3 2 6 5" xfId="27751" xr:uid="{79AC9039-2E81-4734-B182-3E65C8F59FFD}"/>
    <cellStyle name="40% - Accent1 3 2 7" xfId="4558" xr:uid="{00000000-0005-0000-0000-000026040000}"/>
    <cellStyle name="40% - Accent1 3 2 7 2" xfId="13008" xr:uid="{A127E9AF-24FF-4C59-AADB-099DB24250EB}"/>
    <cellStyle name="40% - Accent1 3 2 7 3" xfId="21455" xr:uid="{C70827F4-E495-4D93-918B-4B148A418B21}"/>
    <cellStyle name="40% - Accent1 3 2 7 4" xfId="29902" xr:uid="{D40AA634-890F-4A36-8C8F-44877769FE0B}"/>
    <cellStyle name="40% - Accent1 3 2 8" xfId="8790" xr:uid="{00435E98-6AD6-4D18-B750-9E4B01A713BD}"/>
    <cellStyle name="40% - Accent1 3 2 9" xfId="17238" xr:uid="{6A2D9E67-857D-4A3B-B6F5-AB5932A6AD4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FC6A8ED5-5D2A-4780-B771-01382E32DE80}"/>
    <cellStyle name="40% - Accent1 3 3 2 2 3" xfId="24013" xr:uid="{2F4F5C20-62A5-41C3-A3D8-3288498A05D3}"/>
    <cellStyle name="40% - Accent1 3 3 2 2 4" xfId="32460" xr:uid="{FFDC4C17-20AC-4563-83DA-86A45D3EC924}"/>
    <cellStyle name="40% - Accent1 3 3 2 3" xfId="11348" xr:uid="{8CFE1541-4F13-4A67-B112-4EF3057D72C1}"/>
    <cellStyle name="40% - Accent1 3 3 2 4" xfId="19796" xr:uid="{19CB0FB6-92EF-431D-A2FC-340E84AD3F43}"/>
    <cellStyle name="40% - Accent1 3 3 2 5" xfId="28243" xr:uid="{321D52DD-CE0D-40C9-BEC2-35D7D5410523}"/>
    <cellStyle name="40% - Accent1 3 3 3" xfId="4971" xr:uid="{00000000-0005-0000-0000-00002A040000}"/>
    <cellStyle name="40% - Accent1 3 3 3 2" xfId="13421" xr:uid="{D6A48060-7078-4DB9-B498-91D1AB082C97}"/>
    <cellStyle name="40% - Accent1 3 3 3 3" xfId="21868" xr:uid="{376CF6B1-2361-4D80-8BD9-488FD298EB87}"/>
    <cellStyle name="40% - Accent1 3 3 3 4" xfId="30315" xr:uid="{7B32AAC6-39BD-4344-B03E-7BCD786AD03A}"/>
    <cellStyle name="40% - Accent1 3 3 4" xfId="9203" xr:uid="{34EF6C2F-6C02-4128-A27E-544F34E04F10}"/>
    <cellStyle name="40% - Accent1 3 3 5" xfId="17651" xr:uid="{F6FB8DDD-18B6-4C89-867C-BC5FEE6E914D}"/>
    <cellStyle name="40% - Accent1 3 3 6" xfId="26098" xr:uid="{940CEA42-4DDB-40F9-9D23-006CC936CEA3}"/>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D8BFB893-CBB4-4BF7-9560-8BCAA7376C1B}"/>
    <cellStyle name="40% - Accent1 3 4 2 2 3" xfId="24426" xr:uid="{28BC1A94-9CEF-4E3C-A03C-5214F443E8C4}"/>
    <cellStyle name="40% - Accent1 3 4 2 2 4" xfId="32873" xr:uid="{9B9402A7-6124-4640-8A30-452537C58059}"/>
    <cellStyle name="40% - Accent1 3 4 2 3" xfId="11761" xr:uid="{A23E3E1A-93C6-42E7-A6A5-38CCC086C461}"/>
    <cellStyle name="40% - Accent1 3 4 2 4" xfId="20209" xr:uid="{23625568-6516-419D-B8E5-135994FD2BC6}"/>
    <cellStyle name="40% - Accent1 3 4 2 5" xfId="28656" xr:uid="{4A688DEA-A748-409A-9BA7-1907327E7460}"/>
    <cellStyle name="40% - Accent1 3 4 3" xfId="5384" xr:uid="{00000000-0005-0000-0000-00002E040000}"/>
    <cellStyle name="40% - Accent1 3 4 3 2" xfId="13834" xr:uid="{5E7665C1-DE73-4E41-84BE-2F71F65420D4}"/>
    <cellStyle name="40% - Accent1 3 4 3 3" xfId="22281" xr:uid="{F0E13DBE-BBF5-4CFB-9746-865610D588E7}"/>
    <cellStyle name="40% - Accent1 3 4 3 4" xfId="30728" xr:uid="{FD18F96D-6453-499B-A406-CBF01C8C0DCD}"/>
    <cellStyle name="40% - Accent1 3 4 4" xfId="9616" xr:uid="{DE77F83B-BCF8-423B-910B-8C15C6B3A01F}"/>
    <cellStyle name="40% - Accent1 3 4 5" xfId="18064" xr:uid="{A4BB453D-E3F7-49FB-9CEA-94FCC75831BB}"/>
    <cellStyle name="40% - Accent1 3 4 6" xfId="26511" xr:uid="{DFA563F6-FBAB-4053-BCB6-78B80E41295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E2C1EFD5-F608-4C22-B5EA-A4547B6457BD}"/>
    <cellStyle name="40% - Accent1 3 5 2 2 3" xfId="24839" xr:uid="{9D1BBBA0-7C07-46F6-A160-5D68F77362DF}"/>
    <cellStyle name="40% - Accent1 3 5 2 2 4" xfId="33286" xr:uid="{47B9338D-2CD4-4C35-8462-06BB77F41150}"/>
    <cellStyle name="40% - Accent1 3 5 2 3" xfId="12174" xr:uid="{AA0BC7AF-82C3-431F-A525-97479FB35F26}"/>
    <cellStyle name="40% - Accent1 3 5 2 4" xfId="20622" xr:uid="{1B9E1BB8-66F0-4ED0-A54C-090A783B48BA}"/>
    <cellStyle name="40% - Accent1 3 5 2 5" xfId="29069" xr:uid="{12172984-48ED-44A8-9905-6F0D39E90655}"/>
    <cellStyle name="40% - Accent1 3 5 3" xfId="5797" xr:uid="{00000000-0005-0000-0000-000032040000}"/>
    <cellStyle name="40% - Accent1 3 5 3 2" xfId="14247" xr:uid="{5838FD09-F5F5-4BEE-93C1-DDEFBC61ABCB}"/>
    <cellStyle name="40% - Accent1 3 5 3 3" xfId="22694" xr:uid="{78D15734-1495-432B-AE74-E07238722D10}"/>
    <cellStyle name="40% - Accent1 3 5 3 4" xfId="31141" xr:uid="{5542385E-23B6-43DE-83A0-1C6FC7586F55}"/>
    <cellStyle name="40% - Accent1 3 5 4" xfId="10029" xr:uid="{0DE92B92-3E91-4B88-8261-F4EEE3A86B48}"/>
    <cellStyle name="40% - Accent1 3 5 5" xfId="18477" xr:uid="{20BAD7E7-87CD-44CB-BC9A-0CD214FA76BB}"/>
    <cellStyle name="40% - Accent1 3 5 6" xfId="26924" xr:uid="{C19A2AF5-E22F-4FB6-8BBF-DA817FDEE279}"/>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3A860F09-DD55-4969-8702-B9751564EAB9}"/>
    <cellStyle name="40% - Accent1 3 6 2 2 3" xfId="25252" xr:uid="{1B7E41DE-99F2-4F5C-93A4-CBD222945682}"/>
    <cellStyle name="40% - Accent1 3 6 2 2 4" xfId="33699" xr:uid="{DBFE54DE-352F-4236-AD91-76FC0AF1A186}"/>
    <cellStyle name="40% - Accent1 3 6 2 3" xfId="12587" xr:uid="{E5F1C058-DEAB-437C-93E6-998CA221B864}"/>
    <cellStyle name="40% - Accent1 3 6 2 4" xfId="21035" xr:uid="{A33A968C-D7E2-42A9-BF7F-31ACE958F7D0}"/>
    <cellStyle name="40% - Accent1 3 6 2 5" xfId="29482" xr:uid="{05B83DCC-387D-415C-B90A-8EB24B0FEFB8}"/>
    <cellStyle name="40% - Accent1 3 6 3" xfId="6210" xr:uid="{00000000-0005-0000-0000-000036040000}"/>
    <cellStyle name="40% - Accent1 3 6 3 2" xfId="14660" xr:uid="{54A179DF-7EA9-47FA-80D2-D087BF270B8B}"/>
    <cellStyle name="40% - Accent1 3 6 3 3" xfId="23107" xr:uid="{A5234D5E-53DA-43EB-981C-85744A7C2A2E}"/>
    <cellStyle name="40% - Accent1 3 6 3 4" xfId="31554" xr:uid="{F5096750-323C-4D2E-A88B-6CEB6497E9F1}"/>
    <cellStyle name="40% - Accent1 3 6 4" xfId="10442" xr:uid="{0E0F372E-41D2-4E12-87AC-550B99C86E38}"/>
    <cellStyle name="40% - Accent1 3 6 5" xfId="18890" xr:uid="{0751E2AB-6EC1-4F2B-8C8B-69B34F0BAF1F}"/>
    <cellStyle name="40% - Accent1 3 6 6" xfId="27337" xr:uid="{8DC4D94F-11DC-41D4-B5A7-C10673F03FD6}"/>
    <cellStyle name="40% - Accent1 3 7" xfId="2317" xr:uid="{00000000-0005-0000-0000-000037040000}"/>
    <cellStyle name="40% - Accent1 3 7 2" xfId="6623" xr:uid="{00000000-0005-0000-0000-000038040000}"/>
    <cellStyle name="40% - Accent1 3 7 2 2" xfId="15073" xr:uid="{818C7D25-5169-417A-A1CA-9DD2AD349011}"/>
    <cellStyle name="40% - Accent1 3 7 2 3" xfId="23520" xr:uid="{6D33E8E0-400B-4E1D-A7B6-8276F05A81CE}"/>
    <cellStyle name="40% - Accent1 3 7 2 4" xfId="31967" xr:uid="{141B618E-D04F-47BF-82A8-9A5804E21244}"/>
    <cellStyle name="40% - Accent1 3 7 3" xfId="10855" xr:uid="{3393317A-1C37-48BF-A8A4-4101D2052705}"/>
    <cellStyle name="40% - Accent1 3 7 4" xfId="19303" xr:uid="{B63B1598-3CC6-4F32-A502-E03CCB40AE6F}"/>
    <cellStyle name="40% - Accent1 3 7 5" xfId="27750" xr:uid="{6E8B83C4-D821-4427-B428-2ED0015A2257}"/>
    <cellStyle name="40% - Accent1 3 8" xfId="4557" xr:uid="{00000000-0005-0000-0000-000039040000}"/>
    <cellStyle name="40% - Accent1 3 8 2" xfId="13007" xr:uid="{D68BDAA1-86F2-48F5-891A-8DF2A486ED86}"/>
    <cellStyle name="40% - Accent1 3 8 3" xfId="21454" xr:uid="{67E11B12-D381-4376-9A33-3DE5C0015AD6}"/>
    <cellStyle name="40% - Accent1 3 8 4" xfId="29901" xr:uid="{0A1BB3F8-1532-4B14-A3ED-E53ADAF2F017}"/>
    <cellStyle name="40% - Accent1 3 9" xfId="8789" xr:uid="{ABA9C537-C5B9-4B57-AC47-55AEBBAE2FF3}"/>
    <cellStyle name="40% - Accent1 4" xfId="56" xr:uid="{00000000-0005-0000-0000-00003A040000}"/>
    <cellStyle name="40% - Accent1 4 10" xfId="25686" xr:uid="{0DC4C5CD-416A-448D-97C2-9ACC6E4E3D91}"/>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9A722444-298F-4949-A7C0-40A70A692229}"/>
    <cellStyle name="40% - Accent1 4 2 2 2 3" xfId="24015" xr:uid="{45C37688-0055-4757-AE8B-B127FA659177}"/>
    <cellStyle name="40% - Accent1 4 2 2 2 4" xfId="32462" xr:uid="{E5E00363-275B-4654-B41F-6C23EF0A628E}"/>
    <cellStyle name="40% - Accent1 4 2 2 3" xfId="11350" xr:uid="{294B6A49-9BC5-4265-AC7A-5CB63C315FF2}"/>
    <cellStyle name="40% - Accent1 4 2 2 4" xfId="19798" xr:uid="{04335147-7E50-4B78-B1B8-7B903C4CADEF}"/>
    <cellStyle name="40% - Accent1 4 2 2 5" xfId="28245" xr:uid="{A3395C94-31ED-4312-B0AB-AEDBDF6149ED}"/>
    <cellStyle name="40% - Accent1 4 2 3" xfId="4973" xr:uid="{00000000-0005-0000-0000-00003E040000}"/>
    <cellStyle name="40% - Accent1 4 2 3 2" xfId="13423" xr:uid="{C1DC32E1-F8FC-4A1E-B5B6-20133B01A280}"/>
    <cellStyle name="40% - Accent1 4 2 3 3" xfId="21870" xr:uid="{3DC84439-0DBF-4EF8-B42A-8E5CE4355330}"/>
    <cellStyle name="40% - Accent1 4 2 3 4" xfId="30317" xr:uid="{E73A2005-107A-4FBE-95A4-CDDD0B62B6BD}"/>
    <cellStyle name="40% - Accent1 4 2 4" xfId="9205" xr:uid="{5B00DE79-4EF0-401F-944B-1547F1B3C656}"/>
    <cellStyle name="40% - Accent1 4 2 5" xfId="17653" xr:uid="{C3835762-570A-4E51-ADF4-3F61FF834EEE}"/>
    <cellStyle name="40% - Accent1 4 2 6" xfId="26100" xr:uid="{6B2CE768-BABF-4EAD-B231-B0DED9B1C706}"/>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6E932B11-948D-463A-8BAB-D2D103027889}"/>
    <cellStyle name="40% - Accent1 4 3 2 2 3" xfId="24428" xr:uid="{CF4976AB-8A8B-48B3-8874-64B6A6B47729}"/>
    <cellStyle name="40% - Accent1 4 3 2 2 4" xfId="32875" xr:uid="{57E699BF-68CB-4417-ABC7-C4456F8DCA0D}"/>
    <cellStyle name="40% - Accent1 4 3 2 3" xfId="11763" xr:uid="{085F5574-5BCD-4473-B352-386CBB242531}"/>
    <cellStyle name="40% - Accent1 4 3 2 4" xfId="20211" xr:uid="{A7DA4615-6C56-458A-8A47-300E1C69940D}"/>
    <cellStyle name="40% - Accent1 4 3 2 5" xfId="28658" xr:uid="{35A5C601-FF66-4F4D-B59F-B76B07DAF27F}"/>
    <cellStyle name="40% - Accent1 4 3 3" xfId="5386" xr:uid="{00000000-0005-0000-0000-000042040000}"/>
    <cellStyle name="40% - Accent1 4 3 3 2" xfId="13836" xr:uid="{5F6C651E-346B-45E3-8AEE-91915B94B61E}"/>
    <cellStyle name="40% - Accent1 4 3 3 3" xfId="22283" xr:uid="{B20237D5-575E-40F9-A134-2A655A23084B}"/>
    <cellStyle name="40% - Accent1 4 3 3 4" xfId="30730" xr:uid="{FEB1B69B-D7FF-4BB6-B59D-EC6712BAD062}"/>
    <cellStyle name="40% - Accent1 4 3 4" xfId="9618" xr:uid="{FBC43197-AAB3-4B83-8F23-7A90F8EBEAA6}"/>
    <cellStyle name="40% - Accent1 4 3 5" xfId="18066" xr:uid="{40F49AE7-0B52-4098-8F18-CDBDDA7C8EDA}"/>
    <cellStyle name="40% - Accent1 4 3 6" xfId="26513" xr:uid="{4C195824-81AF-49F8-AFB4-CE31EC5DAB8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43DD2E11-8B41-43E9-97F4-E4FB13C4C698}"/>
    <cellStyle name="40% - Accent1 4 4 2 2 3" xfId="24841" xr:uid="{FFF001C1-CAA2-45AB-8D41-4E24F2DC78AF}"/>
    <cellStyle name="40% - Accent1 4 4 2 2 4" xfId="33288" xr:uid="{89A908D6-3C8C-452A-99C7-BDE1896FBF2D}"/>
    <cellStyle name="40% - Accent1 4 4 2 3" xfId="12176" xr:uid="{4301B09C-E5C3-4EF3-BA2E-EEACCB4FB76D}"/>
    <cellStyle name="40% - Accent1 4 4 2 4" xfId="20624" xr:uid="{90BC4240-5A63-4EBF-A3C1-4043968B28A1}"/>
    <cellStyle name="40% - Accent1 4 4 2 5" xfId="29071" xr:uid="{BE275078-0462-4271-ABE6-5E7AFB34F7B6}"/>
    <cellStyle name="40% - Accent1 4 4 3" xfId="5799" xr:uid="{00000000-0005-0000-0000-000046040000}"/>
    <cellStyle name="40% - Accent1 4 4 3 2" xfId="14249" xr:uid="{EA5D0A8C-6AF8-4172-BD8E-614EA24F2B7E}"/>
    <cellStyle name="40% - Accent1 4 4 3 3" xfId="22696" xr:uid="{35FEFCD5-0FB5-49EE-9A03-D0DB7982AAF5}"/>
    <cellStyle name="40% - Accent1 4 4 3 4" xfId="31143" xr:uid="{54FFCBDF-22C8-4633-98DD-4C9269C6C636}"/>
    <cellStyle name="40% - Accent1 4 4 4" xfId="10031" xr:uid="{B17D12B5-EC37-45EA-9543-588BD0FF777A}"/>
    <cellStyle name="40% - Accent1 4 4 5" xfId="18479" xr:uid="{CE6687F4-9ECF-47C4-8189-E49B541FED00}"/>
    <cellStyle name="40% - Accent1 4 4 6" xfId="26926" xr:uid="{834DE31B-A6FE-432A-BC1E-77760617AF8C}"/>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7C36CD62-44E6-4105-BC54-4E31957FEC02}"/>
    <cellStyle name="40% - Accent1 4 5 2 2 3" xfId="25254" xr:uid="{3CB3BE70-9FE1-4F1F-8B05-5908D48E645A}"/>
    <cellStyle name="40% - Accent1 4 5 2 2 4" xfId="33701" xr:uid="{C5C0B994-0023-46A6-B556-A1BEC5A52BA6}"/>
    <cellStyle name="40% - Accent1 4 5 2 3" xfId="12589" xr:uid="{F04D1D42-8E2F-4D89-B6DA-5C197CF1ACD8}"/>
    <cellStyle name="40% - Accent1 4 5 2 4" xfId="21037" xr:uid="{FFCF64A0-E304-4E26-9C2D-A1B2B75162E4}"/>
    <cellStyle name="40% - Accent1 4 5 2 5" xfId="29484" xr:uid="{70D0FB5E-DFEF-4575-BCE0-4C6F7090A074}"/>
    <cellStyle name="40% - Accent1 4 5 3" xfId="6212" xr:uid="{00000000-0005-0000-0000-00004A040000}"/>
    <cellStyle name="40% - Accent1 4 5 3 2" xfId="14662" xr:uid="{8AE756ED-7978-490C-A968-1F5C97EE1001}"/>
    <cellStyle name="40% - Accent1 4 5 3 3" xfId="23109" xr:uid="{E02AEDAE-F54B-4C8B-8CD4-5FFADF17C850}"/>
    <cellStyle name="40% - Accent1 4 5 3 4" xfId="31556" xr:uid="{7EB0533B-2AF8-410E-B5B3-96CAE0D01317}"/>
    <cellStyle name="40% - Accent1 4 5 4" xfId="10444" xr:uid="{55B293B2-3F22-42A7-ADEE-C5BA816308F3}"/>
    <cellStyle name="40% - Accent1 4 5 5" xfId="18892" xr:uid="{AAB5EF2E-BD83-42F8-8EC9-0416628C6736}"/>
    <cellStyle name="40% - Accent1 4 5 6" xfId="27339" xr:uid="{181A48ED-D957-4D21-8F76-D71E6E67ADC3}"/>
    <cellStyle name="40% - Accent1 4 6" xfId="2319" xr:uid="{00000000-0005-0000-0000-00004B040000}"/>
    <cellStyle name="40% - Accent1 4 6 2" xfId="6625" xr:uid="{00000000-0005-0000-0000-00004C040000}"/>
    <cellStyle name="40% - Accent1 4 6 2 2" xfId="15075" xr:uid="{17978A35-DDC0-497A-BC05-88F9380B2E42}"/>
    <cellStyle name="40% - Accent1 4 6 2 3" xfId="23522" xr:uid="{08734BA7-27AA-4B63-8307-50683DE06AC2}"/>
    <cellStyle name="40% - Accent1 4 6 2 4" xfId="31969" xr:uid="{A98620E2-3CBF-4E64-BDF5-016B20A99638}"/>
    <cellStyle name="40% - Accent1 4 6 3" xfId="10857" xr:uid="{B4C45D52-1134-4C7B-B8A3-FA7F4A71C246}"/>
    <cellStyle name="40% - Accent1 4 6 4" xfId="19305" xr:uid="{CF611541-C975-4483-879E-3D569B2A58AA}"/>
    <cellStyle name="40% - Accent1 4 6 5" xfId="27752" xr:uid="{22AC4971-8C22-48C1-B728-B323BAA6E766}"/>
    <cellStyle name="40% - Accent1 4 7" xfId="4559" xr:uid="{00000000-0005-0000-0000-00004D040000}"/>
    <cellStyle name="40% - Accent1 4 7 2" xfId="13009" xr:uid="{3F783E1A-D159-4892-AD15-0A7821C0A1A9}"/>
    <cellStyle name="40% - Accent1 4 7 3" xfId="21456" xr:uid="{127069A4-B23A-48CE-A30B-41F33B4669FB}"/>
    <cellStyle name="40% - Accent1 4 7 4" xfId="29903" xr:uid="{27EC3066-CF03-4826-9C8F-C3DDA63D1B23}"/>
    <cellStyle name="40% - Accent1 4 8" xfId="8791" xr:uid="{1339E471-E49A-4102-B1F8-94DED7983448}"/>
    <cellStyle name="40% - Accent1 4 9" xfId="17239" xr:uid="{C578A79F-A36C-4C32-9E9F-7F266C7095A4}"/>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6C2F60A5-9B33-42C2-9704-7AB185564A41}"/>
    <cellStyle name="40% - Accent1 5 2 2 3" xfId="24008" xr:uid="{C2EFD364-5238-452A-A315-18737ACE0529}"/>
    <cellStyle name="40% - Accent1 5 2 2 4" xfId="32455" xr:uid="{DB931082-EB14-4821-A149-F096B2923C99}"/>
    <cellStyle name="40% - Accent1 5 2 3" xfId="11343" xr:uid="{14CE0738-21B9-45B7-A4D5-9F8F7C4F6979}"/>
    <cellStyle name="40% - Accent1 5 2 4" xfId="19791" xr:uid="{DF56A319-3DF8-4CC0-819E-8639E6551656}"/>
    <cellStyle name="40% - Accent1 5 2 5" xfId="28238" xr:uid="{7C95A274-3CDB-4BC6-940D-A0594A46A1A6}"/>
    <cellStyle name="40% - Accent1 5 3" xfId="4966" xr:uid="{00000000-0005-0000-0000-000051040000}"/>
    <cellStyle name="40% - Accent1 5 3 2" xfId="13416" xr:uid="{CFD49BAB-9672-4A63-BD74-FE9F17BF776F}"/>
    <cellStyle name="40% - Accent1 5 3 3" xfId="21863" xr:uid="{ECD7DB97-C44D-4B1F-87F4-64D15426F8C1}"/>
    <cellStyle name="40% - Accent1 5 3 4" xfId="30310" xr:uid="{36A7B3DE-DBC2-4E7E-8F13-E65B3DD11D3F}"/>
    <cellStyle name="40% - Accent1 5 4" xfId="9198" xr:uid="{817342E1-D53F-41CB-917F-F5F578B6F1A7}"/>
    <cellStyle name="40% - Accent1 5 5" xfId="17646" xr:uid="{87091E25-C5DA-4500-9846-8E0484C277B8}"/>
    <cellStyle name="40% - Accent1 5 6" xfId="26093" xr:uid="{CEB80646-E2A5-469C-ADC9-310A255859C4}"/>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32CE1BAF-624C-4F12-A111-D3B97FD24756}"/>
    <cellStyle name="40% - Accent1 6 2 2 3" xfId="24421" xr:uid="{AB498D9E-796D-4BD4-B018-9D8AE5F6230B}"/>
    <cellStyle name="40% - Accent1 6 2 2 4" xfId="32868" xr:uid="{734EE931-935F-4662-9347-EAC2CB261DFA}"/>
    <cellStyle name="40% - Accent1 6 2 3" xfId="11756" xr:uid="{71F02D74-4AD9-40B1-8E53-B6B988D16ABF}"/>
    <cellStyle name="40% - Accent1 6 2 4" xfId="20204" xr:uid="{77F6CF98-96F9-4538-A8BF-C70E9A190709}"/>
    <cellStyle name="40% - Accent1 6 2 5" xfId="28651" xr:uid="{A1417FCB-87C5-4B2F-9DF4-09676A1FCA56}"/>
    <cellStyle name="40% - Accent1 6 3" xfId="5379" xr:uid="{00000000-0005-0000-0000-000055040000}"/>
    <cellStyle name="40% - Accent1 6 3 2" xfId="13829" xr:uid="{1560BE8C-EDC0-42B2-9E0A-2D22DBEFF07E}"/>
    <cellStyle name="40% - Accent1 6 3 3" xfId="22276" xr:uid="{DA982263-F69B-4862-9307-8ADA087FE21C}"/>
    <cellStyle name="40% - Accent1 6 3 4" xfId="30723" xr:uid="{04E35B37-198B-458C-BCE9-E68BDD0B2B33}"/>
    <cellStyle name="40% - Accent1 6 4" xfId="9611" xr:uid="{12B23906-C151-4C37-899F-B910C1C802FF}"/>
    <cellStyle name="40% - Accent1 6 5" xfId="18059" xr:uid="{87A7AAB0-9083-421C-9F11-63A549E884D6}"/>
    <cellStyle name="40% - Accent1 6 6" xfId="26506" xr:uid="{DD338DC3-6364-4548-AFAA-96EF870ED3C8}"/>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CB832137-5166-4475-8A16-4181738EA366}"/>
    <cellStyle name="40% - Accent1 7 2 2 3" xfId="24834" xr:uid="{EFA3010C-1CFC-46B8-9E18-63DE1DF9D8E5}"/>
    <cellStyle name="40% - Accent1 7 2 2 4" xfId="33281" xr:uid="{79C45ACC-3284-4D85-B631-68F73D826402}"/>
    <cellStyle name="40% - Accent1 7 2 3" xfId="12169" xr:uid="{20DA947A-3E9D-4D6D-8685-2DBDBA2E4C21}"/>
    <cellStyle name="40% - Accent1 7 2 4" xfId="20617" xr:uid="{29F86E48-BB31-4144-BD7C-55AD2DD32660}"/>
    <cellStyle name="40% - Accent1 7 2 5" xfId="29064" xr:uid="{40C7266B-17E7-4B10-8578-AFB565227ABA}"/>
    <cellStyle name="40% - Accent1 7 3" xfId="5792" xr:uid="{00000000-0005-0000-0000-000059040000}"/>
    <cellStyle name="40% - Accent1 7 3 2" xfId="14242" xr:uid="{D5DBECDC-5377-4C60-AA53-47FC0F6AA4C6}"/>
    <cellStyle name="40% - Accent1 7 3 3" xfId="22689" xr:uid="{1E9BA786-59A0-42A5-9B64-E17F3B83FE5A}"/>
    <cellStyle name="40% - Accent1 7 3 4" xfId="31136" xr:uid="{F3E18B6B-B1CB-4441-A999-E5477EBE83A8}"/>
    <cellStyle name="40% - Accent1 7 4" xfId="10024" xr:uid="{9A91D602-D9FF-439F-9989-FC23AE413E21}"/>
    <cellStyle name="40% - Accent1 7 5" xfId="18472" xr:uid="{BC1DE8E3-7223-4A11-B33F-3764837BDDE5}"/>
    <cellStyle name="40% - Accent1 7 6" xfId="26919" xr:uid="{DE5EA34B-5E6F-499E-B184-9BA612C6E054}"/>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6C930151-0F47-4DC0-997E-A462055F4C1E}"/>
    <cellStyle name="40% - Accent1 8 2 2 3" xfId="25247" xr:uid="{B829E5F9-8C94-4BCA-A653-A1709D97CCAC}"/>
    <cellStyle name="40% - Accent1 8 2 2 4" xfId="33694" xr:uid="{E1409D5C-511A-4A02-9E81-355F223C170A}"/>
    <cellStyle name="40% - Accent1 8 2 3" xfId="12582" xr:uid="{35FA5EAB-B74D-4382-A13F-577A071FB44E}"/>
    <cellStyle name="40% - Accent1 8 2 4" xfId="21030" xr:uid="{0E824DEA-3BF6-4261-BDF5-CCC5E983795A}"/>
    <cellStyle name="40% - Accent1 8 2 5" xfId="29477" xr:uid="{F0ADFCBC-0EF1-4ECF-9CD8-6BB0816A482A}"/>
    <cellStyle name="40% - Accent1 8 3" xfId="6205" xr:uid="{00000000-0005-0000-0000-00005D040000}"/>
    <cellStyle name="40% - Accent1 8 3 2" xfId="14655" xr:uid="{DB25D390-80F8-4092-9631-78E0F4FA4DC1}"/>
    <cellStyle name="40% - Accent1 8 3 3" xfId="23102" xr:uid="{FF5A4242-78D8-4865-89C5-52902E415114}"/>
    <cellStyle name="40% - Accent1 8 3 4" xfId="31549" xr:uid="{E8F02C74-05C8-414F-BD17-C73031488E31}"/>
    <cellStyle name="40% - Accent1 8 4" xfId="10437" xr:uid="{0C0190BE-720E-4B0D-813F-4DC98A08DA79}"/>
    <cellStyle name="40% - Accent1 8 5" xfId="18885" xr:uid="{581A39DF-9110-4AB4-8876-C9F287D2710B}"/>
    <cellStyle name="40% - Accent1 8 6" xfId="27332" xr:uid="{00AA972D-F11C-465F-988B-706CA5A3A370}"/>
    <cellStyle name="40% - Accent1 9" xfId="2312" xr:uid="{00000000-0005-0000-0000-00005E040000}"/>
    <cellStyle name="40% - Accent1 9 2" xfId="6618" xr:uid="{00000000-0005-0000-0000-00005F040000}"/>
    <cellStyle name="40% - Accent1 9 2 2" xfId="15068" xr:uid="{DD1273FF-8532-4A09-85D5-6DD61E239F93}"/>
    <cellStyle name="40% - Accent1 9 2 3" xfId="23515" xr:uid="{AABFEF3A-6147-48C0-8117-0DDDC4FDD9D5}"/>
    <cellStyle name="40% - Accent1 9 2 4" xfId="31962" xr:uid="{9A2D9475-C1BE-438E-A305-2CB41AD9E701}"/>
    <cellStyle name="40% - Accent1 9 3" xfId="10850" xr:uid="{01A86A96-6755-469D-981E-4C04551AC074}"/>
    <cellStyle name="40% - Accent1 9 4" xfId="19298" xr:uid="{A7F6422B-9079-48D1-A350-F19AF1854027}"/>
    <cellStyle name="40% - Accent1 9 5" xfId="27745" xr:uid="{62016F1B-15B3-41AE-AA1E-BB78632395A2}"/>
    <cellStyle name="40% - Accent2" xfId="57" builtinId="35" customBuiltin="1"/>
    <cellStyle name="40% - Accent2 10" xfId="4560" xr:uid="{00000000-0005-0000-0000-000061040000}"/>
    <cellStyle name="40% - Accent2 10 2" xfId="13010" xr:uid="{67B4EBEC-AEB8-4FC5-B656-F52120A39850}"/>
    <cellStyle name="40% - Accent2 10 3" xfId="21457" xr:uid="{8709D418-0063-4040-8EDA-4D785026B33C}"/>
    <cellStyle name="40% - Accent2 10 4" xfId="29904" xr:uid="{89753D52-1A31-45C2-8487-FFA1B9209A13}"/>
    <cellStyle name="40% - Accent2 11" xfId="8792" xr:uid="{1C3724DB-9450-4B60-8701-9684CA9467D1}"/>
    <cellStyle name="40% - Accent2 12" xfId="17240" xr:uid="{B7DF7257-C13E-495D-AF05-E114386002F6}"/>
    <cellStyle name="40% - Accent2 13" xfId="25687" xr:uid="{0B7718F1-23F8-471B-ABD5-154680B7FFAA}"/>
    <cellStyle name="40% - Accent2 2" xfId="58" xr:uid="{00000000-0005-0000-0000-000062040000}"/>
    <cellStyle name="40% - Accent2 2 10" xfId="8793" xr:uid="{3FA5E98F-EF00-415E-98DE-79A27C813B40}"/>
    <cellStyle name="40% - Accent2 2 11" xfId="17241" xr:uid="{4DF1B88A-F657-41D6-9CBE-636C30B660E7}"/>
    <cellStyle name="40% - Accent2 2 12" xfId="25688" xr:uid="{78DBB9A6-7F53-4533-8001-275BF2885BF3}"/>
    <cellStyle name="40% - Accent2 2 2" xfId="59" xr:uid="{00000000-0005-0000-0000-000063040000}"/>
    <cellStyle name="40% - Accent2 2 2 10" xfId="17242" xr:uid="{3DD9D343-FEE1-496E-87DD-1DB2F58E28D3}"/>
    <cellStyle name="40% - Accent2 2 2 11" xfId="25689" xr:uid="{4AB20F6F-3452-47E0-9FA1-62946DB24FB9}"/>
    <cellStyle name="40% - Accent2 2 2 2" xfId="60" xr:uid="{00000000-0005-0000-0000-000064040000}"/>
    <cellStyle name="40% - Accent2 2 2 2 10" xfId="25690" xr:uid="{691D3AED-D233-46B5-B45E-EA7015AE4366}"/>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CAFB1B15-DE31-4363-BB7A-9645B17C9BDE}"/>
    <cellStyle name="40% - Accent2 2 2 2 2 2 2 3" xfId="24019" xr:uid="{3BF17EF0-D2E0-4233-AF2B-8EAAF9D02BBA}"/>
    <cellStyle name="40% - Accent2 2 2 2 2 2 2 4" xfId="32466" xr:uid="{DB11952D-2147-45A9-9ABD-6B159BB086C9}"/>
    <cellStyle name="40% - Accent2 2 2 2 2 2 3" xfId="11354" xr:uid="{9B9342B3-CECE-4471-8A5F-A797D57F75B9}"/>
    <cellStyle name="40% - Accent2 2 2 2 2 2 4" xfId="19802" xr:uid="{A1DF9A13-3BF1-436B-9343-27C8C85C77B6}"/>
    <cellStyle name="40% - Accent2 2 2 2 2 2 5" xfId="28249" xr:uid="{AEDEAE28-4038-47DA-BB5E-0B7C17614A63}"/>
    <cellStyle name="40% - Accent2 2 2 2 2 3" xfId="4977" xr:uid="{00000000-0005-0000-0000-000068040000}"/>
    <cellStyle name="40% - Accent2 2 2 2 2 3 2" xfId="13427" xr:uid="{1C188121-AD20-4726-9CDE-4F497D1EB8F5}"/>
    <cellStyle name="40% - Accent2 2 2 2 2 3 3" xfId="21874" xr:uid="{2B745048-231A-4635-B6C6-40163017291E}"/>
    <cellStyle name="40% - Accent2 2 2 2 2 3 4" xfId="30321" xr:uid="{EA485EC1-FBBC-46E6-9444-4D35C5AFFB63}"/>
    <cellStyle name="40% - Accent2 2 2 2 2 4" xfId="9209" xr:uid="{60E50C36-4B01-42CD-8E2A-8F59EE6FB5B5}"/>
    <cellStyle name="40% - Accent2 2 2 2 2 5" xfId="17657" xr:uid="{62D173FB-757C-4980-9A16-97B10B06CF3A}"/>
    <cellStyle name="40% - Accent2 2 2 2 2 6" xfId="26104" xr:uid="{4F3C7A22-B28A-429D-A295-81027B6D34B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61EEFDC1-AC75-4695-92D8-1C2330A78F9D}"/>
    <cellStyle name="40% - Accent2 2 2 2 3 2 2 3" xfId="24432" xr:uid="{AB9EE7CA-CB77-4AB6-9152-BFA26BA23662}"/>
    <cellStyle name="40% - Accent2 2 2 2 3 2 2 4" xfId="32879" xr:uid="{BCD05E05-3ED4-48FF-A7A3-786911E15FC9}"/>
    <cellStyle name="40% - Accent2 2 2 2 3 2 3" xfId="11767" xr:uid="{766F81AB-8D82-4F6C-97B3-CFDEE5FDC0DB}"/>
    <cellStyle name="40% - Accent2 2 2 2 3 2 4" xfId="20215" xr:uid="{1FF0E9FF-B6B1-4104-9524-3CFB0AFBF941}"/>
    <cellStyle name="40% - Accent2 2 2 2 3 2 5" xfId="28662" xr:uid="{21BC9D5B-1E01-4EBC-BA32-F7E40975509E}"/>
    <cellStyle name="40% - Accent2 2 2 2 3 3" xfId="5390" xr:uid="{00000000-0005-0000-0000-00006C040000}"/>
    <cellStyle name="40% - Accent2 2 2 2 3 3 2" xfId="13840" xr:uid="{EC9234A7-C065-4355-83EF-CD20C2BBEDB2}"/>
    <cellStyle name="40% - Accent2 2 2 2 3 3 3" xfId="22287" xr:uid="{45619D76-EC73-4C0F-AEB5-D9270224BA48}"/>
    <cellStyle name="40% - Accent2 2 2 2 3 3 4" xfId="30734" xr:uid="{9FE95CAD-0484-43CD-A5B8-0D5686792678}"/>
    <cellStyle name="40% - Accent2 2 2 2 3 4" xfId="9622" xr:uid="{E5E49522-63EE-4F51-911E-52841E8C2505}"/>
    <cellStyle name="40% - Accent2 2 2 2 3 5" xfId="18070" xr:uid="{F022C34B-5F90-4965-96D3-06C930F075FE}"/>
    <cellStyle name="40% - Accent2 2 2 2 3 6" xfId="26517" xr:uid="{045C54D0-E8EA-47E0-A558-87825463C2B3}"/>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BC5495DC-F836-4075-AC04-5ADFB05C5871}"/>
    <cellStyle name="40% - Accent2 2 2 2 4 2 2 3" xfId="24845" xr:uid="{44B63F47-DD01-4F9B-93B8-0CC8E67C278C}"/>
    <cellStyle name="40% - Accent2 2 2 2 4 2 2 4" xfId="33292" xr:uid="{C225082B-D860-47A7-B19D-4C782B7A4990}"/>
    <cellStyle name="40% - Accent2 2 2 2 4 2 3" xfId="12180" xr:uid="{CD0F9AA0-99BB-43CF-8CEF-8A30BE38C14A}"/>
    <cellStyle name="40% - Accent2 2 2 2 4 2 4" xfId="20628" xr:uid="{18D861A1-FE18-4053-B12C-C2B98DFC5195}"/>
    <cellStyle name="40% - Accent2 2 2 2 4 2 5" xfId="29075" xr:uid="{7ECFA842-86D2-4C01-9436-501160377738}"/>
    <cellStyle name="40% - Accent2 2 2 2 4 3" xfId="5803" xr:uid="{00000000-0005-0000-0000-000070040000}"/>
    <cellStyle name="40% - Accent2 2 2 2 4 3 2" xfId="14253" xr:uid="{318BE87A-9700-4667-9A52-147D9E7B97C2}"/>
    <cellStyle name="40% - Accent2 2 2 2 4 3 3" xfId="22700" xr:uid="{C05FCE03-B297-4D3D-A22C-01F531C10770}"/>
    <cellStyle name="40% - Accent2 2 2 2 4 3 4" xfId="31147" xr:uid="{7A52E12C-13DF-40BB-BC96-1575BEC66654}"/>
    <cellStyle name="40% - Accent2 2 2 2 4 4" xfId="10035" xr:uid="{9F1EECDD-DE94-4962-B1E7-6B471A6DB9D4}"/>
    <cellStyle name="40% - Accent2 2 2 2 4 5" xfId="18483" xr:uid="{9B59C6A3-065B-4ADE-8320-8578E9A120C4}"/>
    <cellStyle name="40% - Accent2 2 2 2 4 6" xfId="26930" xr:uid="{1195AC58-6662-4E34-81BE-83B828EDE452}"/>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30E9D078-B2D4-460B-A23B-E0A06EF5BFC8}"/>
    <cellStyle name="40% - Accent2 2 2 2 5 2 2 3" xfId="25258" xr:uid="{7AF72C21-4553-43E4-B8A9-C54A2392D693}"/>
    <cellStyle name="40% - Accent2 2 2 2 5 2 2 4" xfId="33705" xr:uid="{42410153-B830-47E7-9EDD-1D2B0963B0CB}"/>
    <cellStyle name="40% - Accent2 2 2 2 5 2 3" xfId="12593" xr:uid="{CC38C65D-BFD9-4832-9579-8FB55A999152}"/>
    <cellStyle name="40% - Accent2 2 2 2 5 2 4" xfId="21041" xr:uid="{56968174-79AA-46D5-B288-0EA9B16A40AF}"/>
    <cellStyle name="40% - Accent2 2 2 2 5 2 5" xfId="29488" xr:uid="{482BCB26-8823-483A-B372-A17E71229898}"/>
    <cellStyle name="40% - Accent2 2 2 2 5 3" xfId="6216" xr:uid="{00000000-0005-0000-0000-000074040000}"/>
    <cellStyle name="40% - Accent2 2 2 2 5 3 2" xfId="14666" xr:uid="{DBFB0ACB-58CE-44D3-A7C5-97EE11FABFF1}"/>
    <cellStyle name="40% - Accent2 2 2 2 5 3 3" xfId="23113" xr:uid="{4148DF47-BBEE-4FFF-A8D1-CA8E8E2BB8E7}"/>
    <cellStyle name="40% - Accent2 2 2 2 5 3 4" xfId="31560" xr:uid="{AFE9CF21-54DA-4773-9CAA-B0B03259FCFF}"/>
    <cellStyle name="40% - Accent2 2 2 2 5 4" xfId="10448" xr:uid="{12B5F517-83AF-4503-BA4F-75C36BFFE822}"/>
    <cellStyle name="40% - Accent2 2 2 2 5 5" xfId="18896" xr:uid="{04247FD0-4094-4A71-A087-60632976F4CA}"/>
    <cellStyle name="40% - Accent2 2 2 2 5 6" xfId="27343" xr:uid="{1EE53D1E-D985-4A12-BFB8-D4547399AEB5}"/>
    <cellStyle name="40% - Accent2 2 2 2 6" xfId="2323" xr:uid="{00000000-0005-0000-0000-000075040000}"/>
    <cellStyle name="40% - Accent2 2 2 2 6 2" xfId="6629" xr:uid="{00000000-0005-0000-0000-000076040000}"/>
    <cellStyle name="40% - Accent2 2 2 2 6 2 2" xfId="15079" xr:uid="{A0890557-105A-4B97-8070-8346420D46F5}"/>
    <cellStyle name="40% - Accent2 2 2 2 6 2 3" xfId="23526" xr:uid="{82EFCDEE-226C-4D31-A182-9AFA4B7E0E1E}"/>
    <cellStyle name="40% - Accent2 2 2 2 6 2 4" xfId="31973" xr:uid="{5F414ED8-3DF4-4D09-A07D-CA98173FAE64}"/>
    <cellStyle name="40% - Accent2 2 2 2 6 3" xfId="10861" xr:uid="{BD85A796-9BF9-4579-A518-2C7FEEE249A9}"/>
    <cellStyle name="40% - Accent2 2 2 2 6 4" xfId="19309" xr:uid="{7FFACD0E-315A-4212-802E-CB888E3186EA}"/>
    <cellStyle name="40% - Accent2 2 2 2 6 5" xfId="27756" xr:uid="{C3654393-475D-4552-8D11-997076A21B4B}"/>
    <cellStyle name="40% - Accent2 2 2 2 7" xfId="4563" xr:uid="{00000000-0005-0000-0000-000077040000}"/>
    <cellStyle name="40% - Accent2 2 2 2 7 2" xfId="13013" xr:uid="{3EB1C026-69BB-4E82-A9B5-F90305A52C1F}"/>
    <cellStyle name="40% - Accent2 2 2 2 7 3" xfId="21460" xr:uid="{BB41F752-6EED-4B61-9312-327D27F620E0}"/>
    <cellStyle name="40% - Accent2 2 2 2 7 4" xfId="29907" xr:uid="{2C0462A5-D0DF-4E8A-8781-5082ED6AF349}"/>
    <cellStyle name="40% - Accent2 2 2 2 8" xfId="8795" xr:uid="{888BF792-42B2-4A91-9496-AED6725E20E4}"/>
    <cellStyle name="40% - Accent2 2 2 2 9" xfId="17243" xr:uid="{D650CA31-7AA1-4B23-800B-6D08A6728919}"/>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A576DF4D-F282-457E-A7D0-EDAD69B87B9F}"/>
    <cellStyle name="40% - Accent2 2 2 3 2 2 3" xfId="24018" xr:uid="{A838EFAA-BF69-48B6-AA96-9527A3D7A6D5}"/>
    <cellStyle name="40% - Accent2 2 2 3 2 2 4" xfId="32465" xr:uid="{0A8872CB-F564-4226-8435-72208AA2403D}"/>
    <cellStyle name="40% - Accent2 2 2 3 2 3" xfId="11353" xr:uid="{0EC4895C-9CA5-4723-8D7D-62951F4FDB27}"/>
    <cellStyle name="40% - Accent2 2 2 3 2 4" xfId="19801" xr:uid="{B348F736-E179-4BA6-9872-CB7E126B143A}"/>
    <cellStyle name="40% - Accent2 2 2 3 2 5" xfId="28248" xr:uid="{E734D986-92E5-439F-A710-C49B2348F3FC}"/>
    <cellStyle name="40% - Accent2 2 2 3 3" xfId="4976" xr:uid="{00000000-0005-0000-0000-00007B040000}"/>
    <cellStyle name="40% - Accent2 2 2 3 3 2" xfId="13426" xr:uid="{74C1924F-EAB4-4F8D-B4F0-C8B281ABFC0D}"/>
    <cellStyle name="40% - Accent2 2 2 3 3 3" xfId="21873" xr:uid="{D6FAFC6E-73D9-4EF9-B20B-2B71D4A8A3A0}"/>
    <cellStyle name="40% - Accent2 2 2 3 3 4" xfId="30320" xr:uid="{D75F4032-6AE2-4000-8FAF-F6198A8448CA}"/>
    <cellStyle name="40% - Accent2 2 2 3 4" xfId="9208" xr:uid="{729421FF-5F6E-4ADA-9A35-A1B4530BEACA}"/>
    <cellStyle name="40% - Accent2 2 2 3 5" xfId="17656" xr:uid="{463DD71C-A6C1-4AFC-812E-86EBBE51A898}"/>
    <cellStyle name="40% - Accent2 2 2 3 6" xfId="26103" xr:uid="{73E48317-9E04-4615-9044-779172CB782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FCA9689A-3EC4-43FE-85C1-80450824DB9D}"/>
    <cellStyle name="40% - Accent2 2 2 4 2 2 3" xfId="24431" xr:uid="{79B3EB49-D9C0-4BDB-9FF5-03B4DD2197B1}"/>
    <cellStyle name="40% - Accent2 2 2 4 2 2 4" xfId="32878" xr:uid="{A7F5F6DB-2B76-45D7-BC01-8229D29D74ED}"/>
    <cellStyle name="40% - Accent2 2 2 4 2 3" xfId="11766" xr:uid="{B7423A13-BAD7-436A-B6DE-1DD1250D5DDC}"/>
    <cellStyle name="40% - Accent2 2 2 4 2 4" xfId="20214" xr:uid="{C3231A72-894D-483C-85C1-5C523AE07B1F}"/>
    <cellStyle name="40% - Accent2 2 2 4 2 5" xfId="28661" xr:uid="{F7A9F2AF-BC67-40C2-BE88-C2F0A828EEDD}"/>
    <cellStyle name="40% - Accent2 2 2 4 3" xfId="5389" xr:uid="{00000000-0005-0000-0000-00007F040000}"/>
    <cellStyle name="40% - Accent2 2 2 4 3 2" xfId="13839" xr:uid="{8CEFB44C-EE8C-4A77-AD85-0B2F09FD947B}"/>
    <cellStyle name="40% - Accent2 2 2 4 3 3" xfId="22286" xr:uid="{8E8E0A96-7878-40B8-96B0-26196A77C767}"/>
    <cellStyle name="40% - Accent2 2 2 4 3 4" xfId="30733" xr:uid="{196235B2-862C-4857-B8B8-49DA1962B603}"/>
    <cellStyle name="40% - Accent2 2 2 4 4" xfId="9621" xr:uid="{5029CCAA-7CAD-4C8A-860C-29C8BA05FFF1}"/>
    <cellStyle name="40% - Accent2 2 2 4 5" xfId="18069" xr:uid="{F0EDF77B-C459-413A-921C-F6DE27013E87}"/>
    <cellStyle name="40% - Accent2 2 2 4 6" xfId="26516" xr:uid="{7F205312-70A8-473E-96B9-8F396E2BA3D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99A7F839-D122-4D48-A267-6E10A4D827AA}"/>
    <cellStyle name="40% - Accent2 2 2 5 2 2 3" xfId="24844" xr:uid="{EEA7C33F-6335-43A7-A499-6410BB00860D}"/>
    <cellStyle name="40% - Accent2 2 2 5 2 2 4" xfId="33291" xr:uid="{38CB880E-6C6D-44C8-9EF7-8ED46BE192EA}"/>
    <cellStyle name="40% - Accent2 2 2 5 2 3" xfId="12179" xr:uid="{DBD38924-35C4-48C9-A9B3-15A6132714D2}"/>
    <cellStyle name="40% - Accent2 2 2 5 2 4" xfId="20627" xr:uid="{ED8BBD66-DF09-45B9-9B28-5760B0EC1E5F}"/>
    <cellStyle name="40% - Accent2 2 2 5 2 5" xfId="29074" xr:uid="{E1CB350F-E750-4672-BB40-1149C82B5E2C}"/>
    <cellStyle name="40% - Accent2 2 2 5 3" xfId="5802" xr:uid="{00000000-0005-0000-0000-000083040000}"/>
    <cellStyle name="40% - Accent2 2 2 5 3 2" xfId="14252" xr:uid="{A01283AA-9271-456F-B6A4-6F4624349AFA}"/>
    <cellStyle name="40% - Accent2 2 2 5 3 3" xfId="22699" xr:uid="{826A9C9A-E6D6-4D9B-B683-92F32F24929B}"/>
    <cellStyle name="40% - Accent2 2 2 5 3 4" xfId="31146" xr:uid="{4542CADC-0620-4DF3-A1A2-19BFAFCFD291}"/>
    <cellStyle name="40% - Accent2 2 2 5 4" xfId="10034" xr:uid="{44F8F974-3D1D-4552-9FFA-83DE1C3ED059}"/>
    <cellStyle name="40% - Accent2 2 2 5 5" xfId="18482" xr:uid="{F2110627-0F62-4CC1-8261-AFA3938FF71B}"/>
    <cellStyle name="40% - Accent2 2 2 5 6" xfId="26929" xr:uid="{FFFDB076-B4AF-44C4-9F7A-EABD6A205D8F}"/>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42BFE6F5-73DE-4BAC-A4BE-9143E8F78B8A}"/>
    <cellStyle name="40% - Accent2 2 2 6 2 2 3" xfId="25257" xr:uid="{8B4EF4AC-6462-4088-A1CF-3EB6BDED49F9}"/>
    <cellStyle name="40% - Accent2 2 2 6 2 2 4" xfId="33704" xr:uid="{563A4EF8-3FA6-4C29-9FC9-49C7B96F1C1E}"/>
    <cellStyle name="40% - Accent2 2 2 6 2 3" xfId="12592" xr:uid="{DDABECEB-C769-4247-93FD-ED601CA00B37}"/>
    <cellStyle name="40% - Accent2 2 2 6 2 4" xfId="21040" xr:uid="{92843B2A-829B-4ED3-9951-284DAAF8F7F5}"/>
    <cellStyle name="40% - Accent2 2 2 6 2 5" xfId="29487" xr:uid="{2E0F9F67-C589-43E9-9FF5-DB3EE4B2CDE7}"/>
    <cellStyle name="40% - Accent2 2 2 6 3" xfId="6215" xr:uid="{00000000-0005-0000-0000-000087040000}"/>
    <cellStyle name="40% - Accent2 2 2 6 3 2" xfId="14665" xr:uid="{C411B787-A662-4D55-973D-FDDE7987DFDB}"/>
    <cellStyle name="40% - Accent2 2 2 6 3 3" xfId="23112" xr:uid="{DBDC6415-195C-4DD9-88C4-CD502AF6D683}"/>
    <cellStyle name="40% - Accent2 2 2 6 3 4" xfId="31559" xr:uid="{C10757CC-FACC-402B-94FE-C9B122107464}"/>
    <cellStyle name="40% - Accent2 2 2 6 4" xfId="10447" xr:uid="{99BA3702-9627-442C-BCCF-92CC1CFDE2C9}"/>
    <cellStyle name="40% - Accent2 2 2 6 5" xfId="18895" xr:uid="{D7C4A2DE-37C8-4F1C-89C1-C7D1F736F3F6}"/>
    <cellStyle name="40% - Accent2 2 2 6 6" xfId="27342" xr:uid="{B23D9F60-0417-427C-8C19-9210DB7679EE}"/>
    <cellStyle name="40% - Accent2 2 2 7" xfId="2322" xr:uid="{00000000-0005-0000-0000-000088040000}"/>
    <cellStyle name="40% - Accent2 2 2 7 2" xfId="6628" xr:uid="{00000000-0005-0000-0000-000089040000}"/>
    <cellStyle name="40% - Accent2 2 2 7 2 2" xfId="15078" xr:uid="{B5005402-D2FD-4CAD-95CE-56F4B496B317}"/>
    <cellStyle name="40% - Accent2 2 2 7 2 3" xfId="23525" xr:uid="{6539BBCF-54DC-4CE5-8676-5D11485D562B}"/>
    <cellStyle name="40% - Accent2 2 2 7 2 4" xfId="31972" xr:uid="{6FDA3AA5-6AE5-4168-BF0C-24A1354605D8}"/>
    <cellStyle name="40% - Accent2 2 2 7 3" xfId="10860" xr:uid="{85D77674-67AA-4C6A-AA8E-7C05E36434D1}"/>
    <cellStyle name="40% - Accent2 2 2 7 4" xfId="19308" xr:uid="{57A1C294-1D77-4ABB-A081-773A90DEC54E}"/>
    <cellStyle name="40% - Accent2 2 2 7 5" xfId="27755" xr:uid="{023EA769-52C6-4603-AB1C-53957CA02FFA}"/>
    <cellStyle name="40% - Accent2 2 2 8" xfId="4562" xr:uid="{00000000-0005-0000-0000-00008A040000}"/>
    <cellStyle name="40% - Accent2 2 2 8 2" xfId="13012" xr:uid="{8E42D5ED-45F9-4A08-ADD3-EC353D265926}"/>
    <cellStyle name="40% - Accent2 2 2 8 3" xfId="21459" xr:uid="{0AB9F718-9A7A-47F3-8374-77077433942F}"/>
    <cellStyle name="40% - Accent2 2 2 8 4" xfId="29906" xr:uid="{0C7E1276-ADB1-41B7-96B4-B9DD40BB0244}"/>
    <cellStyle name="40% - Accent2 2 2 9" xfId="8794" xr:uid="{D31EEBC1-E880-4A72-9913-BD2DCC0DB173}"/>
    <cellStyle name="40% - Accent2 2 3" xfId="61" xr:uid="{00000000-0005-0000-0000-00008B040000}"/>
    <cellStyle name="40% - Accent2 2 3 10" xfId="25691" xr:uid="{B29CFE5A-5BF2-4FD8-90F2-4743A6A2B2ED}"/>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0C4D026A-553B-47EF-B39A-A654BDC1F0A7}"/>
    <cellStyle name="40% - Accent2 2 3 2 2 2 3" xfId="24020" xr:uid="{8B75FE64-D596-4268-9078-CE3E7903AC88}"/>
    <cellStyle name="40% - Accent2 2 3 2 2 2 4" xfId="32467" xr:uid="{5A3684EC-93F4-429F-B694-FEDD910AC672}"/>
    <cellStyle name="40% - Accent2 2 3 2 2 3" xfId="11355" xr:uid="{1B9D84C9-5BB3-4B8F-A31E-341F92981CB2}"/>
    <cellStyle name="40% - Accent2 2 3 2 2 4" xfId="19803" xr:uid="{A80B826B-2DEE-469B-9716-4CE1FB4E703B}"/>
    <cellStyle name="40% - Accent2 2 3 2 2 5" xfId="28250" xr:uid="{DF514BBE-4840-4F77-93C2-26544E4CE08F}"/>
    <cellStyle name="40% - Accent2 2 3 2 3" xfId="4978" xr:uid="{00000000-0005-0000-0000-00008F040000}"/>
    <cellStyle name="40% - Accent2 2 3 2 3 2" xfId="13428" xr:uid="{6F01F939-032A-48FF-83ED-D29E7F7BB0EF}"/>
    <cellStyle name="40% - Accent2 2 3 2 3 3" xfId="21875" xr:uid="{2A1729F4-C275-4270-A3F7-5BC6A126A41E}"/>
    <cellStyle name="40% - Accent2 2 3 2 3 4" xfId="30322" xr:uid="{4AF9AF78-17EB-494E-8F90-162A73CC557B}"/>
    <cellStyle name="40% - Accent2 2 3 2 4" xfId="9210" xr:uid="{7E2D981B-A5BE-4350-A9BB-00E5350ABD52}"/>
    <cellStyle name="40% - Accent2 2 3 2 5" xfId="17658" xr:uid="{2BD4F271-F532-4593-B3E9-448A577F0A8F}"/>
    <cellStyle name="40% - Accent2 2 3 2 6" xfId="26105" xr:uid="{75DF760E-A9E1-4209-B54A-716097AF154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7E5F1008-3F49-453D-AEE8-08715BAF3E3D}"/>
    <cellStyle name="40% - Accent2 2 3 3 2 2 3" xfId="24433" xr:uid="{4B963991-EF24-4F50-AA50-E15BB7B77E33}"/>
    <cellStyle name="40% - Accent2 2 3 3 2 2 4" xfId="32880" xr:uid="{CDD7416F-4FAC-4B47-970C-510134808FC1}"/>
    <cellStyle name="40% - Accent2 2 3 3 2 3" xfId="11768" xr:uid="{C63F5880-F586-45F3-853B-37337DB8B466}"/>
    <cellStyle name="40% - Accent2 2 3 3 2 4" xfId="20216" xr:uid="{7FBE4551-330C-4442-86BE-ED5BDE7F0295}"/>
    <cellStyle name="40% - Accent2 2 3 3 2 5" xfId="28663" xr:uid="{C3023579-4C36-4F9F-80E1-30C7C075BBF1}"/>
    <cellStyle name="40% - Accent2 2 3 3 3" xfId="5391" xr:uid="{00000000-0005-0000-0000-000093040000}"/>
    <cellStyle name="40% - Accent2 2 3 3 3 2" xfId="13841" xr:uid="{49F63E5A-44B2-42B9-BC8E-093B145A6A1D}"/>
    <cellStyle name="40% - Accent2 2 3 3 3 3" xfId="22288" xr:uid="{B16CE146-C935-4085-BC4C-598EE11FF2DA}"/>
    <cellStyle name="40% - Accent2 2 3 3 3 4" xfId="30735" xr:uid="{C0986114-89F0-4231-966B-2643A25D733D}"/>
    <cellStyle name="40% - Accent2 2 3 3 4" xfId="9623" xr:uid="{101D7D39-6F1A-4033-8C21-45D0FBA09916}"/>
    <cellStyle name="40% - Accent2 2 3 3 5" xfId="18071" xr:uid="{C5AE9B85-8EA1-4CD5-99DE-8DC91F80DF6F}"/>
    <cellStyle name="40% - Accent2 2 3 3 6" xfId="26518" xr:uid="{36757B87-E993-4F1A-988B-2F8A80CA2400}"/>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B6A902A5-19A6-4351-A8F2-43345FC3F983}"/>
    <cellStyle name="40% - Accent2 2 3 4 2 2 3" xfId="24846" xr:uid="{ACE3C2E4-CB33-418E-9403-E7E97D9F66FA}"/>
    <cellStyle name="40% - Accent2 2 3 4 2 2 4" xfId="33293" xr:uid="{AE3C095B-F0F2-47C2-A1EA-532EC0E21625}"/>
    <cellStyle name="40% - Accent2 2 3 4 2 3" xfId="12181" xr:uid="{A6DA08C1-597E-4A73-981F-B988299E3EA8}"/>
    <cellStyle name="40% - Accent2 2 3 4 2 4" xfId="20629" xr:uid="{C20901FB-C006-4E8B-9893-6A01EE4ABA2E}"/>
    <cellStyle name="40% - Accent2 2 3 4 2 5" xfId="29076" xr:uid="{78FE2E29-CEF1-4431-9036-9A9E96148DD6}"/>
    <cellStyle name="40% - Accent2 2 3 4 3" xfId="5804" xr:uid="{00000000-0005-0000-0000-000097040000}"/>
    <cellStyle name="40% - Accent2 2 3 4 3 2" xfId="14254" xr:uid="{7F41E706-8E61-4D53-9295-AD6C8281C33B}"/>
    <cellStyle name="40% - Accent2 2 3 4 3 3" xfId="22701" xr:uid="{94B35CED-FDB5-4413-BFF9-74A1D6AB2837}"/>
    <cellStyle name="40% - Accent2 2 3 4 3 4" xfId="31148" xr:uid="{BBDE9F6D-5A4F-418B-BF6A-43CC2EA25FF2}"/>
    <cellStyle name="40% - Accent2 2 3 4 4" xfId="10036" xr:uid="{CF541F32-4BB1-44F2-B109-D2FD0DC523DE}"/>
    <cellStyle name="40% - Accent2 2 3 4 5" xfId="18484" xr:uid="{DBF08BCF-73F7-45E8-9C50-394BB28A1065}"/>
    <cellStyle name="40% - Accent2 2 3 4 6" xfId="26931" xr:uid="{69652710-4FD5-428E-B5F2-B42064C0B94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8BD4A2E4-E64F-494C-A1C4-E02E1E260834}"/>
    <cellStyle name="40% - Accent2 2 3 5 2 2 3" xfId="25259" xr:uid="{3A90307E-0C6D-4483-945F-84F033A3AD44}"/>
    <cellStyle name="40% - Accent2 2 3 5 2 2 4" xfId="33706" xr:uid="{E4671D24-B6E3-4ED6-A946-B26A95117A4F}"/>
    <cellStyle name="40% - Accent2 2 3 5 2 3" xfId="12594" xr:uid="{5F5CC82C-B848-4433-A0B9-10BF9F2ED0D1}"/>
    <cellStyle name="40% - Accent2 2 3 5 2 4" xfId="21042" xr:uid="{68404F39-1A40-462B-A9F2-3B3233FC2BA7}"/>
    <cellStyle name="40% - Accent2 2 3 5 2 5" xfId="29489" xr:uid="{1250B696-5966-4960-A6B4-5D279DAE1674}"/>
    <cellStyle name="40% - Accent2 2 3 5 3" xfId="6217" xr:uid="{00000000-0005-0000-0000-00009B040000}"/>
    <cellStyle name="40% - Accent2 2 3 5 3 2" xfId="14667" xr:uid="{258393A4-2EE8-4C80-91EA-F90CA5AA6924}"/>
    <cellStyle name="40% - Accent2 2 3 5 3 3" xfId="23114" xr:uid="{F1BB8D44-ED27-4E06-AE3B-E22ADBD236F1}"/>
    <cellStyle name="40% - Accent2 2 3 5 3 4" xfId="31561" xr:uid="{13F3D504-BF91-4D66-95F4-FA2C944B495F}"/>
    <cellStyle name="40% - Accent2 2 3 5 4" xfId="10449" xr:uid="{641D53EE-9435-47CB-A962-DA74B9985E52}"/>
    <cellStyle name="40% - Accent2 2 3 5 5" xfId="18897" xr:uid="{9001AF32-891C-4751-8170-D4F5D95C324E}"/>
    <cellStyle name="40% - Accent2 2 3 5 6" xfId="27344" xr:uid="{4C0A55AD-5CC0-465B-9295-5D26C53ECBAC}"/>
    <cellStyle name="40% - Accent2 2 3 6" xfId="2324" xr:uid="{00000000-0005-0000-0000-00009C040000}"/>
    <cellStyle name="40% - Accent2 2 3 6 2" xfId="6630" xr:uid="{00000000-0005-0000-0000-00009D040000}"/>
    <cellStyle name="40% - Accent2 2 3 6 2 2" xfId="15080" xr:uid="{94B5345D-D262-46BD-AB12-6E5A992C3DF2}"/>
    <cellStyle name="40% - Accent2 2 3 6 2 3" xfId="23527" xr:uid="{B1FB3DCE-CD7F-433D-8A5D-972538B353EE}"/>
    <cellStyle name="40% - Accent2 2 3 6 2 4" xfId="31974" xr:uid="{F21396BB-B04B-4BB9-A2C9-150DFAB20521}"/>
    <cellStyle name="40% - Accent2 2 3 6 3" xfId="10862" xr:uid="{AB449CBC-A4C4-4311-A7F2-A2953D63FDD8}"/>
    <cellStyle name="40% - Accent2 2 3 6 4" xfId="19310" xr:uid="{E3D1354D-E83E-459A-936C-E6F61D866439}"/>
    <cellStyle name="40% - Accent2 2 3 6 5" xfId="27757" xr:uid="{7DC1F1CC-789A-41F8-9EC5-E0F235B459F6}"/>
    <cellStyle name="40% - Accent2 2 3 7" xfId="4564" xr:uid="{00000000-0005-0000-0000-00009E040000}"/>
    <cellStyle name="40% - Accent2 2 3 7 2" xfId="13014" xr:uid="{FFB777C1-DB01-4A71-82B4-D40BC5865924}"/>
    <cellStyle name="40% - Accent2 2 3 7 3" xfId="21461" xr:uid="{8FBAF5B0-55D2-4C0D-8BCF-B59520C1A412}"/>
    <cellStyle name="40% - Accent2 2 3 7 4" xfId="29908" xr:uid="{948F700D-CA58-4BCC-8618-64C8819C2577}"/>
    <cellStyle name="40% - Accent2 2 3 8" xfId="8796" xr:uid="{47AE72D5-9B17-472D-B3D2-A1E7BA053FFA}"/>
    <cellStyle name="40% - Accent2 2 3 9" xfId="17244" xr:uid="{843BF52E-EFF8-4891-86B1-BF54935246B5}"/>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9B4143B2-FB30-4B24-A424-5744122A48E5}"/>
    <cellStyle name="40% - Accent2 2 4 2 2 3" xfId="24017" xr:uid="{9386A9E2-AF15-401F-A684-1E801BFE0857}"/>
    <cellStyle name="40% - Accent2 2 4 2 2 4" xfId="32464" xr:uid="{93B08D96-4723-4E74-A188-15F5B8D58562}"/>
    <cellStyle name="40% - Accent2 2 4 2 3" xfId="11352" xr:uid="{40CF7F7E-C90C-43CD-95E9-6E4491C6CDF0}"/>
    <cellStyle name="40% - Accent2 2 4 2 4" xfId="19800" xr:uid="{24E5214F-2868-425D-A458-D47B59B54613}"/>
    <cellStyle name="40% - Accent2 2 4 2 5" xfId="28247" xr:uid="{B43AB0E4-D663-41E7-A3EC-86034CB7FC02}"/>
    <cellStyle name="40% - Accent2 2 4 3" xfId="4975" xr:uid="{00000000-0005-0000-0000-0000A2040000}"/>
    <cellStyle name="40% - Accent2 2 4 3 2" xfId="13425" xr:uid="{6DF110FF-0C95-446F-A2BC-97B95C944988}"/>
    <cellStyle name="40% - Accent2 2 4 3 3" xfId="21872" xr:uid="{95FD245C-3C2D-4E40-A0D9-B997A5F461C9}"/>
    <cellStyle name="40% - Accent2 2 4 3 4" xfId="30319" xr:uid="{001ABFC2-9F8C-4A15-80DB-359BD174F2D3}"/>
    <cellStyle name="40% - Accent2 2 4 4" xfId="9207" xr:uid="{AA857166-FE77-4590-9928-FBA1989F9FA5}"/>
    <cellStyle name="40% - Accent2 2 4 5" xfId="17655" xr:uid="{5BF94B1A-D6D2-43A2-B932-1BBFB0FB6F70}"/>
    <cellStyle name="40% - Accent2 2 4 6" xfId="26102" xr:uid="{A63AC81D-76C0-44AF-BAA0-1678E649810A}"/>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1591F8D2-C6CB-49D8-9904-D0453F0BE678}"/>
    <cellStyle name="40% - Accent2 2 5 2 2 3" xfId="24430" xr:uid="{BC717A86-427D-4557-B59E-94CAF3E65EDD}"/>
    <cellStyle name="40% - Accent2 2 5 2 2 4" xfId="32877" xr:uid="{D9A8EAE6-111D-4CB3-9BD3-CFE1ED763C07}"/>
    <cellStyle name="40% - Accent2 2 5 2 3" xfId="11765" xr:uid="{F53358A2-5122-4483-95A0-393FF2AD73EC}"/>
    <cellStyle name="40% - Accent2 2 5 2 4" xfId="20213" xr:uid="{E0D111BE-EF37-471E-853D-C441F00EEBCF}"/>
    <cellStyle name="40% - Accent2 2 5 2 5" xfId="28660" xr:uid="{5183E78F-01DE-4A57-9682-5060D539AC5B}"/>
    <cellStyle name="40% - Accent2 2 5 3" xfId="5388" xr:uid="{00000000-0005-0000-0000-0000A6040000}"/>
    <cellStyle name="40% - Accent2 2 5 3 2" xfId="13838" xr:uid="{1F1FEB1B-43C8-495F-8CC5-874327495BF5}"/>
    <cellStyle name="40% - Accent2 2 5 3 3" xfId="22285" xr:uid="{19854C45-4D5C-4683-A9B6-E5D4A467B1BF}"/>
    <cellStyle name="40% - Accent2 2 5 3 4" xfId="30732" xr:uid="{ABBC6576-567C-46D5-980E-B4A886F88AC9}"/>
    <cellStyle name="40% - Accent2 2 5 4" xfId="9620" xr:uid="{C78E0D29-1845-4349-9DF8-9380A53A17B3}"/>
    <cellStyle name="40% - Accent2 2 5 5" xfId="18068" xr:uid="{D5429C54-F0C4-46F3-BEDE-8EB407A6353D}"/>
    <cellStyle name="40% - Accent2 2 5 6" xfId="26515" xr:uid="{E3E8DAA3-9B89-4D14-8858-2AD71FFDCDA5}"/>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501A3B36-1321-4110-80DA-880D003F9620}"/>
    <cellStyle name="40% - Accent2 2 6 2 2 3" xfId="24843" xr:uid="{310CB8BE-89DA-4791-BE9D-CDE905438272}"/>
    <cellStyle name="40% - Accent2 2 6 2 2 4" xfId="33290" xr:uid="{EFDD6AFE-938B-415E-9B6D-AA11F60990ED}"/>
    <cellStyle name="40% - Accent2 2 6 2 3" xfId="12178" xr:uid="{5757FB06-710A-4F7B-BDD3-CF315FA7FBEC}"/>
    <cellStyle name="40% - Accent2 2 6 2 4" xfId="20626" xr:uid="{790F7988-C321-4EE5-B32C-63AAA5ED5B49}"/>
    <cellStyle name="40% - Accent2 2 6 2 5" xfId="29073" xr:uid="{669DFD01-B8D6-4479-ADF6-37CEF23F8017}"/>
    <cellStyle name="40% - Accent2 2 6 3" xfId="5801" xr:uid="{00000000-0005-0000-0000-0000AA040000}"/>
    <cellStyle name="40% - Accent2 2 6 3 2" xfId="14251" xr:uid="{0DBE7BC3-745D-487F-9138-B972D9555D81}"/>
    <cellStyle name="40% - Accent2 2 6 3 3" xfId="22698" xr:uid="{9F5622D3-CECD-47CD-8AB2-3A7922601037}"/>
    <cellStyle name="40% - Accent2 2 6 3 4" xfId="31145" xr:uid="{25637909-A881-475A-AA6D-695081744FBA}"/>
    <cellStyle name="40% - Accent2 2 6 4" xfId="10033" xr:uid="{E86F03D9-7C20-477F-8BC1-D1F15D1DAC30}"/>
    <cellStyle name="40% - Accent2 2 6 5" xfId="18481" xr:uid="{DD45049A-441C-40FD-A79D-8CD8B19DEB89}"/>
    <cellStyle name="40% - Accent2 2 6 6" xfId="26928" xr:uid="{808177E7-C560-46D3-9DDC-90B387EC79FF}"/>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615AFBB9-1ABD-45A1-A8C5-1D38B7AC5037}"/>
    <cellStyle name="40% - Accent2 2 7 2 2 3" xfId="25256" xr:uid="{BCFDC7FA-8FC9-4A72-AFB8-EECC876FF4BD}"/>
    <cellStyle name="40% - Accent2 2 7 2 2 4" xfId="33703" xr:uid="{37576604-954E-4E58-889E-B974EF0B2723}"/>
    <cellStyle name="40% - Accent2 2 7 2 3" xfId="12591" xr:uid="{C214D16F-8665-409D-876A-8DB5F4A26E14}"/>
    <cellStyle name="40% - Accent2 2 7 2 4" xfId="21039" xr:uid="{5424FAB2-07B2-4F2D-B02F-134708424B20}"/>
    <cellStyle name="40% - Accent2 2 7 2 5" xfId="29486" xr:uid="{72B22CFB-8C25-42AF-96BD-60BA3102984A}"/>
    <cellStyle name="40% - Accent2 2 7 3" xfId="6214" xr:uid="{00000000-0005-0000-0000-0000AE040000}"/>
    <cellStyle name="40% - Accent2 2 7 3 2" xfId="14664" xr:uid="{94317418-D026-4E0C-B1B6-79D595811895}"/>
    <cellStyle name="40% - Accent2 2 7 3 3" xfId="23111" xr:uid="{F2DD2C11-10C2-4559-9489-A45586212342}"/>
    <cellStyle name="40% - Accent2 2 7 3 4" xfId="31558" xr:uid="{D8F1A0FB-C3ED-42D7-AFF7-4F473930DD03}"/>
    <cellStyle name="40% - Accent2 2 7 4" xfId="10446" xr:uid="{DA42B60E-EA11-423C-BBFA-BBBF329CF02F}"/>
    <cellStyle name="40% - Accent2 2 7 5" xfId="18894" xr:uid="{D0D91A1A-FD9E-401F-AACA-0035D71F7193}"/>
    <cellStyle name="40% - Accent2 2 7 6" xfId="27341" xr:uid="{788F2F5C-C74B-4180-AD3A-E194D9D4B195}"/>
    <cellStyle name="40% - Accent2 2 8" xfId="2321" xr:uid="{00000000-0005-0000-0000-0000AF040000}"/>
    <cellStyle name="40% - Accent2 2 8 2" xfId="6627" xr:uid="{00000000-0005-0000-0000-0000B0040000}"/>
    <cellStyle name="40% - Accent2 2 8 2 2" xfId="15077" xr:uid="{942FB46D-3940-47E1-B5FD-11BD9DECA33A}"/>
    <cellStyle name="40% - Accent2 2 8 2 3" xfId="23524" xr:uid="{84186218-86DC-4BAD-8382-E07543473F31}"/>
    <cellStyle name="40% - Accent2 2 8 2 4" xfId="31971" xr:uid="{F47A8A95-B451-4CB1-81CA-5F8D4EF2CAD0}"/>
    <cellStyle name="40% - Accent2 2 8 3" xfId="10859" xr:uid="{2DA984D6-11C0-4793-A8FC-D572E7C9C3DE}"/>
    <cellStyle name="40% - Accent2 2 8 4" xfId="19307" xr:uid="{E41889CC-ED59-4320-9898-B47BC41FA7C1}"/>
    <cellStyle name="40% - Accent2 2 8 5" xfId="27754" xr:uid="{8CE5C1F7-6D09-4C01-A28A-F19C02BB1464}"/>
    <cellStyle name="40% - Accent2 2 9" xfId="4561" xr:uid="{00000000-0005-0000-0000-0000B1040000}"/>
    <cellStyle name="40% - Accent2 2 9 2" xfId="13011" xr:uid="{8F5F9DC8-2DA1-4449-92FC-66B5C9E28060}"/>
    <cellStyle name="40% - Accent2 2 9 3" xfId="21458" xr:uid="{2820360F-5491-4BF3-B391-BBE269EB0680}"/>
    <cellStyle name="40% - Accent2 2 9 4" xfId="29905" xr:uid="{34C55880-9028-4707-A478-DF5567110F93}"/>
    <cellStyle name="40% - Accent2 3" xfId="62" xr:uid="{00000000-0005-0000-0000-0000B2040000}"/>
    <cellStyle name="40% - Accent2 3 10" xfId="17245" xr:uid="{06AD4A23-D191-4465-806F-D7E2A19D23E5}"/>
    <cellStyle name="40% - Accent2 3 11" xfId="25692" xr:uid="{3540A5BB-61D3-4786-843F-73254485E8EF}"/>
    <cellStyle name="40% - Accent2 3 2" xfId="63" xr:uid="{00000000-0005-0000-0000-0000B3040000}"/>
    <cellStyle name="40% - Accent2 3 2 10" xfId="25693" xr:uid="{E77530C0-81E1-420B-B54C-EDEBF6C042D6}"/>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8753CD13-4B72-450A-9803-F418B4A66B7F}"/>
    <cellStyle name="40% - Accent2 3 2 2 2 2 3" xfId="24022" xr:uid="{D76A20DF-4EA7-45DA-8CA1-3FCE7582F062}"/>
    <cellStyle name="40% - Accent2 3 2 2 2 2 4" xfId="32469" xr:uid="{D8AE4DB1-CDC1-4372-A220-D080E227C6B2}"/>
    <cellStyle name="40% - Accent2 3 2 2 2 3" xfId="11357" xr:uid="{A9583349-109B-463B-959B-7AC171AB8DD2}"/>
    <cellStyle name="40% - Accent2 3 2 2 2 4" xfId="19805" xr:uid="{3EBF86CA-0B05-4090-8196-81C4B617BB79}"/>
    <cellStyle name="40% - Accent2 3 2 2 2 5" xfId="28252" xr:uid="{8A8FA69E-C02C-44F4-8037-5C87C9C0AC12}"/>
    <cellStyle name="40% - Accent2 3 2 2 3" xfId="4980" xr:uid="{00000000-0005-0000-0000-0000B7040000}"/>
    <cellStyle name="40% - Accent2 3 2 2 3 2" xfId="13430" xr:uid="{98D96F38-572B-4D2D-A136-13E956FA96B2}"/>
    <cellStyle name="40% - Accent2 3 2 2 3 3" xfId="21877" xr:uid="{B06FEE09-E5FA-48E4-9924-3789C473D9B9}"/>
    <cellStyle name="40% - Accent2 3 2 2 3 4" xfId="30324" xr:uid="{EA599EB1-B0EB-4101-BC33-88F0152755DF}"/>
    <cellStyle name="40% - Accent2 3 2 2 4" xfId="9212" xr:uid="{B125D59B-7118-417A-8007-B7AE58FE8B0A}"/>
    <cellStyle name="40% - Accent2 3 2 2 5" xfId="17660" xr:uid="{D63B3F55-B9E7-4651-9F04-5EFD12F5F8B1}"/>
    <cellStyle name="40% - Accent2 3 2 2 6" xfId="26107" xr:uid="{3E85A774-2B83-4A5C-95D0-89CED062E4E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793C119B-8702-4DD0-A37D-B0E7D339298D}"/>
    <cellStyle name="40% - Accent2 3 2 3 2 2 3" xfId="24435" xr:uid="{EC2B84E9-E046-44F3-B181-99F8F915796A}"/>
    <cellStyle name="40% - Accent2 3 2 3 2 2 4" xfId="32882" xr:uid="{4792ABEE-763F-43A0-990C-405BBF9BCB62}"/>
    <cellStyle name="40% - Accent2 3 2 3 2 3" xfId="11770" xr:uid="{73C41F6F-826B-4E28-BEE8-7A60CCB9955B}"/>
    <cellStyle name="40% - Accent2 3 2 3 2 4" xfId="20218" xr:uid="{A3514E69-2B09-4FA5-9434-440045091B33}"/>
    <cellStyle name="40% - Accent2 3 2 3 2 5" xfId="28665" xr:uid="{E5BC71A3-8D99-4814-8983-064B4675916A}"/>
    <cellStyle name="40% - Accent2 3 2 3 3" xfId="5393" xr:uid="{00000000-0005-0000-0000-0000BB040000}"/>
    <cellStyle name="40% - Accent2 3 2 3 3 2" xfId="13843" xr:uid="{BE7ADD5C-2C8E-4F86-8E97-805BC3482082}"/>
    <cellStyle name="40% - Accent2 3 2 3 3 3" xfId="22290" xr:uid="{CFD555F8-2B39-4C7F-B1CB-5AB537B2EBEC}"/>
    <cellStyle name="40% - Accent2 3 2 3 3 4" xfId="30737" xr:uid="{4D7C0D43-1C59-49AA-8DEE-372AB2E7B59E}"/>
    <cellStyle name="40% - Accent2 3 2 3 4" xfId="9625" xr:uid="{3AF2C52E-9797-4400-9EF5-5B79A456E508}"/>
    <cellStyle name="40% - Accent2 3 2 3 5" xfId="18073" xr:uid="{69BCF3CE-8F55-45A2-B026-7C0B43E2CE38}"/>
    <cellStyle name="40% - Accent2 3 2 3 6" xfId="26520" xr:uid="{37A2CDA6-3C90-4763-8AAD-2A2F8EAB46BF}"/>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A519AF8D-0B48-4ECF-A9EB-445086F669E4}"/>
    <cellStyle name="40% - Accent2 3 2 4 2 2 3" xfId="24848" xr:uid="{13B87A16-48E6-419B-97E0-9134DFEA7340}"/>
    <cellStyle name="40% - Accent2 3 2 4 2 2 4" xfId="33295" xr:uid="{FD241CAF-F3DB-4F57-A7FD-61741E6779D1}"/>
    <cellStyle name="40% - Accent2 3 2 4 2 3" xfId="12183" xr:uid="{0F899B59-9739-49C5-BE0B-DC6CB68D39B7}"/>
    <cellStyle name="40% - Accent2 3 2 4 2 4" xfId="20631" xr:uid="{4CF743C7-C58E-4A06-B3D1-21B2E52CD731}"/>
    <cellStyle name="40% - Accent2 3 2 4 2 5" xfId="29078" xr:uid="{667635BB-F0D3-4173-A49B-BDC6C217B955}"/>
    <cellStyle name="40% - Accent2 3 2 4 3" xfId="5806" xr:uid="{00000000-0005-0000-0000-0000BF040000}"/>
    <cellStyle name="40% - Accent2 3 2 4 3 2" xfId="14256" xr:uid="{E559D5BA-C5D9-4DC5-8036-3ABC53BF18A2}"/>
    <cellStyle name="40% - Accent2 3 2 4 3 3" xfId="22703" xr:uid="{E1E0C987-2ACB-4115-9481-CA3EBC35B6B3}"/>
    <cellStyle name="40% - Accent2 3 2 4 3 4" xfId="31150" xr:uid="{9E2286DD-1608-4DE7-A2AF-0DF03ACCC102}"/>
    <cellStyle name="40% - Accent2 3 2 4 4" xfId="10038" xr:uid="{25FD0E8F-6EFF-4D57-8437-05D15CFEF02C}"/>
    <cellStyle name="40% - Accent2 3 2 4 5" xfId="18486" xr:uid="{DB0C2BAD-BDAF-4FC3-B4F9-52B451227B00}"/>
    <cellStyle name="40% - Accent2 3 2 4 6" xfId="26933" xr:uid="{946E3FAC-E88D-46A7-8EB0-CD7D5C9C47BB}"/>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C81E3785-CC31-49D3-8C37-55141BC352A5}"/>
    <cellStyle name="40% - Accent2 3 2 5 2 2 3" xfId="25261" xr:uid="{4849D1FD-6F40-4F3E-815A-C570B4DED87B}"/>
    <cellStyle name="40% - Accent2 3 2 5 2 2 4" xfId="33708" xr:uid="{C88AFFC9-5481-4F74-86FF-C2A137740273}"/>
    <cellStyle name="40% - Accent2 3 2 5 2 3" xfId="12596" xr:uid="{3A88BD9F-A7CA-4487-A198-E4FEC620B5C7}"/>
    <cellStyle name="40% - Accent2 3 2 5 2 4" xfId="21044" xr:uid="{5387F05D-C6F9-49D6-8A15-E9F5D205E56C}"/>
    <cellStyle name="40% - Accent2 3 2 5 2 5" xfId="29491" xr:uid="{9CAC547B-DF89-41FD-A478-00D62894116E}"/>
    <cellStyle name="40% - Accent2 3 2 5 3" xfId="6219" xr:uid="{00000000-0005-0000-0000-0000C3040000}"/>
    <cellStyle name="40% - Accent2 3 2 5 3 2" xfId="14669" xr:uid="{4BC6254F-4932-4675-9BC0-E7CA56C7343B}"/>
    <cellStyle name="40% - Accent2 3 2 5 3 3" xfId="23116" xr:uid="{C601E9AA-D0BB-46C5-BA24-3E0ECFCDC8BD}"/>
    <cellStyle name="40% - Accent2 3 2 5 3 4" xfId="31563" xr:uid="{F5B3949D-88DA-4D39-A0D7-57FBFF9F7869}"/>
    <cellStyle name="40% - Accent2 3 2 5 4" xfId="10451" xr:uid="{CB2E37FB-A01D-4A5E-A917-2090841E2C8F}"/>
    <cellStyle name="40% - Accent2 3 2 5 5" xfId="18899" xr:uid="{991CD804-7D88-478E-B971-245C0AFA269C}"/>
    <cellStyle name="40% - Accent2 3 2 5 6" xfId="27346" xr:uid="{70CEF2FC-27C5-42D8-A417-171AD1C9ACAC}"/>
    <cellStyle name="40% - Accent2 3 2 6" xfId="2326" xr:uid="{00000000-0005-0000-0000-0000C4040000}"/>
    <cellStyle name="40% - Accent2 3 2 6 2" xfId="6632" xr:uid="{00000000-0005-0000-0000-0000C5040000}"/>
    <cellStyle name="40% - Accent2 3 2 6 2 2" xfId="15082" xr:uid="{0DE32224-4BED-41EC-8D12-C5CE9D9018E1}"/>
    <cellStyle name="40% - Accent2 3 2 6 2 3" xfId="23529" xr:uid="{F590A9A5-4B6C-489C-8933-A31262523B63}"/>
    <cellStyle name="40% - Accent2 3 2 6 2 4" xfId="31976" xr:uid="{81B57F8D-198C-45AB-A92A-3D7EAB28D3AE}"/>
    <cellStyle name="40% - Accent2 3 2 6 3" xfId="10864" xr:uid="{F6ADBD43-C9A1-459B-9E15-E5031D7C4597}"/>
    <cellStyle name="40% - Accent2 3 2 6 4" xfId="19312" xr:uid="{D1183884-7F8F-4FEA-929C-843DF06A4E2D}"/>
    <cellStyle name="40% - Accent2 3 2 6 5" xfId="27759" xr:uid="{3CED8AA0-2FE1-4731-8597-CE4735EC7025}"/>
    <cellStyle name="40% - Accent2 3 2 7" xfId="4566" xr:uid="{00000000-0005-0000-0000-0000C6040000}"/>
    <cellStyle name="40% - Accent2 3 2 7 2" xfId="13016" xr:uid="{DA3F2FE7-40DB-41EC-806B-F36EAF922289}"/>
    <cellStyle name="40% - Accent2 3 2 7 3" xfId="21463" xr:uid="{89240B5F-B17D-43BD-BCC0-05D079AA9B10}"/>
    <cellStyle name="40% - Accent2 3 2 7 4" xfId="29910" xr:uid="{F7497987-3D59-44EF-86D5-FCE1529DEBFF}"/>
    <cellStyle name="40% - Accent2 3 2 8" xfId="8798" xr:uid="{407F9B0E-FC3E-4E75-8B59-B24E917B96F3}"/>
    <cellStyle name="40% - Accent2 3 2 9" xfId="17246" xr:uid="{E0BF472C-4E1B-4054-B2DE-38B1C8577E20}"/>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65427B0C-6888-493D-A716-57BD2A394223}"/>
    <cellStyle name="40% - Accent2 3 3 2 2 3" xfId="24021" xr:uid="{D9A74981-FA35-4414-B367-72BB041EA9FD}"/>
    <cellStyle name="40% - Accent2 3 3 2 2 4" xfId="32468" xr:uid="{EC13B2EB-3D99-4392-A9D1-953F077D9CCA}"/>
    <cellStyle name="40% - Accent2 3 3 2 3" xfId="11356" xr:uid="{A1D85F7A-40D5-40DC-B983-7ABA48745F65}"/>
    <cellStyle name="40% - Accent2 3 3 2 4" xfId="19804" xr:uid="{0A62B222-6A8F-449E-B5E1-AD9562F24120}"/>
    <cellStyle name="40% - Accent2 3 3 2 5" xfId="28251" xr:uid="{DB089945-13A0-4109-98DB-6C9CCDAA7C71}"/>
    <cellStyle name="40% - Accent2 3 3 3" xfId="4979" xr:uid="{00000000-0005-0000-0000-0000CA040000}"/>
    <cellStyle name="40% - Accent2 3 3 3 2" xfId="13429" xr:uid="{AAB1DF2D-EDC9-49DF-90F4-0A7E5DDC6E27}"/>
    <cellStyle name="40% - Accent2 3 3 3 3" xfId="21876" xr:uid="{BA7707DD-F78E-48F0-B4F4-3FEF13E16727}"/>
    <cellStyle name="40% - Accent2 3 3 3 4" xfId="30323" xr:uid="{8FB07638-D3C2-46B1-B493-61228924E47E}"/>
    <cellStyle name="40% - Accent2 3 3 4" xfId="9211" xr:uid="{0B6ECF7E-D519-4505-9DD2-C2A371B854D7}"/>
    <cellStyle name="40% - Accent2 3 3 5" xfId="17659" xr:uid="{B182CB7F-5A45-4790-AFC6-4EED6F26B86C}"/>
    <cellStyle name="40% - Accent2 3 3 6" xfId="26106" xr:uid="{1965AAD7-1DA5-43B5-AA32-0E16F1219B90}"/>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991ABA33-3772-4A60-AF0F-B7DD52390C80}"/>
    <cellStyle name="40% - Accent2 3 4 2 2 3" xfId="24434" xr:uid="{F06B11B2-9ADD-48D3-813F-F6F56943C269}"/>
    <cellStyle name="40% - Accent2 3 4 2 2 4" xfId="32881" xr:uid="{F3E3FBD8-A726-4AC6-85F9-09423B63AFDC}"/>
    <cellStyle name="40% - Accent2 3 4 2 3" xfId="11769" xr:uid="{C2CFE0CB-7973-490E-B329-ECF12E0748C1}"/>
    <cellStyle name="40% - Accent2 3 4 2 4" xfId="20217" xr:uid="{C77EFD47-2C88-4914-886E-0521561D5A4F}"/>
    <cellStyle name="40% - Accent2 3 4 2 5" xfId="28664" xr:uid="{196FF948-5A36-444D-842E-C98581697725}"/>
    <cellStyle name="40% - Accent2 3 4 3" xfId="5392" xr:uid="{00000000-0005-0000-0000-0000CE040000}"/>
    <cellStyle name="40% - Accent2 3 4 3 2" xfId="13842" xr:uid="{16B4BC97-D591-4CA8-BF0A-58606F5AF903}"/>
    <cellStyle name="40% - Accent2 3 4 3 3" xfId="22289" xr:uid="{B9AB229F-68FA-4391-A166-A4190DA5E2EC}"/>
    <cellStyle name="40% - Accent2 3 4 3 4" xfId="30736" xr:uid="{008E3594-6BBB-4DB6-B64C-44636A736A84}"/>
    <cellStyle name="40% - Accent2 3 4 4" xfId="9624" xr:uid="{92922C37-45EC-45E9-AD10-1A0834FF16AE}"/>
    <cellStyle name="40% - Accent2 3 4 5" xfId="18072" xr:uid="{11EC58E0-E34E-4F01-85AB-D0C571DD6E60}"/>
    <cellStyle name="40% - Accent2 3 4 6" xfId="26519" xr:uid="{1E100A60-4150-41C8-9EB6-2F6365D2B142}"/>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DE0603B9-B051-4118-8D6D-529EEB924518}"/>
    <cellStyle name="40% - Accent2 3 5 2 2 3" xfId="24847" xr:uid="{FB9A553E-EAC6-4AC8-A5BB-C0FC86760A4D}"/>
    <cellStyle name="40% - Accent2 3 5 2 2 4" xfId="33294" xr:uid="{64B9146A-ED4E-4285-9367-59793D5C5082}"/>
    <cellStyle name="40% - Accent2 3 5 2 3" xfId="12182" xr:uid="{7CF313F3-1709-4B2D-9052-C759BAE18061}"/>
    <cellStyle name="40% - Accent2 3 5 2 4" xfId="20630" xr:uid="{14BCC89A-0A05-4107-9687-F71CCF4055A3}"/>
    <cellStyle name="40% - Accent2 3 5 2 5" xfId="29077" xr:uid="{B9E352F1-3FA2-4C69-8307-A175C286C6F4}"/>
    <cellStyle name="40% - Accent2 3 5 3" xfId="5805" xr:uid="{00000000-0005-0000-0000-0000D2040000}"/>
    <cellStyle name="40% - Accent2 3 5 3 2" xfId="14255" xr:uid="{5B273CE1-C9AD-472A-B4E5-E486ABDF0AA4}"/>
    <cellStyle name="40% - Accent2 3 5 3 3" xfId="22702" xr:uid="{526346D9-5154-4FA0-8F3A-E111082BCBEF}"/>
    <cellStyle name="40% - Accent2 3 5 3 4" xfId="31149" xr:uid="{15983B24-D6F8-4BC3-8E92-A72C6E0F7356}"/>
    <cellStyle name="40% - Accent2 3 5 4" xfId="10037" xr:uid="{1318AA52-06D6-4652-9E88-7833233ACAE7}"/>
    <cellStyle name="40% - Accent2 3 5 5" xfId="18485" xr:uid="{CD390AAB-6F83-49D6-8EBE-7F2D05E0349C}"/>
    <cellStyle name="40% - Accent2 3 5 6" xfId="26932" xr:uid="{3E32B90C-BF5D-4771-8B94-23EF971AA867}"/>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D3EE8C0B-C6F8-413D-B9CB-FAEA68CFE5D1}"/>
    <cellStyle name="40% - Accent2 3 6 2 2 3" xfId="25260" xr:uid="{350635C6-58E1-429F-B002-5763C3EEC3D0}"/>
    <cellStyle name="40% - Accent2 3 6 2 2 4" xfId="33707" xr:uid="{EBD609AF-D077-4445-B69B-64F4C91FDAEE}"/>
    <cellStyle name="40% - Accent2 3 6 2 3" xfId="12595" xr:uid="{E1F9358F-634C-441C-B121-8E1CBD96B78F}"/>
    <cellStyle name="40% - Accent2 3 6 2 4" xfId="21043" xr:uid="{9CCBB4F6-B7B6-4AB6-A7F5-8F6BD4A85DD3}"/>
    <cellStyle name="40% - Accent2 3 6 2 5" xfId="29490" xr:uid="{6A06E8E4-97CF-4DFB-8C31-0E8BCFE76A0D}"/>
    <cellStyle name="40% - Accent2 3 6 3" xfId="6218" xr:uid="{00000000-0005-0000-0000-0000D6040000}"/>
    <cellStyle name="40% - Accent2 3 6 3 2" xfId="14668" xr:uid="{34BEFBD5-AAE6-4596-BCC0-A43B3D2D5229}"/>
    <cellStyle name="40% - Accent2 3 6 3 3" xfId="23115" xr:uid="{D83ADA21-4683-4138-9AD2-03469EEFFA56}"/>
    <cellStyle name="40% - Accent2 3 6 3 4" xfId="31562" xr:uid="{6968600B-601B-4A66-AC55-F1E8C210C86E}"/>
    <cellStyle name="40% - Accent2 3 6 4" xfId="10450" xr:uid="{4B42C573-0CEC-4664-A02E-92B1D0C2464F}"/>
    <cellStyle name="40% - Accent2 3 6 5" xfId="18898" xr:uid="{323D4EBE-A8A7-4108-B6FE-B545535BC1AC}"/>
    <cellStyle name="40% - Accent2 3 6 6" xfId="27345" xr:uid="{77DF3CB0-AFA0-463B-94C0-B50420073029}"/>
    <cellStyle name="40% - Accent2 3 7" xfId="2325" xr:uid="{00000000-0005-0000-0000-0000D7040000}"/>
    <cellStyle name="40% - Accent2 3 7 2" xfId="6631" xr:uid="{00000000-0005-0000-0000-0000D8040000}"/>
    <cellStyle name="40% - Accent2 3 7 2 2" xfId="15081" xr:uid="{CAEB4B1B-BA3A-426E-B4FA-6A1178706A2F}"/>
    <cellStyle name="40% - Accent2 3 7 2 3" xfId="23528" xr:uid="{F5DD7347-CAA7-4E47-A30C-BD66B6ECE1FC}"/>
    <cellStyle name="40% - Accent2 3 7 2 4" xfId="31975" xr:uid="{0D194159-091B-4CE3-B85C-A2DE0D2E5615}"/>
    <cellStyle name="40% - Accent2 3 7 3" xfId="10863" xr:uid="{96E32806-2C23-4AD7-83A1-1AE23E048D30}"/>
    <cellStyle name="40% - Accent2 3 7 4" xfId="19311" xr:uid="{F00B31D9-78E1-4A2E-8D5D-323A2EA37C32}"/>
    <cellStyle name="40% - Accent2 3 7 5" xfId="27758" xr:uid="{3E2D465B-A31D-4260-AA28-32D857AC1DC6}"/>
    <cellStyle name="40% - Accent2 3 8" xfId="4565" xr:uid="{00000000-0005-0000-0000-0000D9040000}"/>
    <cellStyle name="40% - Accent2 3 8 2" xfId="13015" xr:uid="{ED1AFD8B-5EB4-43EF-BD83-7BE30DF99A91}"/>
    <cellStyle name="40% - Accent2 3 8 3" xfId="21462" xr:uid="{6179C51F-3A69-4643-9F8C-FB3D1C89441A}"/>
    <cellStyle name="40% - Accent2 3 8 4" xfId="29909" xr:uid="{340D55F1-B2D1-4452-AB49-79EB1B36EB97}"/>
    <cellStyle name="40% - Accent2 3 9" xfId="8797" xr:uid="{63F5B050-2BC9-447D-96A4-CF76170F62AB}"/>
    <cellStyle name="40% - Accent2 4" xfId="64" xr:uid="{00000000-0005-0000-0000-0000DA040000}"/>
    <cellStyle name="40% - Accent2 4 10" xfId="25694" xr:uid="{100E3AD0-F72D-4431-BBA7-6A189B48FAA4}"/>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23DFBAF8-A303-44DF-AE5A-02F4ECFB2056}"/>
    <cellStyle name="40% - Accent2 4 2 2 2 3" xfId="24023" xr:uid="{15366E0F-AA4A-4967-9C73-A254425B8EB5}"/>
    <cellStyle name="40% - Accent2 4 2 2 2 4" xfId="32470" xr:uid="{7D6CDA41-4063-4BAD-9376-6713C090350A}"/>
    <cellStyle name="40% - Accent2 4 2 2 3" xfId="11358" xr:uid="{6CE22066-9F0E-48C9-975E-AF3BE4B56401}"/>
    <cellStyle name="40% - Accent2 4 2 2 4" xfId="19806" xr:uid="{035429A3-A9A4-4080-8FFD-D9ADB14FFF81}"/>
    <cellStyle name="40% - Accent2 4 2 2 5" xfId="28253" xr:uid="{10850046-38C0-4153-8015-490E24A97CDD}"/>
    <cellStyle name="40% - Accent2 4 2 3" xfId="4981" xr:uid="{00000000-0005-0000-0000-0000DE040000}"/>
    <cellStyle name="40% - Accent2 4 2 3 2" xfId="13431" xr:uid="{2311E637-DC3B-420E-8039-ED5A0E7CD639}"/>
    <cellStyle name="40% - Accent2 4 2 3 3" xfId="21878" xr:uid="{A316B4B7-F5FA-48D2-B61E-97195E4A2B4F}"/>
    <cellStyle name="40% - Accent2 4 2 3 4" xfId="30325" xr:uid="{6FDDE539-F952-4AE0-8EE0-3848D68DE394}"/>
    <cellStyle name="40% - Accent2 4 2 4" xfId="9213" xr:uid="{DEAA7B93-A782-475B-A0D7-C508BD41188D}"/>
    <cellStyle name="40% - Accent2 4 2 5" xfId="17661" xr:uid="{A792BAF4-A668-4F7E-89D5-D0A3D87F6766}"/>
    <cellStyle name="40% - Accent2 4 2 6" xfId="26108" xr:uid="{037E6C5E-0B0A-4351-9A91-775154229133}"/>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AEB1ED6D-3F69-4EC1-9D83-61D73E4C3328}"/>
    <cellStyle name="40% - Accent2 4 3 2 2 3" xfId="24436" xr:uid="{BDEB5841-32C7-46ED-9EDE-F96CACAB09F4}"/>
    <cellStyle name="40% - Accent2 4 3 2 2 4" xfId="32883" xr:uid="{7763B579-8DBB-4FDE-82F8-EE0E65294209}"/>
    <cellStyle name="40% - Accent2 4 3 2 3" xfId="11771" xr:uid="{3D5B37BF-AF2E-494A-B6FE-4D8D42EA4842}"/>
    <cellStyle name="40% - Accent2 4 3 2 4" xfId="20219" xr:uid="{9334A6C4-4157-41D4-866F-1FD568099E6B}"/>
    <cellStyle name="40% - Accent2 4 3 2 5" xfId="28666" xr:uid="{E1629C84-B4F7-4509-BF5B-39264C743A7C}"/>
    <cellStyle name="40% - Accent2 4 3 3" xfId="5394" xr:uid="{00000000-0005-0000-0000-0000E2040000}"/>
    <cellStyle name="40% - Accent2 4 3 3 2" xfId="13844" xr:uid="{924D66F8-6575-4658-A3E3-8E6ED09EF3BF}"/>
    <cellStyle name="40% - Accent2 4 3 3 3" xfId="22291" xr:uid="{B5262396-F8A7-4C72-9846-0240CBFA7245}"/>
    <cellStyle name="40% - Accent2 4 3 3 4" xfId="30738" xr:uid="{2578F4F0-EF7C-4A0B-9E92-3EF9AF498A25}"/>
    <cellStyle name="40% - Accent2 4 3 4" xfId="9626" xr:uid="{B4000F3F-1680-4133-9B8B-F7A01FC7C5AA}"/>
    <cellStyle name="40% - Accent2 4 3 5" xfId="18074" xr:uid="{F157BC56-7DDF-407A-AA74-17376F0B81EB}"/>
    <cellStyle name="40% - Accent2 4 3 6" xfId="26521" xr:uid="{2448317E-BA1F-48FD-9F3A-297924102F7A}"/>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BAC2500A-5476-46C6-9719-18190A1C6C8F}"/>
    <cellStyle name="40% - Accent2 4 4 2 2 3" xfId="24849" xr:uid="{097BFB6E-4344-42CB-B7F4-F80EC7E27356}"/>
    <cellStyle name="40% - Accent2 4 4 2 2 4" xfId="33296" xr:uid="{62AA8115-2C7B-4F71-A98C-7A49B61C5497}"/>
    <cellStyle name="40% - Accent2 4 4 2 3" xfId="12184" xr:uid="{1E402F65-3E9C-4FEB-B9AF-C6DD2004066F}"/>
    <cellStyle name="40% - Accent2 4 4 2 4" xfId="20632" xr:uid="{8786FC6A-15FB-4C93-B2C5-057C77857036}"/>
    <cellStyle name="40% - Accent2 4 4 2 5" xfId="29079" xr:uid="{B6E99E3F-A375-4279-9116-5C827137AA74}"/>
    <cellStyle name="40% - Accent2 4 4 3" xfId="5807" xr:uid="{00000000-0005-0000-0000-0000E6040000}"/>
    <cellStyle name="40% - Accent2 4 4 3 2" xfId="14257" xr:uid="{3F2EF24D-BD37-449B-9D56-521647014907}"/>
    <cellStyle name="40% - Accent2 4 4 3 3" xfId="22704" xr:uid="{056A850F-96D4-44EC-9135-8A4F630D7E10}"/>
    <cellStyle name="40% - Accent2 4 4 3 4" xfId="31151" xr:uid="{BC1DEA5E-BE8B-473F-8C00-52DBFA9BBE6E}"/>
    <cellStyle name="40% - Accent2 4 4 4" xfId="10039" xr:uid="{B3A111AC-DE96-48B2-83D8-CEE298B15E8E}"/>
    <cellStyle name="40% - Accent2 4 4 5" xfId="18487" xr:uid="{D0A41CF2-C155-4B8B-9D29-0A3B16E12A11}"/>
    <cellStyle name="40% - Accent2 4 4 6" xfId="26934" xr:uid="{41DCA572-FB33-4F32-B32E-BD14DAC09230}"/>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423DC17B-B8FA-4D0D-AB9A-9CC652793248}"/>
    <cellStyle name="40% - Accent2 4 5 2 2 3" xfId="25262" xr:uid="{37D188A3-9A21-4010-8379-6E5725499F37}"/>
    <cellStyle name="40% - Accent2 4 5 2 2 4" xfId="33709" xr:uid="{9C664ADC-A98C-495B-9A7D-7A768EF61406}"/>
    <cellStyle name="40% - Accent2 4 5 2 3" xfId="12597" xr:uid="{285159FE-21FB-4450-A85A-AF12A4E16FC3}"/>
    <cellStyle name="40% - Accent2 4 5 2 4" xfId="21045" xr:uid="{C89C0A99-CAA9-4321-9FD3-5CA21B2B24AA}"/>
    <cellStyle name="40% - Accent2 4 5 2 5" xfId="29492" xr:uid="{DAC2E68E-8967-4D39-9C98-A1A2319B64C8}"/>
    <cellStyle name="40% - Accent2 4 5 3" xfId="6220" xr:uid="{00000000-0005-0000-0000-0000EA040000}"/>
    <cellStyle name="40% - Accent2 4 5 3 2" xfId="14670" xr:uid="{608526AF-290E-43E2-B84A-14683FF4B3FF}"/>
    <cellStyle name="40% - Accent2 4 5 3 3" xfId="23117" xr:uid="{CEBC80EF-F783-4B5E-BF5B-EFBA83189B33}"/>
    <cellStyle name="40% - Accent2 4 5 3 4" xfId="31564" xr:uid="{337E4FE4-CA64-4BAA-8AD1-C8286C0BD070}"/>
    <cellStyle name="40% - Accent2 4 5 4" xfId="10452" xr:uid="{A51F018D-43A0-496E-B1C8-DD6E26AD9D51}"/>
    <cellStyle name="40% - Accent2 4 5 5" xfId="18900" xr:uid="{7C591BC8-675C-4E35-85FA-EC8D59B80E51}"/>
    <cellStyle name="40% - Accent2 4 5 6" xfId="27347" xr:uid="{F7CCCF77-8E4A-4FA7-9E63-AD85E4890DAF}"/>
    <cellStyle name="40% - Accent2 4 6" xfId="2327" xr:uid="{00000000-0005-0000-0000-0000EB040000}"/>
    <cellStyle name="40% - Accent2 4 6 2" xfId="6633" xr:uid="{00000000-0005-0000-0000-0000EC040000}"/>
    <cellStyle name="40% - Accent2 4 6 2 2" xfId="15083" xr:uid="{A44E6A41-DB9A-4D1B-8597-5B9EFAEF42F0}"/>
    <cellStyle name="40% - Accent2 4 6 2 3" xfId="23530" xr:uid="{437CEEE4-D645-4D7A-889E-0822ED0780E0}"/>
    <cellStyle name="40% - Accent2 4 6 2 4" xfId="31977" xr:uid="{29F54ABF-DDA1-458F-BCA7-0A44507E1EF1}"/>
    <cellStyle name="40% - Accent2 4 6 3" xfId="10865" xr:uid="{B83DF346-B456-4203-99DB-BC7B080A8D84}"/>
    <cellStyle name="40% - Accent2 4 6 4" xfId="19313" xr:uid="{7A7868C7-61EF-4ADA-BB53-9AF6A99C41AB}"/>
    <cellStyle name="40% - Accent2 4 6 5" xfId="27760" xr:uid="{BAAB2644-7D8D-443F-9EAA-EEF1A73EBC9A}"/>
    <cellStyle name="40% - Accent2 4 7" xfId="4567" xr:uid="{00000000-0005-0000-0000-0000ED040000}"/>
    <cellStyle name="40% - Accent2 4 7 2" xfId="13017" xr:uid="{7FD398D2-70E1-400D-B675-BAC35D9752EE}"/>
    <cellStyle name="40% - Accent2 4 7 3" xfId="21464" xr:uid="{7BB536B5-AEBA-4CCE-98EF-81EB54250A54}"/>
    <cellStyle name="40% - Accent2 4 7 4" xfId="29911" xr:uid="{3D6BCDA3-ED70-4C2D-A0C4-2499EDC909D4}"/>
    <cellStyle name="40% - Accent2 4 8" xfId="8799" xr:uid="{0FB1A6B0-87FA-4911-AB68-966EB96076CF}"/>
    <cellStyle name="40% - Accent2 4 9" xfId="17247" xr:uid="{8100B337-704D-4E5B-9CFF-9A3FF55B6D2F}"/>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1B1566C2-5AE1-43C7-B988-5A20DB175872}"/>
    <cellStyle name="40% - Accent2 5 2 2 3" xfId="24016" xr:uid="{BC4E07A0-B722-4694-86F9-2C42A6AA00D5}"/>
    <cellStyle name="40% - Accent2 5 2 2 4" xfId="32463" xr:uid="{FCC1D83E-AB78-448B-BE8F-1D7E790B7A61}"/>
    <cellStyle name="40% - Accent2 5 2 3" xfId="11351" xr:uid="{626290CD-2BB8-4A1B-90E3-D5AE54CFB908}"/>
    <cellStyle name="40% - Accent2 5 2 4" xfId="19799" xr:uid="{7EC94689-0834-41B6-B45F-0E05D71315CC}"/>
    <cellStyle name="40% - Accent2 5 2 5" xfId="28246" xr:uid="{87368BB4-51BE-48A8-99D8-24557FA3D04C}"/>
    <cellStyle name="40% - Accent2 5 3" xfId="4974" xr:uid="{00000000-0005-0000-0000-0000F1040000}"/>
    <cellStyle name="40% - Accent2 5 3 2" xfId="13424" xr:uid="{8D172740-B8A7-469F-AB94-181A4C819DE1}"/>
    <cellStyle name="40% - Accent2 5 3 3" xfId="21871" xr:uid="{5507A618-8D0F-461D-B5F9-A8B7DFAEB5CB}"/>
    <cellStyle name="40% - Accent2 5 3 4" xfId="30318" xr:uid="{792CA1D6-FCA5-4E37-9BB7-FC508B47B51E}"/>
    <cellStyle name="40% - Accent2 5 4" xfId="9206" xr:uid="{58DFAD7B-8AEA-4CC6-966B-0F130DBF48C0}"/>
    <cellStyle name="40% - Accent2 5 5" xfId="17654" xr:uid="{059703C4-5614-4853-A413-02B67A36A433}"/>
    <cellStyle name="40% - Accent2 5 6" xfId="26101" xr:uid="{3DA7C1C0-3796-4205-8396-88FA980784E9}"/>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03B9DDF9-205B-4D9C-82B0-091240164ADA}"/>
    <cellStyle name="40% - Accent2 6 2 2 3" xfId="24429" xr:uid="{158756A9-02F6-414E-AE49-B6D34671E28F}"/>
    <cellStyle name="40% - Accent2 6 2 2 4" xfId="32876" xr:uid="{0C4B8B39-1A41-4C87-B2A3-446DA8D983AA}"/>
    <cellStyle name="40% - Accent2 6 2 3" xfId="11764" xr:uid="{98D6DE5A-752D-46E1-B029-ADF2C1664B40}"/>
    <cellStyle name="40% - Accent2 6 2 4" xfId="20212" xr:uid="{11A69B30-808B-48C8-BF26-5F6ADB94D3BD}"/>
    <cellStyle name="40% - Accent2 6 2 5" xfId="28659" xr:uid="{21BD3934-9458-499A-B571-C50F4E4BF7CB}"/>
    <cellStyle name="40% - Accent2 6 3" xfId="5387" xr:uid="{00000000-0005-0000-0000-0000F5040000}"/>
    <cellStyle name="40% - Accent2 6 3 2" xfId="13837" xr:uid="{C2C290B0-32D6-4D4E-A855-2AB8EF04E7CD}"/>
    <cellStyle name="40% - Accent2 6 3 3" xfId="22284" xr:uid="{F96A38E5-5B3A-49D9-A59D-CBB5F46678E5}"/>
    <cellStyle name="40% - Accent2 6 3 4" xfId="30731" xr:uid="{F2C8915E-2226-4EB7-9491-19547CBA8B1C}"/>
    <cellStyle name="40% - Accent2 6 4" xfId="9619" xr:uid="{FD8CF371-6DE1-40E6-9CD4-C97D5D1A095E}"/>
    <cellStyle name="40% - Accent2 6 5" xfId="18067" xr:uid="{599155C9-E27A-4ED0-B8CA-8295F6879BC0}"/>
    <cellStyle name="40% - Accent2 6 6" xfId="26514" xr:uid="{A1DBDBDC-97BF-4F1C-9D0F-683AB33A08A7}"/>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02297A5B-C047-49CD-9387-C36ED468063E}"/>
    <cellStyle name="40% - Accent2 7 2 2 3" xfId="24842" xr:uid="{555F917E-CDBE-45A4-B188-4DD4733A7BDA}"/>
    <cellStyle name="40% - Accent2 7 2 2 4" xfId="33289" xr:uid="{E7A1B295-B52A-4BF5-8E50-CF6434C22C9A}"/>
    <cellStyle name="40% - Accent2 7 2 3" xfId="12177" xr:uid="{0AA48D12-E04B-428A-985B-6807936C28DE}"/>
    <cellStyle name="40% - Accent2 7 2 4" xfId="20625" xr:uid="{8792D5A2-62E7-4891-8E24-34EA693FE7E9}"/>
    <cellStyle name="40% - Accent2 7 2 5" xfId="29072" xr:uid="{381AAD4D-92F4-400F-B0BA-C317A65C49E8}"/>
    <cellStyle name="40% - Accent2 7 3" xfId="5800" xr:uid="{00000000-0005-0000-0000-0000F9040000}"/>
    <cellStyle name="40% - Accent2 7 3 2" xfId="14250" xr:uid="{447D7F5B-1BD7-41B7-A159-B09953E9D6A9}"/>
    <cellStyle name="40% - Accent2 7 3 3" xfId="22697" xr:uid="{BB97C254-CD09-4C38-82A7-1940946BBAAF}"/>
    <cellStyle name="40% - Accent2 7 3 4" xfId="31144" xr:uid="{BB073AC1-A890-48A4-B995-2D9B38649C6B}"/>
    <cellStyle name="40% - Accent2 7 4" xfId="10032" xr:uid="{A446EFEB-E7E8-446C-A826-734E859F8642}"/>
    <cellStyle name="40% - Accent2 7 5" xfId="18480" xr:uid="{5D80A49E-3790-45D7-89CD-E28555DF165B}"/>
    <cellStyle name="40% - Accent2 7 6" xfId="26927" xr:uid="{401EAFC5-E8B2-4D4F-9974-3E114C8B816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5156C656-9C21-438E-8808-14C767241D80}"/>
    <cellStyle name="40% - Accent2 8 2 2 3" xfId="25255" xr:uid="{107DBB57-498B-421D-8288-222EA9709388}"/>
    <cellStyle name="40% - Accent2 8 2 2 4" xfId="33702" xr:uid="{3D222C10-6B54-4BC2-B5E2-6F80AB85C297}"/>
    <cellStyle name="40% - Accent2 8 2 3" xfId="12590" xr:uid="{A443E0CA-A567-44A2-AEBB-C673F00CA526}"/>
    <cellStyle name="40% - Accent2 8 2 4" xfId="21038" xr:uid="{5D20F0B0-C2EB-4079-97A1-047CBE2CFF7E}"/>
    <cellStyle name="40% - Accent2 8 2 5" xfId="29485" xr:uid="{05A04F75-FCE0-4152-8940-CA4E05813449}"/>
    <cellStyle name="40% - Accent2 8 3" xfId="6213" xr:uid="{00000000-0005-0000-0000-0000FD040000}"/>
    <cellStyle name="40% - Accent2 8 3 2" xfId="14663" xr:uid="{69DE8EEA-5DB5-4445-B10A-BBB82B7FA25A}"/>
    <cellStyle name="40% - Accent2 8 3 3" xfId="23110" xr:uid="{31EDBEEB-ED71-4646-9955-620D65B137E8}"/>
    <cellStyle name="40% - Accent2 8 3 4" xfId="31557" xr:uid="{328A49A3-D179-4CC5-BB7C-330AFF2C9346}"/>
    <cellStyle name="40% - Accent2 8 4" xfId="10445" xr:uid="{5F59C2C2-BBD9-402E-B328-D801EEB37762}"/>
    <cellStyle name="40% - Accent2 8 5" xfId="18893" xr:uid="{FF436E8F-F82D-4F75-A679-2AC878C23236}"/>
    <cellStyle name="40% - Accent2 8 6" xfId="27340" xr:uid="{503EFC7D-0007-4E0D-83B9-7C9E16E17B0D}"/>
    <cellStyle name="40% - Accent2 9" xfId="2320" xr:uid="{00000000-0005-0000-0000-0000FE040000}"/>
    <cellStyle name="40% - Accent2 9 2" xfId="6626" xr:uid="{00000000-0005-0000-0000-0000FF040000}"/>
    <cellStyle name="40% - Accent2 9 2 2" xfId="15076" xr:uid="{D749B914-C1BA-42F5-ACE4-507139A73355}"/>
    <cellStyle name="40% - Accent2 9 2 3" xfId="23523" xr:uid="{9EE4A4E8-D601-443B-B1E0-E4676DF2ADAA}"/>
    <cellStyle name="40% - Accent2 9 2 4" xfId="31970" xr:uid="{94517356-AB53-42FF-AE0F-85D7DC72ADCC}"/>
    <cellStyle name="40% - Accent2 9 3" xfId="10858" xr:uid="{02830398-2334-4158-B525-375AE76B21F2}"/>
    <cellStyle name="40% - Accent2 9 4" xfId="19306" xr:uid="{6C991D6C-E54C-4A7C-A4A1-FE34FAA94AA2}"/>
    <cellStyle name="40% - Accent2 9 5" xfId="27753" xr:uid="{F2AE9D15-C510-4849-91C9-9F7FC520CCAC}"/>
    <cellStyle name="40% - Accent3" xfId="65" builtinId="39" customBuiltin="1"/>
    <cellStyle name="40% - Accent3 10" xfId="4568" xr:uid="{00000000-0005-0000-0000-000001050000}"/>
    <cellStyle name="40% - Accent3 10 2" xfId="13018" xr:uid="{9732D6E5-7C37-42C4-B87D-79D32743CCF1}"/>
    <cellStyle name="40% - Accent3 10 3" xfId="21465" xr:uid="{959F6F20-800E-407C-A01E-D11F6767EB2B}"/>
    <cellStyle name="40% - Accent3 10 4" xfId="29912" xr:uid="{8EAEA06D-9249-415F-987A-927DD700D463}"/>
    <cellStyle name="40% - Accent3 11" xfId="8800" xr:uid="{D2BED095-0DC3-474B-B18D-0CA8F98FE07C}"/>
    <cellStyle name="40% - Accent3 12" xfId="17248" xr:uid="{5BBADA6A-A8CB-4C33-AE58-2A98E3DD9B2D}"/>
    <cellStyle name="40% - Accent3 13" xfId="25695" xr:uid="{795EBFA7-396D-4FAB-8ED3-9C8A30D6D1E9}"/>
    <cellStyle name="40% - Accent3 2" xfId="66" xr:uid="{00000000-0005-0000-0000-000002050000}"/>
    <cellStyle name="40% - Accent3 2 10" xfId="8801" xr:uid="{CC873C45-BDE7-44F4-90D8-BFC798DAFA06}"/>
    <cellStyle name="40% - Accent3 2 11" xfId="17249" xr:uid="{F00EB590-C2E5-4F77-8494-7444D13114F8}"/>
    <cellStyle name="40% - Accent3 2 12" xfId="25696" xr:uid="{22B4C01F-2A28-49CB-A2A0-49643B8E60A1}"/>
    <cellStyle name="40% - Accent3 2 2" xfId="67" xr:uid="{00000000-0005-0000-0000-000003050000}"/>
    <cellStyle name="40% - Accent3 2 2 10" xfId="17250" xr:uid="{BD719F02-B5AA-4F96-914D-4977F7DC88E8}"/>
    <cellStyle name="40% - Accent3 2 2 11" xfId="25697" xr:uid="{DA7C7C83-A790-4AE8-9CC7-B37D4C807152}"/>
    <cellStyle name="40% - Accent3 2 2 2" xfId="68" xr:uid="{00000000-0005-0000-0000-000004050000}"/>
    <cellStyle name="40% - Accent3 2 2 2 10" xfId="25698" xr:uid="{6786FD05-21B7-4502-8FB7-744DB204085A}"/>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025D7A26-4FC5-4C0E-9A96-974B6D72E39D}"/>
    <cellStyle name="40% - Accent3 2 2 2 2 2 2 3" xfId="24027" xr:uid="{6CC5AA2E-92DE-4B87-9601-38D56A2B3D86}"/>
    <cellStyle name="40% - Accent3 2 2 2 2 2 2 4" xfId="32474" xr:uid="{0EA24EDB-8DCB-4F77-9A60-FD803D28BC13}"/>
    <cellStyle name="40% - Accent3 2 2 2 2 2 3" xfId="11362" xr:uid="{696D87D0-597D-4B87-BD1B-A0A8CF3F4075}"/>
    <cellStyle name="40% - Accent3 2 2 2 2 2 4" xfId="19810" xr:uid="{066B4DAE-3691-46A0-810A-7B1CEA6BD398}"/>
    <cellStyle name="40% - Accent3 2 2 2 2 2 5" xfId="28257" xr:uid="{C3BF7E85-387C-4350-A3CC-68D87FE5DE0C}"/>
    <cellStyle name="40% - Accent3 2 2 2 2 3" xfId="4985" xr:uid="{00000000-0005-0000-0000-000008050000}"/>
    <cellStyle name="40% - Accent3 2 2 2 2 3 2" xfId="13435" xr:uid="{25E32DB4-3EF7-4ED2-A476-73FD55E4C8C6}"/>
    <cellStyle name="40% - Accent3 2 2 2 2 3 3" xfId="21882" xr:uid="{C3AFA028-86A6-4566-983E-BF4677F7304F}"/>
    <cellStyle name="40% - Accent3 2 2 2 2 3 4" xfId="30329" xr:uid="{6AFFA1B8-71C4-4B4C-881B-71F6B4D9D772}"/>
    <cellStyle name="40% - Accent3 2 2 2 2 4" xfId="9217" xr:uid="{BE109330-CF37-43AC-81FF-C88F9680D47B}"/>
    <cellStyle name="40% - Accent3 2 2 2 2 5" xfId="17665" xr:uid="{130E88E0-3DE3-44C5-8B44-B999A295D4C7}"/>
    <cellStyle name="40% - Accent3 2 2 2 2 6" xfId="26112" xr:uid="{0227A562-228D-4122-8CB9-2E0115F360FE}"/>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E5EE17FC-53B9-404A-BCD8-570890972EB6}"/>
    <cellStyle name="40% - Accent3 2 2 2 3 2 2 3" xfId="24440" xr:uid="{67DB8C4F-BFEB-4BAD-9581-DCD5EFBAC6F8}"/>
    <cellStyle name="40% - Accent3 2 2 2 3 2 2 4" xfId="32887" xr:uid="{D36D784A-53DD-4F3E-A24E-DCFC3246CFEA}"/>
    <cellStyle name="40% - Accent3 2 2 2 3 2 3" xfId="11775" xr:uid="{3EF374E8-4FF6-4434-85B5-46BA16653D5C}"/>
    <cellStyle name="40% - Accent3 2 2 2 3 2 4" xfId="20223" xr:uid="{C36377CC-0D67-4B6A-94EA-0F9E7C816EA1}"/>
    <cellStyle name="40% - Accent3 2 2 2 3 2 5" xfId="28670" xr:uid="{A753B565-27A1-41C1-88FA-186C07F3526E}"/>
    <cellStyle name="40% - Accent3 2 2 2 3 3" xfId="5398" xr:uid="{00000000-0005-0000-0000-00000C050000}"/>
    <cellStyle name="40% - Accent3 2 2 2 3 3 2" xfId="13848" xr:uid="{798449FF-7E6F-4D84-8705-BB42A8A65CA0}"/>
    <cellStyle name="40% - Accent3 2 2 2 3 3 3" xfId="22295" xr:uid="{93BCED2E-5869-45FA-A2CF-3C108D41F6B0}"/>
    <cellStyle name="40% - Accent3 2 2 2 3 3 4" xfId="30742" xr:uid="{5B3584A7-C7B5-4E6B-9746-C062E68DF60C}"/>
    <cellStyle name="40% - Accent3 2 2 2 3 4" xfId="9630" xr:uid="{395D715C-1D96-4680-BC43-C38FCDFF7916}"/>
    <cellStyle name="40% - Accent3 2 2 2 3 5" xfId="18078" xr:uid="{3B4AB085-E6B8-40B7-993F-6B0D7881A566}"/>
    <cellStyle name="40% - Accent3 2 2 2 3 6" xfId="26525" xr:uid="{DD3872D3-7EB9-4452-A825-4803EA4C514C}"/>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F0205910-5358-409D-BEAD-73B166502AAC}"/>
    <cellStyle name="40% - Accent3 2 2 2 4 2 2 3" xfId="24853" xr:uid="{84EE7633-57C2-4158-857F-7E1F561ACE89}"/>
    <cellStyle name="40% - Accent3 2 2 2 4 2 2 4" xfId="33300" xr:uid="{C95E4375-2A64-4BD3-8793-878938CDB552}"/>
    <cellStyle name="40% - Accent3 2 2 2 4 2 3" xfId="12188" xr:uid="{8BE37FAC-F338-46D1-AB8B-01CC6D8F170C}"/>
    <cellStyle name="40% - Accent3 2 2 2 4 2 4" xfId="20636" xr:uid="{5555F172-9225-461E-AAE3-1702860F60D0}"/>
    <cellStyle name="40% - Accent3 2 2 2 4 2 5" xfId="29083" xr:uid="{2BA54B37-7D73-410F-85CB-7CEAA6A8C8BA}"/>
    <cellStyle name="40% - Accent3 2 2 2 4 3" xfId="5811" xr:uid="{00000000-0005-0000-0000-000010050000}"/>
    <cellStyle name="40% - Accent3 2 2 2 4 3 2" xfId="14261" xr:uid="{AA5F4EA6-2F3D-4E0B-B79D-4A855C22A866}"/>
    <cellStyle name="40% - Accent3 2 2 2 4 3 3" xfId="22708" xr:uid="{244A2751-3247-4A4D-B9F9-8A438206F1AF}"/>
    <cellStyle name="40% - Accent3 2 2 2 4 3 4" xfId="31155" xr:uid="{ABB75BC9-EDF9-4DAD-A94F-6087DCA9896A}"/>
    <cellStyle name="40% - Accent3 2 2 2 4 4" xfId="10043" xr:uid="{8D11F2ED-706B-4429-BD55-BEA60902EEFD}"/>
    <cellStyle name="40% - Accent3 2 2 2 4 5" xfId="18491" xr:uid="{F035E64E-D971-4AB1-BDF5-145509CEEF67}"/>
    <cellStyle name="40% - Accent3 2 2 2 4 6" xfId="26938" xr:uid="{28A537A3-092E-4063-994A-B1DD5166348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12E3F621-4CBE-4F79-9859-51F945CE213B}"/>
    <cellStyle name="40% - Accent3 2 2 2 5 2 2 3" xfId="25266" xr:uid="{A849E923-7545-4D20-BBCA-83A1D848946F}"/>
    <cellStyle name="40% - Accent3 2 2 2 5 2 2 4" xfId="33713" xr:uid="{24ED019D-D042-4123-A7FD-428A3C4B1028}"/>
    <cellStyle name="40% - Accent3 2 2 2 5 2 3" xfId="12601" xr:uid="{7FD6FB7E-A4BB-4275-8F41-8C0683ADC703}"/>
    <cellStyle name="40% - Accent3 2 2 2 5 2 4" xfId="21049" xr:uid="{F4033840-DF86-49C8-A157-212BE856966D}"/>
    <cellStyle name="40% - Accent3 2 2 2 5 2 5" xfId="29496" xr:uid="{F91926B5-032A-4AE1-ACC7-6A9B120BCE13}"/>
    <cellStyle name="40% - Accent3 2 2 2 5 3" xfId="6224" xr:uid="{00000000-0005-0000-0000-000014050000}"/>
    <cellStyle name="40% - Accent3 2 2 2 5 3 2" xfId="14674" xr:uid="{5993F844-3D17-4E12-A221-2F71FDF37A3D}"/>
    <cellStyle name="40% - Accent3 2 2 2 5 3 3" xfId="23121" xr:uid="{4D5B85EA-8A92-412F-8148-1BAE851FD364}"/>
    <cellStyle name="40% - Accent3 2 2 2 5 3 4" xfId="31568" xr:uid="{FE201020-F30D-49EE-882E-10FCF9B8B50D}"/>
    <cellStyle name="40% - Accent3 2 2 2 5 4" xfId="10456" xr:uid="{2C2F6450-CEEB-4050-B2EB-F02634400CA8}"/>
    <cellStyle name="40% - Accent3 2 2 2 5 5" xfId="18904" xr:uid="{DE95C7F6-C261-4722-9346-C3DA491244C0}"/>
    <cellStyle name="40% - Accent3 2 2 2 5 6" xfId="27351" xr:uid="{A3826528-9E7B-46AC-AE19-545D5BF9C046}"/>
    <cellStyle name="40% - Accent3 2 2 2 6" xfId="2331" xr:uid="{00000000-0005-0000-0000-000015050000}"/>
    <cellStyle name="40% - Accent3 2 2 2 6 2" xfId="6637" xr:uid="{00000000-0005-0000-0000-000016050000}"/>
    <cellStyle name="40% - Accent3 2 2 2 6 2 2" xfId="15087" xr:uid="{DEDCD44A-9C55-4311-B30E-D021C4EC1DF2}"/>
    <cellStyle name="40% - Accent3 2 2 2 6 2 3" xfId="23534" xr:uid="{C68C5A38-10AB-4975-A40E-0928AB148321}"/>
    <cellStyle name="40% - Accent3 2 2 2 6 2 4" xfId="31981" xr:uid="{1A5BBEF4-CAA1-49AD-8DC8-CC13BBDF92FB}"/>
    <cellStyle name="40% - Accent3 2 2 2 6 3" xfId="10869" xr:uid="{90F56291-AEED-4002-A751-9AD7AD2BE316}"/>
    <cellStyle name="40% - Accent3 2 2 2 6 4" xfId="19317" xr:uid="{6D103A49-7457-4A6F-9D3B-6A66D68FE11F}"/>
    <cellStyle name="40% - Accent3 2 2 2 6 5" xfId="27764" xr:uid="{F1B3C99B-5E08-4B8B-ACD7-34B958106E67}"/>
    <cellStyle name="40% - Accent3 2 2 2 7" xfId="4571" xr:uid="{00000000-0005-0000-0000-000017050000}"/>
    <cellStyle name="40% - Accent3 2 2 2 7 2" xfId="13021" xr:uid="{97E00ABA-93BE-46EC-9C2B-672CE5DE7348}"/>
    <cellStyle name="40% - Accent3 2 2 2 7 3" xfId="21468" xr:uid="{F1CD05DD-28EA-419A-A396-458F8FE1BC77}"/>
    <cellStyle name="40% - Accent3 2 2 2 7 4" xfId="29915" xr:uid="{800D2C82-C816-4D0E-9CC1-99CC696C73E3}"/>
    <cellStyle name="40% - Accent3 2 2 2 8" xfId="8803" xr:uid="{B51DA285-024D-452A-B906-67A9650936D0}"/>
    <cellStyle name="40% - Accent3 2 2 2 9" xfId="17251" xr:uid="{FFDF06BC-39E8-49FD-9684-D2CA878FE8F7}"/>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C5B91D9-A5A5-4921-982F-13F09C16DEE0}"/>
    <cellStyle name="40% - Accent3 2 2 3 2 2 3" xfId="24026" xr:uid="{B9BE99BA-F81B-46B7-849D-11EC5B728E25}"/>
    <cellStyle name="40% - Accent3 2 2 3 2 2 4" xfId="32473" xr:uid="{FCDB3E99-BFDB-4CB1-A187-2FCF3D6BE1F8}"/>
    <cellStyle name="40% - Accent3 2 2 3 2 3" xfId="11361" xr:uid="{398AE4E8-5ADD-40FF-A1DA-29F609BFBEBE}"/>
    <cellStyle name="40% - Accent3 2 2 3 2 4" xfId="19809" xr:uid="{F4719411-8D02-472D-BE23-B495DB4F94F2}"/>
    <cellStyle name="40% - Accent3 2 2 3 2 5" xfId="28256" xr:uid="{ED389F60-625C-4424-B377-986CF88E1C53}"/>
    <cellStyle name="40% - Accent3 2 2 3 3" xfId="4984" xr:uid="{00000000-0005-0000-0000-00001B050000}"/>
    <cellStyle name="40% - Accent3 2 2 3 3 2" xfId="13434" xr:uid="{67E7C3BA-458F-4A26-8EC5-96EA9102586D}"/>
    <cellStyle name="40% - Accent3 2 2 3 3 3" xfId="21881" xr:uid="{EEE41AF4-A3AC-4F98-9AB7-28ECA0B4CF5A}"/>
    <cellStyle name="40% - Accent3 2 2 3 3 4" xfId="30328" xr:uid="{06FB407F-5707-404F-83F3-75D15D68F000}"/>
    <cellStyle name="40% - Accent3 2 2 3 4" xfId="9216" xr:uid="{9DED03D5-9889-4933-B64E-F4933DE68BDE}"/>
    <cellStyle name="40% - Accent3 2 2 3 5" xfId="17664" xr:uid="{45D7D16C-F948-4ACB-8EBF-CB81EF322D46}"/>
    <cellStyle name="40% - Accent3 2 2 3 6" xfId="26111" xr:uid="{F8D3799F-CA2F-4DE3-AD0C-5BC41E1205C7}"/>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B7461DD3-85E5-4CFD-A324-FDA8A946D1C0}"/>
    <cellStyle name="40% - Accent3 2 2 4 2 2 3" xfId="24439" xr:uid="{7848F684-1C51-4CBA-A2E3-4A963AD8B10C}"/>
    <cellStyle name="40% - Accent3 2 2 4 2 2 4" xfId="32886" xr:uid="{1C70ED07-2C1F-4417-ADA9-6C89BCC02826}"/>
    <cellStyle name="40% - Accent3 2 2 4 2 3" xfId="11774" xr:uid="{9FFC3428-488A-4E46-A6F5-AD3C3FDAEBC8}"/>
    <cellStyle name="40% - Accent3 2 2 4 2 4" xfId="20222" xr:uid="{087B90C6-7E29-493C-A0C2-181526C7871A}"/>
    <cellStyle name="40% - Accent3 2 2 4 2 5" xfId="28669" xr:uid="{8EFD050E-6B22-4637-9BC5-4E6996C70121}"/>
    <cellStyle name="40% - Accent3 2 2 4 3" xfId="5397" xr:uid="{00000000-0005-0000-0000-00001F050000}"/>
    <cellStyle name="40% - Accent3 2 2 4 3 2" xfId="13847" xr:uid="{2468243F-CD0E-45AB-AA2E-2B47B1827457}"/>
    <cellStyle name="40% - Accent3 2 2 4 3 3" xfId="22294" xr:uid="{9D4B0E22-2E31-43A8-AF07-5B2BFA7791A8}"/>
    <cellStyle name="40% - Accent3 2 2 4 3 4" xfId="30741" xr:uid="{9661627F-B197-4829-8FA9-65C699605BF6}"/>
    <cellStyle name="40% - Accent3 2 2 4 4" xfId="9629" xr:uid="{3B5FD382-E043-48CA-B012-6B3B7FCFAEF1}"/>
    <cellStyle name="40% - Accent3 2 2 4 5" xfId="18077" xr:uid="{1FF9F5AD-8B6A-428F-A600-78BEBA2EEBFC}"/>
    <cellStyle name="40% - Accent3 2 2 4 6" xfId="26524" xr:uid="{B1FED57E-843C-449F-BEDE-F46DCC35D9BA}"/>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B138387-152C-4B48-8133-95D5D08C3B01}"/>
    <cellStyle name="40% - Accent3 2 2 5 2 2 3" xfId="24852" xr:uid="{E15F9C63-2DC4-402A-9707-2AE93D99D59E}"/>
    <cellStyle name="40% - Accent3 2 2 5 2 2 4" xfId="33299" xr:uid="{DE6EDA3B-AF1A-4209-B12C-E9AEBC1FC690}"/>
    <cellStyle name="40% - Accent3 2 2 5 2 3" xfId="12187" xr:uid="{6DCD77E2-8AE5-4B0D-832E-31A8792F161D}"/>
    <cellStyle name="40% - Accent3 2 2 5 2 4" xfId="20635" xr:uid="{B99C86DD-5088-4B8C-9BF8-FD755A78A1D7}"/>
    <cellStyle name="40% - Accent3 2 2 5 2 5" xfId="29082" xr:uid="{FB01EDAB-44EB-45DA-B606-6B5ACB874DC3}"/>
    <cellStyle name="40% - Accent3 2 2 5 3" xfId="5810" xr:uid="{00000000-0005-0000-0000-000023050000}"/>
    <cellStyle name="40% - Accent3 2 2 5 3 2" xfId="14260" xr:uid="{D512F5A1-E0BC-44DD-A5C1-19D43729205B}"/>
    <cellStyle name="40% - Accent3 2 2 5 3 3" xfId="22707" xr:uid="{477E2355-7007-49CB-90F8-91A747C6150F}"/>
    <cellStyle name="40% - Accent3 2 2 5 3 4" xfId="31154" xr:uid="{74B2B22E-6743-427E-9F65-78D1A85F385C}"/>
    <cellStyle name="40% - Accent3 2 2 5 4" xfId="10042" xr:uid="{F8C5C6CC-5664-40C0-92F7-59E057F8217C}"/>
    <cellStyle name="40% - Accent3 2 2 5 5" xfId="18490" xr:uid="{33527DC1-06C8-4A28-AE45-4D6F412B23C6}"/>
    <cellStyle name="40% - Accent3 2 2 5 6" xfId="26937" xr:uid="{750FC486-4826-464F-B434-1A671B6B5840}"/>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7B2ED366-DB68-4884-A17B-31C5ABE5D133}"/>
    <cellStyle name="40% - Accent3 2 2 6 2 2 3" xfId="25265" xr:uid="{D7C2ECC6-A184-4928-9A05-1FF5F3122CA0}"/>
    <cellStyle name="40% - Accent3 2 2 6 2 2 4" xfId="33712" xr:uid="{D39A2ED4-CE58-4AA3-B729-EACA54AA70C3}"/>
    <cellStyle name="40% - Accent3 2 2 6 2 3" xfId="12600" xr:uid="{AB9BE520-91ED-4E2A-898D-2E986D4C60B5}"/>
    <cellStyle name="40% - Accent3 2 2 6 2 4" xfId="21048" xr:uid="{2396AA58-EC32-4F90-9A22-6CA43483FDE5}"/>
    <cellStyle name="40% - Accent3 2 2 6 2 5" xfId="29495" xr:uid="{23D6C9C2-89AD-4F8F-9D3D-9AF3AA29E96D}"/>
    <cellStyle name="40% - Accent3 2 2 6 3" xfId="6223" xr:uid="{00000000-0005-0000-0000-000027050000}"/>
    <cellStyle name="40% - Accent3 2 2 6 3 2" xfId="14673" xr:uid="{5ADB90F5-C5B1-434F-B821-D5C576490054}"/>
    <cellStyle name="40% - Accent3 2 2 6 3 3" xfId="23120" xr:uid="{63516381-21F5-4952-934A-59DFDAB890A1}"/>
    <cellStyle name="40% - Accent3 2 2 6 3 4" xfId="31567" xr:uid="{97A1809B-8B7E-4464-8B1D-759F7AF64A51}"/>
    <cellStyle name="40% - Accent3 2 2 6 4" xfId="10455" xr:uid="{48B02F83-6B5D-46AC-919B-47EC8F6B2BE6}"/>
    <cellStyle name="40% - Accent3 2 2 6 5" xfId="18903" xr:uid="{830D731D-BA23-425D-B92D-89C9DC31E6FF}"/>
    <cellStyle name="40% - Accent3 2 2 6 6" xfId="27350" xr:uid="{52F13DDC-2F85-4923-8DDA-B7142251F64F}"/>
    <cellStyle name="40% - Accent3 2 2 7" xfId="2330" xr:uid="{00000000-0005-0000-0000-000028050000}"/>
    <cellStyle name="40% - Accent3 2 2 7 2" xfId="6636" xr:uid="{00000000-0005-0000-0000-000029050000}"/>
    <cellStyle name="40% - Accent3 2 2 7 2 2" xfId="15086" xr:uid="{F038F6B8-AB42-4384-BD07-940C17B47C45}"/>
    <cellStyle name="40% - Accent3 2 2 7 2 3" xfId="23533" xr:uid="{341D062E-FF66-4374-B9C3-A186D2529BC0}"/>
    <cellStyle name="40% - Accent3 2 2 7 2 4" xfId="31980" xr:uid="{760E2ED6-188E-4CF1-B7C1-CFB0AA3D3BF6}"/>
    <cellStyle name="40% - Accent3 2 2 7 3" xfId="10868" xr:uid="{841E3714-C906-4759-A6D5-245ED4F2889E}"/>
    <cellStyle name="40% - Accent3 2 2 7 4" xfId="19316" xr:uid="{4E43C951-F38F-45C5-B1E1-72194C191CC5}"/>
    <cellStyle name="40% - Accent3 2 2 7 5" xfId="27763" xr:uid="{4C744EAE-A4BA-43F1-B773-A5914056FBCD}"/>
    <cellStyle name="40% - Accent3 2 2 8" xfId="4570" xr:uid="{00000000-0005-0000-0000-00002A050000}"/>
    <cellStyle name="40% - Accent3 2 2 8 2" xfId="13020" xr:uid="{1405F42D-8C7A-4536-935C-6D0E387C1C83}"/>
    <cellStyle name="40% - Accent3 2 2 8 3" xfId="21467" xr:uid="{1DFB4D82-9B5B-417C-B66B-AF78BA0C96D0}"/>
    <cellStyle name="40% - Accent3 2 2 8 4" xfId="29914" xr:uid="{F6599E85-D033-4FF8-BC87-0EA52B92A0F9}"/>
    <cellStyle name="40% - Accent3 2 2 9" xfId="8802" xr:uid="{D5B7C743-B128-43D8-AFB0-792938F6518A}"/>
    <cellStyle name="40% - Accent3 2 3" xfId="69" xr:uid="{00000000-0005-0000-0000-00002B050000}"/>
    <cellStyle name="40% - Accent3 2 3 10" xfId="25699" xr:uid="{87A0265F-8495-4B69-891C-A44BBD1812C6}"/>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F21847AF-7C22-487A-9511-B721C7AAEBCE}"/>
    <cellStyle name="40% - Accent3 2 3 2 2 2 3" xfId="24028" xr:uid="{8258F1D8-5A02-4926-B43B-6F30F0E129EF}"/>
    <cellStyle name="40% - Accent3 2 3 2 2 2 4" xfId="32475" xr:uid="{8CA64B1E-76B6-48B0-8A8D-DC8F7056CC54}"/>
    <cellStyle name="40% - Accent3 2 3 2 2 3" xfId="11363" xr:uid="{E0C2160B-41D2-429C-9A45-C5FC2168FC3B}"/>
    <cellStyle name="40% - Accent3 2 3 2 2 4" xfId="19811" xr:uid="{9676EDAB-D8C1-447F-8F29-FEC4B75308CA}"/>
    <cellStyle name="40% - Accent3 2 3 2 2 5" xfId="28258" xr:uid="{8B472386-961A-45A2-96E4-FC30745F8A70}"/>
    <cellStyle name="40% - Accent3 2 3 2 3" xfId="4986" xr:uid="{00000000-0005-0000-0000-00002F050000}"/>
    <cellStyle name="40% - Accent3 2 3 2 3 2" xfId="13436" xr:uid="{1E81CFF4-D66F-4F21-85D2-F87B64D5DDCB}"/>
    <cellStyle name="40% - Accent3 2 3 2 3 3" xfId="21883" xr:uid="{B8F08EEC-7757-4367-9342-D8F0B69160A8}"/>
    <cellStyle name="40% - Accent3 2 3 2 3 4" xfId="30330" xr:uid="{5099A495-662C-4ADA-991B-3F954EDD6D12}"/>
    <cellStyle name="40% - Accent3 2 3 2 4" xfId="9218" xr:uid="{D1B12DE6-7099-4D24-8C69-EA4E8AF0B921}"/>
    <cellStyle name="40% - Accent3 2 3 2 5" xfId="17666" xr:uid="{654E2787-75CE-441B-A234-9391815C9AB5}"/>
    <cellStyle name="40% - Accent3 2 3 2 6" xfId="26113" xr:uid="{709B1341-8974-41E7-BADA-7905FD56B00B}"/>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67AE9C8A-4B17-41A1-A7B3-8B36E4003C83}"/>
    <cellStyle name="40% - Accent3 2 3 3 2 2 3" xfId="24441" xr:uid="{B1BCF282-4578-4F4F-AF71-5ADFADFA42D6}"/>
    <cellStyle name="40% - Accent3 2 3 3 2 2 4" xfId="32888" xr:uid="{409E6F65-C04C-4579-BDDD-A4A75AEDE146}"/>
    <cellStyle name="40% - Accent3 2 3 3 2 3" xfId="11776" xr:uid="{3B06EFF7-8F28-4724-9D32-1977513F16DE}"/>
    <cellStyle name="40% - Accent3 2 3 3 2 4" xfId="20224" xr:uid="{9A47E85C-7F38-45F9-AD9D-FCE6F44D0B9B}"/>
    <cellStyle name="40% - Accent3 2 3 3 2 5" xfId="28671" xr:uid="{487EE955-ADAC-496D-8439-BAEE093DBF96}"/>
    <cellStyle name="40% - Accent3 2 3 3 3" xfId="5399" xr:uid="{00000000-0005-0000-0000-000033050000}"/>
    <cellStyle name="40% - Accent3 2 3 3 3 2" xfId="13849" xr:uid="{D40BEBC3-9314-4F65-95A4-DC32C72350D1}"/>
    <cellStyle name="40% - Accent3 2 3 3 3 3" xfId="22296" xr:uid="{0C23945B-AA4C-4A3B-A249-954B60E3CE28}"/>
    <cellStyle name="40% - Accent3 2 3 3 3 4" xfId="30743" xr:uid="{0BC288DA-70E3-4CBF-852B-9BE7A315A09D}"/>
    <cellStyle name="40% - Accent3 2 3 3 4" xfId="9631" xr:uid="{0D060742-3AC1-4965-A2EE-7FB093F74388}"/>
    <cellStyle name="40% - Accent3 2 3 3 5" xfId="18079" xr:uid="{031770D3-55E4-4D0B-A2A4-9E24C2113D76}"/>
    <cellStyle name="40% - Accent3 2 3 3 6" xfId="26526" xr:uid="{923066C1-7100-4777-AB8A-DA7F869D4BC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5F2F7669-FEEB-4E59-8106-F770383E14DC}"/>
    <cellStyle name="40% - Accent3 2 3 4 2 2 3" xfId="24854" xr:uid="{379BEA37-6110-4FA6-8165-2323186ACFE4}"/>
    <cellStyle name="40% - Accent3 2 3 4 2 2 4" xfId="33301" xr:uid="{0CD5D2A1-B3A0-40F3-9CD9-7805B873BD1D}"/>
    <cellStyle name="40% - Accent3 2 3 4 2 3" xfId="12189" xr:uid="{6571DE32-E889-4D17-9BDD-5E1C7E9C1ADE}"/>
    <cellStyle name="40% - Accent3 2 3 4 2 4" xfId="20637" xr:uid="{B2CB81B1-C5D4-4756-8A6E-227BFD1F8E92}"/>
    <cellStyle name="40% - Accent3 2 3 4 2 5" xfId="29084" xr:uid="{D08E9928-48F3-4359-8CD3-9F93C450B0C2}"/>
    <cellStyle name="40% - Accent3 2 3 4 3" xfId="5812" xr:uid="{00000000-0005-0000-0000-000037050000}"/>
    <cellStyle name="40% - Accent3 2 3 4 3 2" xfId="14262" xr:uid="{977E9F45-8703-443E-BF6E-A53FAEE566C0}"/>
    <cellStyle name="40% - Accent3 2 3 4 3 3" xfId="22709" xr:uid="{A6DE8DCC-4E22-46E9-A7E8-83BA22ABB09E}"/>
    <cellStyle name="40% - Accent3 2 3 4 3 4" xfId="31156" xr:uid="{0A799D65-4A38-49D7-BA4F-10315074782F}"/>
    <cellStyle name="40% - Accent3 2 3 4 4" xfId="10044" xr:uid="{5D5C50ED-694E-41C2-93AE-F69C71EC9FDB}"/>
    <cellStyle name="40% - Accent3 2 3 4 5" xfId="18492" xr:uid="{320A2D4D-1346-425B-A4A8-00616FD889FF}"/>
    <cellStyle name="40% - Accent3 2 3 4 6" xfId="26939" xr:uid="{DFA0178E-A17F-42CA-A01D-DDC964784CBE}"/>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E7801F9C-971F-4CFC-AA62-68D35C01E7C1}"/>
    <cellStyle name="40% - Accent3 2 3 5 2 2 3" xfId="25267" xr:uid="{A0609941-1C77-4D45-903F-8584DCADC0AB}"/>
    <cellStyle name="40% - Accent3 2 3 5 2 2 4" xfId="33714" xr:uid="{C0468E05-E161-4BA7-B919-1592E26BE905}"/>
    <cellStyle name="40% - Accent3 2 3 5 2 3" xfId="12602" xr:uid="{DFBADCD5-AC1F-4724-9020-DBC38C47DF2F}"/>
    <cellStyle name="40% - Accent3 2 3 5 2 4" xfId="21050" xr:uid="{E073562F-D337-4614-B789-0A0F29AAF876}"/>
    <cellStyle name="40% - Accent3 2 3 5 2 5" xfId="29497" xr:uid="{2FDDB6B4-C5CA-484D-9BC7-612B6DF86D09}"/>
    <cellStyle name="40% - Accent3 2 3 5 3" xfId="6225" xr:uid="{00000000-0005-0000-0000-00003B050000}"/>
    <cellStyle name="40% - Accent3 2 3 5 3 2" xfId="14675" xr:uid="{A0AD3F9D-9E91-441D-81C8-2CB1065E2472}"/>
    <cellStyle name="40% - Accent3 2 3 5 3 3" xfId="23122" xr:uid="{3EB76414-E9EF-4B4D-92D7-26C64BDEE6C8}"/>
    <cellStyle name="40% - Accent3 2 3 5 3 4" xfId="31569" xr:uid="{82A6F0CE-89C9-4AA4-B460-3E6F517094CC}"/>
    <cellStyle name="40% - Accent3 2 3 5 4" xfId="10457" xr:uid="{1749EDA5-9493-41AC-814F-4136C2719761}"/>
    <cellStyle name="40% - Accent3 2 3 5 5" xfId="18905" xr:uid="{F81717DF-083B-4B98-AF29-CAF96806DAD0}"/>
    <cellStyle name="40% - Accent3 2 3 5 6" xfId="27352" xr:uid="{5C2BC0A4-AB20-44EB-8D49-1B5FCDE9CDB9}"/>
    <cellStyle name="40% - Accent3 2 3 6" xfId="2332" xr:uid="{00000000-0005-0000-0000-00003C050000}"/>
    <cellStyle name="40% - Accent3 2 3 6 2" xfId="6638" xr:uid="{00000000-0005-0000-0000-00003D050000}"/>
    <cellStyle name="40% - Accent3 2 3 6 2 2" xfId="15088" xr:uid="{CD0709CC-ED23-4E71-8510-02A2EB596B4D}"/>
    <cellStyle name="40% - Accent3 2 3 6 2 3" xfId="23535" xr:uid="{D15EBC82-2EA2-4A43-BA27-584C63BD65B3}"/>
    <cellStyle name="40% - Accent3 2 3 6 2 4" xfId="31982" xr:uid="{00AD6CEB-8CD6-41C3-B942-7E65B9D7E8F6}"/>
    <cellStyle name="40% - Accent3 2 3 6 3" xfId="10870" xr:uid="{5B0DA212-1B6C-457A-9C30-10A449097533}"/>
    <cellStyle name="40% - Accent3 2 3 6 4" xfId="19318" xr:uid="{33B46106-FEF0-45E1-84DE-35BCD7CF7963}"/>
    <cellStyle name="40% - Accent3 2 3 6 5" xfId="27765" xr:uid="{5A359A7A-1DA6-4740-9CF2-FC621A997D14}"/>
    <cellStyle name="40% - Accent3 2 3 7" xfId="4572" xr:uid="{00000000-0005-0000-0000-00003E050000}"/>
    <cellStyle name="40% - Accent3 2 3 7 2" xfId="13022" xr:uid="{8C3A08B8-BC5A-469E-B539-6ADFB767E572}"/>
    <cellStyle name="40% - Accent3 2 3 7 3" xfId="21469" xr:uid="{DFE0D816-6972-41B0-83FB-B216FCFFE4F3}"/>
    <cellStyle name="40% - Accent3 2 3 7 4" xfId="29916" xr:uid="{9201BAB8-F25C-4CBC-A097-3AC0FE5FE9B1}"/>
    <cellStyle name="40% - Accent3 2 3 8" xfId="8804" xr:uid="{53CC8B29-2581-4619-A63A-4E3BC73A7BB6}"/>
    <cellStyle name="40% - Accent3 2 3 9" xfId="17252" xr:uid="{1CB500B0-7B8A-4366-98DE-26D0AD36584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831D5162-0525-40DB-A211-EAF756AF51F0}"/>
    <cellStyle name="40% - Accent3 2 4 2 2 3" xfId="24025" xr:uid="{D5D8FBAF-9335-4B93-93E4-5B855D8A721E}"/>
    <cellStyle name="40% - Accent3 2 4 2 2 4" xfId="32472" xr:uid="{19559ACA-691C-46CF-B3B6-9076DD9B3C04}"/>
    <cellStyle name="40% - Accent3 2 4 2 3" xfId="11360" xr:uid="{D34FCFA7-49D9-499D-B383-C16CB637C3FF}"/>
    <cellStyle name="40% - Accent3 2 4 2 4" xfId="19808" xr:uid="{E3826EC2-A4F1-4CC2-8230-25115A2C5645}"/>
    <cellStyle name="40% - Accent3 2 4 2 5" xfId="28255" xr:uid="{5E4B13E9-F6D7-4AA3-9FBD-F82FD4817F30}"/>
    <cellStyle name="40% - Accent3 2 4 3" xfId="4983" xr:uid="{00000000-0005-0000-0000-000042050000}"/>
    <cellStyle name="40% - Accent3 2 4 3 2" xfId="13433" xr:uid="{0A237952-6A7A-4CD8-9C7B-C265E5FF8C0C}"/>
    <cellStyle name="40% - Accent3 2 4 3 3" xfId="21880" xr:uid="{1A46B110-9D62-4352-927D-F595E698CF07}"/>
    <cellStyle name="40% - Accent3 2 4 3 4" xfId="30327" xr:uid="{15ED170A-1DB9-46B6-A416-77BE92A640C0}"/>
    <cellStyle name="40% - Accent3 2 4 4" xfId="9215" xr:uid="{E169840E-DCF5-4CEC-A906-E8F9D2D32723}"/>
    <cellStyle name="40% - Accent3 2 4 5" xfId="17663" xr:uid="{B923A7BE-A8F4-4459-B0D9-65CB362FDCD8}"/>
    <cellStyle name="40% - Accent3 2 4 6" xfId="26110" xr:uid="{9F61E784-A07E-4D53-B8A7-9B214B0103AB}"/>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209B5D77-235C-4A72-A509-9EE7241364AD}"/>
    <cellStyle name="40% - Accent3 2 5 2 2 3" xfId="24438" xr:uid="{DA063D15-7C5D-453F-95A5-917D37426543}"/>
    <cellStyle name="40% - Accent3 2 5 2 2 4" xfId="32885" xr:uid="{9C84DB94-0B8F-467A-83B7-05DB58CD2F6B}"/>
    <cellStyle name="40% - Accent3 2 5 2 3" xfId="11773" xr:uid="{7B25EFE0-21A4-428C-BF34-104BB6F5998A}"/>
    <cellStyle name="40% - Accent3 2 5 2 4" xfId="20221" xr:uid="{1FAABD72-4C9E-440F-8FC0-1187C5D18523}"/>
    <cellStyle name="40% - Accent3 2 5 2 5" xfId="28668" xr:uid="{F916D22E-408C-408D-AE9C-0FC46FF607DE}"/>
    <cellStyle name="40% - Accent3 2 5 3" xfId="5396" xr:uid="{00000000-0005-0000-0000-000046050000}"/>
    <cellStyle name="40% - Accent3 2 5 3 2" xfId="13846" xr:uid="{5BC5B9F5-3838-49F6-B345-50821A65DB44}"/>
    <cellStyle name="40% - Accent3 2 5 3 3" xfId="22293" xr:uid="{E7403D40-6E72-4EE4-9613-088819B61CC3}"/>
    <cellStyle name="40% - Accent3 2 5 3 4" xfId="30740" xr:uid="{7B4E15EB-8DBD-4EBA-8FFB-F3056BF59AB4}"/>
    <cellStyle name="40% - Accent3 2 5 4" xfId="9628" xr:uid="{7866157D-2B9A-4FBD-9485-A72B6F5E2EA9}"/>
    <cellStyle name="40% - Accent3 2 5 5" xfId="18076" xr:uid="{DCC60269-2741-4B46-B98D-FE03FDA3E573}"/>
    <cellStyle name="40% - Accent3 2 5 6" xfId="26523" xr:uid="{6E523853-A0A0-4B2C-A350-EB96F50BCE17}"/>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D50D9562-3D97-4961-BF41-9D633DE259B4}"/>
    <cellStyle name="40% - Accent3 2 6 2 2 3" xfId="24851" xr:uid="{259B59F4-44AD-42D4-8ED2-A1B927C832AA}"/>
    <cellStyle name="40% - Accent3 2 6 2 2 4" xfId="33298" xr:uid="{0FB763F6-69C6-4996-89BA-85E75F1F5FDD}"/>
    <cellStyle name="40% - Accent3 2 6 2 3" xfId="12186" xr:uid="{8E0C58F1-C48D-4750-AEFF-A5DC83AFDA1D}"/>
    <cellStyle name="40% - Accent3 2 6 2 4" xfId="20634" xr:uid="{0AAE8DDF-9B8B-4997-9FEA-2BE152DB91FB}"/>
    <cellStyle name="40% - Accent3 2 6 2 5" xfId="29081" xr:uid="{2427127C-176F-426A-85DC-8B59C7E9192B}"/>
    <cellStyle name="40% - Accent3 2 6 3" xfId="5809" xr:uid="{00000000-0005-0000-0000-00004A050000}"/>
    <cellStyle name="40% - Accent3 2 6 3 2" xfId="14259" xr:uid="{CE51EC1B-C5B4-4684-9FB9-EF78942ADF79}"/>
    <cellStyle name="40% - Accent3 2 6 3 3" xfId="22706" xr:uid="{E1AEDE5D-D4AD-4966-8ABF-51F67225C536}"/>
    <cellStyle name="40% - Accent3 2 6 3 4" xfId="31153" xr:uid="{44CF78BB-356C-4B50-97AE-78EC519F1FFD}"/>
    <cellStyle name="40% - Accent3 2 6 4" xfId="10041" xr:uid="{43682D55-B9E2-4614-9A29-E435E3E2F073}"/>
    <cellStyle name="40% - Accent3 2 6 5" xfId="18489" xr:uid="{2E23FC27-8F7F-475A-A40C-F3C046CB6783}"/>
    <cellStyle name="40% - Accent3 2 6 6" xfId="26936" xr:uid="{29A93DD9-3345-4573-9837-EC7AF7D660C1}"/>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4A1D4387-5758-401A-8C9E-3A4E49BC68FB}"/>
    <cellStyle name="40% - Accent3 2 7 2 2 3" xfId="25264" xr:uid="{8DEC736B-FCE0-46DF-97A8-8A3E69385D42}"/>
    <cellStyle name="40% - Accent3 2 7 2 2 4" xfId="33711" xr:uid="{AC0B188E-37A9-4800-9DCC-048766BB95D5}"/>
    <cellStyle name="40% - Accent3 2 7 2 3" xfId="12599" xr:uid="{53B183EA-1E36-4054-BAF1-45338D65F143}"/>
    <cellStyle name="40% - Accent3 2 7 2 4" xfId="21047" xr:uid="{6BF9AF94-575C-4DF5-8334-FF6ACA28FA3F}"/>
    <cellStyle name="40% - Accent3 2 7 2 5" xfId="29494" xr:uid="{7A4C8551-03B5-4A31-885B-814AF8D67E70}"/>
    <cellStyle name="40% - Accent3 2 7 3" xfId="6222" xr:uid="{00000000-0005-0000-0000-00004E050000}"/>
    <cellStyle name="40% - Accent3 2 7 3 2" xfId="14672" xr:uid="{6A9967FB-97EE-43C8-B16A-B4B75C5B7198}"/>
    <cellStyle name="40% - Accent3 2 7 3 3" xfId="23119" xr:uid="{28DF8DFE-F615-4F51-924F-F1F9219483B5}"/>
    <cellStyle name="40% - Accent3 2 7 3 4" xfId="31566" xr:uid="{233122F6-38CF-4729-B4DB-FC4F948297FF}"/>
    <cellStyle name="40% - Accent3 2 7 4" xfId="10454" xr:uid="{614B3E81-E121-4604-9457-946C2E67B759}"/>
    <cellStyle name="40% - Accent3 2 7 5" xfId="18902" xr:uid="{4DDB961C-5D47-4E74-B96E-33561BFE981E}"/>
    <cellStyle name="40% - Accent3 2 7 6" xfId="27349" xr:uid="{9A8AA038-628B-4977-AC8B-2418960F83E1}"/>
    <cellStyle name="40% - Accent3 2 8" xfId="2329" xr:uid="{00000000-0005-0000-0000-00004F050000}"/>
    <cellStyle name="40% - Accent3 2 8 2" xfId="6635" xr:uid="{00000000-0005-0000-0000-000050050000}"/>
    <cellStyle name="40% - Accent3 2 8 2 2" xfId="15085" xr:uid="{B0BEDD40-2928-4002-84A4-1AE3B90B7E7D}"/>
    <cellStyle name="40% - Accent3 2 8 2 3" xfId="23532" xr:uid="{6216ED23-4E5C-4BDA-8EA4-22BA1AE389CB}"/>
    <cellStyle name="40% - Accent3 2 8 2 4" xfId="31979" xr:uid="{31148EFD-51A3-4944-8D7F-A7CF0185E561}"/>
    <cellStyle name="40% - Accent3 2 8 3" xfId="10867" xr:uid="{34BF5765-7855-412B-9915-D7394DF81193}"/>
    <cellStyle name="40% - Accent3 2 8 4" xfId="19315" xr:uid="{DBF268AE-D0A1-45C0-85A9-2FA668C85E64}"/>
    <cellStyle name="40% - Accent3 2 8 5" xfId="27762" xr:uid="{C38B2044-A097-4C3C-BC5F-EB49EE18BFA6}"/>
    <cellStyle name="40% - Accent3 2 9" xfId="4569" xr:uid="{00000000-0005-0000-0000-000051050000}"/>
    <cellStyle name="40% - Accent3 2 9 2" xfId="13019" xr:uid="{F93F582B-0A2B-4576-9D5B-DD86EA3B879F}"/>
    <cellStyle name="40% - Accent3 2 9 3" xfId="21466" xr:uid="{81636F71-0D5D-4E73-AD7E-45B9C46D0E3D}"/>
    <cellStyle name="40% - Accent3 2 9 4" xfId="29913" xr:uid="{2B6DEFD4-8CBD-4A51-9BA4-CFED43E31630}"/>
    <cellStyle name="40% - Accent3 3" xfId="70" xr:uid="{00000000-0005-0000-0000-000052050000}"/>
    <cellStyle name="40% - Accent3 3 10" xfId="17253" xr:uid="{A1226A3F-046D-4A44-923D-FC39B86D27DA}"/>
    <cellStyle name="40% - Accent3 3 11" xfId="25700" xr:uid="{88ED63C2-B9A5-456C-83E6-36B41B174851}"/>
    <cellStyle name="40% - Accent3 3 2" xfId="71" xr:uid="{00000000-0005-0000-0000-000053050000}"/>
    <cellStyle name="40% - Accent3 3 2 10" xfId="25701" xr:uid="{CE5305CC-91AE-4399-B77E-4386CDB9E864}"/>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390EDA68-3872-463B-94C0-1A1988F4611E}"/>
    <cellStyle name="40% - Accent3 3 2 2 2 2 3" xfId="24030" xr:uid="{AB46013A-ECFD-4E31-9C3D-8CE15A8046DA}"/>
    <cellStyle name="40% - Accent3 3 2 2 2 2 4" xfId="32477" xr:uid="{CD21CCD7-4C95-47EE-852C-AA08E3EFEE31}"/>
    <cellStyle name="40% - Accent3 3 2 2 2 3" xfId="11365" xr:uid="{D56F1CDA-74FD-46D2-AF02-93F6F58DBA0B}"/>
    <cellStyle name="40% - Accent3 3 2 2 2 4" xfId="19813" xr:uid="{696128B8-5F9E-4F4A-BCA4-1F7E58A367DA}"/>
    <cellStyle name="40% - Accent3 3 2 2 2 5" xfId="28260" xr:uid="{42F7150D-490D-4DFA-B90A-84F4B2E275BC}"/>
    <cellStyle name="40% - Accent3 3 2 2 3" xfId="4988" xr:uid="{00000000-0005-0000-0000-000057050000}"/>
    <cellStyle name="40% - Accent3 3 2 2 3 2" xfId="13438" xr:uid="{9C87B0DE-2B37-4A36-91CB-1E4207906911}"/>
    <cellStyle name="40% - Accent3 3 2 2 3 3" xfId="21885" xr:uid="{BF3A3323-6E65-4C77-8AF9-01BBCFCBC5E4}"/>
    <cellStyle name="40% - Accent3 3 2 2 3 4" xfId="30332" xr:uid="{C76CBDBB-7E10-4490-A04B-F10BB88751EE}"/>
    <cellStyle name="40% - Accent3 3 2 2 4" xfId="9220" xr:uid="{D2C6B41F-45F6-4E1A-AD9D-25C265597E4E}"/>
    <cellStyle name="40% - Accent3 3 2 2 5" xfId="17668" xr:uid="{5C43ACFB-DEA6-478A-8B86-A59C555DEABA}"/>
    <cellStyle name="40% - Accent3 3 2 2 6" xfId="26115" xr:uid="{20C4EC1A-9A60-4B09-BCB9-03B796290666}"/>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43DD887D-61CE-479D-8871-4BD6343D43FD}"/>
    <cellStyle name="40% - Accent3 3 2 3 2 2 3" xfId="24443" xr:uid="{EAA4F7AC-7143-4D0D-B77E-04B5844C31AC}"/>
    <cellStyle name="40% - Accent3 3 2 3 2 2 4" xfId="32890" xr:uid="{74527887-5C77-450A-B6E1-EA4E816F99FB}"/>
    <cellStyle name="40% - Accent3 3 2 3 2 3" xfId="11778" xr:uid="{B3035C41-8244-429B-9B2D-7A9808F2E048}"/>
    <cellStyle name="40% - Accent3 3 2 3 2 4" xfId="20226" xr:uid="{7E940142-BCB5-487D-BA6D-F59930EF11F9}"/>
    <cellStyle name="40% - Accent3 3 2 3 2 5" xfId="28673" xr:uid="{A2A7B94A-B59F-4232-8624-53F71F35E386}"/>
    <cellStyle name="40% - Accent3 3 2 3 3" xfId="5401" xr:uid="{00000000-0005-0000-0000-00005B050000}"/>
    <cellStyle name="40% - Accent3 3 2 3 3 2" xfId="13851" xr:uid="{F08035E1-8011-442B-A90A-D807F9B75DAE}"/>
    <cellStyle name="40% - Accent3 3 2 3 3 3" xfId="22298" xr:uid="{B7610F85-5A7B-4625-B2CE-D1C3B192EFF1}"/>
    <cellStyle name="40% - Accent3 3 2 3 3 4" xfId="30745" xr:uid="{EA71A027-D290-450B-86C3-F19407698171}"/>
    <cellStyle name="40% - Accent3 3 2 3 4" xfId="9633" xr:uid="{AE6C8CA4-562D-423E-B6C5-EF2858D89198}"/>
    <cellStyle name="40% - Accent3 3 2 3 5" xfId="18081" xr:uid="{E0F2938D-80BC-4562-BC19-61C26F3E62F4}"/>
    <cellStyle name="40% - Accent3 3 2 3 6" xfId="26528" xr:uid="{95F4E865-DBC6-469E-AF54-44DD7B5BB50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6E81BAF2-6FFA-48DF-B779-AA1A5E91F19A}"/>
    <cellStyle name="40% - Accent3 3 2 4 2 2 3" xfId="24856" xr:uid="{AE7EE1F0-11E5-47F4-8CD0-D29300006A4A}"/>
    <cellStyle name="40% - Accent3 3 2 4 2 2 4" xfId="33303" xr:uid="{1C009F0E-0E67-4478-B5D0-D429A9D8909C}"/>
    <cellStyle name="40% - Accent3 3 2 4 2 3" xfId="12191" xr:uid="{A309DD97-A825-472B-830A-8F08F808187B}"/>
    <cellStyle name="40% - Accent3 3 2 4 2 4" xfId="20639" xr:uid="{7DD85683-09AF-4887-B133-5DA34AA7FF6F}"/>
    <cellStyle name="40% - Accent3 3 2 4 2 5" xfId="29086" xr:uid="{A7C8A77A-CE94-4973-A299-5BA899718C95}"/>
    <cellStyle name="40% - Accent3 3 2 4 3" xfId="5814" xr:uid="{00000000-0005-0000-0000-00005F050000}"/>
    <cellStyle name="40% - Accent3 3 2 4 3 2" xfId="14264" xr:uid="{8FE6DC1F-FFF9-4E40-B67E-2B2333512779}"/>
    <cellStyle name="40% - Accent3 3 2 4 3 3" xfId="22711" xr:uid="{15844635-39E2-4800-AABA-65F40352075D}"/>
    <cellStyle name="40% - Accent3 3 2 4 3 4" xfId="31158" xr:uid="{96C68A67-8D91-469C-A0AB-C9341994F7C1}"/>
    <cellStyle name="40% - Accent3 3 2 4 4" xfId="10046" xr:uid="{95514272-5B6D-4477-B989-C5F10C0EDD35}"/>
    <cellStyle name="40% - Accent3 3 2 4 5" xfId="18494" xr:uid="{C8178B4F-9312-476A-8ABD-6C59961E7E19}"/>
    <cellStyle name="40% - Accent3 3 2 4 6" xfId="26941" xr:uid="{10EB457C-1A59-4D49-9692-8B4246CEE90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E2B3698E-B9FD-46D5-8541-BAFF480B4C98}"/>
    <cellStyle name="40% - Accent3 3 2 5 2 2 3" xfId="25269" xr:uid="{71EF0ABB-13D7-4B78-BD60-15D20337A058}"/>
    <cellStyle name="40% - Accent3 3 2 5 2 2 4" xfId="33716" xr:uid="{0DF54906-91AD-47A8-9883-4D6D9E4386DC}"/>
    <cellStyle name="40% - Accent3 3 2 5 2 3" xfId="12604" xr:uid="{099895F5-2061-488D-96A0-53EED74B35A4}"/>
    <cellStyle name="40% - Accent3 3 2 5 2 4" xfId="21052" xr:uid="{BB1AA8E4-71D2-4D00-87AA-AF35EAAF5111}"/>
    <cellStyle name="40% - Accent3 3 2 5 2 5" xfId="29499" xr:uid="{E685C877-6FD2-44F4-96EB-CEB0358414A3}"/>
    <cellStyle name="40% - Accent3 3 2 5 3" xfId="6227" xr:uid="{00000000-0005-0000-0000-000063050000}"/>
    <cellStyle name="40% - Accent3 3 2 5 3 2" xfId="14677" xr:uid="{59DC87F7-309F-4A8C-B1C8-A869C5D08E6B}"/>
    <cellStyle name="40% - Accent3 3 2 5 3 3" xfId="23124" xr:uid="{7141E56F-FDB9-4B3A-935D-3127749AAB78}"/>
    <cellStyle name="40% - Accent3 3 2 5 3 4" xfId="31571" xr:uid="{6BBAFEC9-ED41-47AA-9A0D-A7EBA128D163}"/>
    <cellStyle name="40% - Accent3 3 2 5 4" xfId="10459" xr:uid="{C85FF57B-EE5D-4661-99B0-E2BFC8DA771B}"/>
    <cellStyle name="40% - Accent3 3 2 5 5" xfId="18907" xr:uid="{F93EB8D3-B7C4-4D80-98E7-FC4D4365CE9D}"/>
    <cellStyle name="40% - Accent3 3 2 5 6" xfId="27354" xr:uid="{E603388F-D175-4249-93BE-F47412DF66D3}"/>
    <cellStyle name="40% - Accent3 3 2 6" xfId="2334" xr:uid="{00000000-0005-0000-0000-000064050000}"/>
    <cellStyle name="40% - Accent3 3 2 6 2" xfId="6640" xr:uid="{00000000-0005-0000-0000-000065050000}"/>
    <cellStyle name="40% - Accent3 3 2 6 2 2" xfId="15090" xr:uid="{FC2C2F37-1DCB-4E8E-A86B-06F383AD402D}"/>
    <cellStyle name="40% - Accent3 3 2 6 2 3" xfId="23537" xr:uid="{2A1D08A7-FF73-46C7-A199-9CB8D76DD0E3}"/>
    <cellStyle name="40% - Accent3 3 2 6 2 4" xfId="31984" xr:uid="{7D235506-C967-4534-83BC-907000BD8F8A}"/>
    <cellStyle name="40% - Accent3 3 2 6 3" xfId="10872" xr:uid="{DEEE015A-AC02-4986-8464-44EBCB2610A5}"/>
    <cellStyle name="40% - Accent3 3 2 6 4" xfId="19320" xr:uid="{E7DDD436-18DE-40F5-AA5A-D206878F567C}"/>
    <cellStyle name="40% - Accent3 3 2 6 5" xfId="27767" xr:uid="{864624E3-58AD-4D18-B632-DD13DE4C3572}"/>
    <cellStyle name="40% - Accent3 3 2 7" xfId="4574" xr:uid="{00000000-0005-0000-0000-000066050000}"/>
    <cellStyle name="40% - Accent3 3 2 7 2" xfId="13024" xr:uid="{140510F9-FBC0-473A-A82E-9C98B551ABF7}"/>
    <cellStyle name="40% - Accent3 3 2 7 3" xfId="21471" xr:uid="{C44CB86B-E0AE-40E5-A9DD-218A655CC668}"/>
    <cellStyle name="40% - Accent3 3 2 7 4" xfId="29918" xr:uid="{E12F6F25-14D3-45C9-856A-DEAFB13F1170}"/>
    <cellStyle name="40% - Accent3 3 2 8" xfId="8806" xr:uid="{CFA83F85-B88A-465D-BBE7-FB73EE36DE55}"/>
    <cellStyle name="40% - Accent3 3 2 9" xfId="17254" xr:uid="{0291A354-A69B-4957-B82B-21CB12FF58F8}"/>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978F3F50-421A-4018-B220-CB6C25114ADE}"/>
    <cellStyle name="40% - Accent3 3 3 2 2 3" xfId="24029" xr:uid="{0A42F783-7BF1-427B-8F03-33A33CC612F4}"/>
    <cellStyle name="40% - Accent3 3 3 2 2 4" xfId="32476" xr:uid="{17E10D43-198D-4F76-8E32-015A4130C8EB}"/>
    <cellStyle name="40% - Accent3 3 3 2 3" xfId="11364" xr:uid="{39A021DD-63D4-4003-96E7-3203F59E442C}"/>
    <cellStyle name="40% - Accent3 3 3 2 4" xfId="19812" xr:uid="{20933A66-0385-429B-8EA4-8ACB520CDE4D}"/>
    <cellStyle name="40% - Accent3 3 3 2 5" xfId="28259" xr:uid="{249337E8-29B2-4EE3-9C34-39A55F1D7935}"/>
    <cellStyle name="40% - Accent3 3 3 3" xfId="4987" xr:uid="{00000000-0005-0000-0000-00006A050000}"/>
    <cellStyle name="40% - Accent3 3 3 3 2" xfId="13437" xr:uid="{8C1447E3-5036-49CB-8767-FF0BFC33BC59}"/>
    <cellStyle name="40% - Accent3 3 3 3 3" xfId="21884" xr:uid="{332F8501-A79F-46B7-8D2C-F86726CEC516}"/>
    <cellStyle name="40% - Accent3 3 3 3 4" xfId="30331" xr:uid="{A021D4EE-A57B-4B29-968F-6739902F3D01}"/>
    <cellStyle name="40% - Accent3 3 3 4" xfId="9219" xr:uid="{B4DD430D-66FE-4633-BE3C-4FED65A0012F}"/>
    <cellStyle name="40% - Accent3 3 3 5" xfId="17667" xr:uid="{0304C637-CB19-4D1F-B9B1-373C6B7FD65A}"/>
    <cellStyle name="40% - Accent3 3 3 6" xfId="26114" xr:uid="{1483532B-5885-4080-84E3-7A89896F37E3}"/>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0446FA87-E40E-4BCE-9500-2DEC9EE9997F}"/>
    <cellStyle name="40% - Accent3 3 4 2 2 3" xfId="24442" xr:uid="{87CF681F-77D6-4FD9-BAF7-263780CBF87F}"/>
    <cellStyle name="40% - Accent3 3 4 2 2 4" xfId="32889" xr:uid="{E1D2E824-938C-4ABB-A181-6593904C9C82}"/>
    <cellStyle name="40% - Accent3 3 4 2 3" xfId="11777" xr:uid="{ADAFEA05-9A65-45BF-AE14-E197957AE907}"/>
    <cellStyle name="40% - Accent3 3 4 2 4" xfId="20225" xr:uid="{87668E67-F7F0-486B-B4B1-AE483D11E85B}"/>
    <cellStyle name="40% - Accent3 3 4 2 5" xfId="28672" xr:uid="{B437536F-371A-4D22-B18A-9C912C0C8FFD}"/>
    <cellStyle name="40% - Accent3 3 4 3" xfId="5400" xr:uid="{00000000-0005-0000-0000-00006E050000}"/>
    <cellStyle name="40% - Accent3 3 4 3 2" xfId="13850" xr:uid="{9FC42131-4982-4FEA-AF29-F1D09806E9DF}"/>
    <cellStyle name="40% - Accent3 3 4 3 3" xfId="22297" xr:uid="{40449356-2262-4D3A-AF98-B8036E17A553}"/>
    <cellStyle name="40% - Accent3 3 4 3 4" xfId="30744" xr:uid="{23474360-5351-4CC7-A37C-E4998461E06E}"/>
    <cellStyle name="40% - Accent3 3 4 4" xfId="9632" xr:uid="{B2EDA091-DF38-4B56-AE5E-7FDA7E1FCB73}"/>
    <cellStyle name="40% - Accent3 3 4 5" xfId="18080" xr:uid="{6870A8CA-0737-4391-BC5A-3246C0EA0358}"/>
    <cellStyle name="40% - Accent3 3 4 6" xfId="26527" xr:uid="{3331C02D-63B4-4632-9F1E-C7F68960A0EA}"/>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B6728039-AB93-4B70-8763-7C3DDB053611}"/>
    <cellStyle name="40% - Accent3 3 5 2 2 3" xfId="24855" xr:uid="{EF5A5A4B-EDE2-4FCF-8693-F900FE32D901}"/>
    <cellStyle name="40% - Accent3 3 5 2 2 4" xfId="33302" xr:uid="{18920F21-00B4-4C5E-AA01-F65DF5F2E0AF}"/>
    <cellStyle name="40% - Accent3 3 5 2 3" xfId="12190" xr:uid="{322800E2-C5C5-4235-8B95-7B33C0D5F5B9}"/>
    <cellStyle name="40% - Accent3 3 5 2 4" xfId="20638" xr:uid="{0EB5B0FC-4FFC-465B-89ED-2ADD0C7D7996}"/>
    <cellStyle name="40% - Accent3 3 5 2 5" xfId="29085" xr:uid="{B93533E3-CA38-4C4C-94D2-AABA33F8BE07}"/>
    <cellStyle name="40% - Accent3 3 5 3" xfId="5813" xr:uid="{00000000-0005-0000-0000-000072050000}"/>
    <cellStyle name="40% - Accent3 3 5 3 2" xfId="14263" xr:uid="{6FD2BF35-93F2-4F91-86F4-14E474C836AE}"/>
    <cellStyle name="40% - Accent3 3 5 3 3" xfId="22710" xr:uid="{E79B8EDC-E649-4319-A1CD-0E43601A8C2A}"/>
    <cellStyle name="40% - Accent3 3 5 3 4" xfId="31157" xr:uid="{29BAE97F-6C00-45FD-819C-655D653C01A9}"/>
    <cellStyle name="40% - Accent3 3 5 4" xfId="10045" xr:uid="{0CBC9802-FFD7-4577-A7A3-91F836D3BCC7}"/>
    <cellStyle name="40% - Accent3 3 5 5" xfId="18493" xr:uid="{75519846-3426-4471-8990-F623902A052E}"/>
    <cellStyle name="40% - Accent3 3 5 6" xfId="26940" xr:uid="{ABE83ACF-F260-4CA6-8B52-F45E6C4E683D}"/>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CE082EC3-15D7-4ECB-AB2A-C7854BEBDA84}"/>
    <cellStyle name="40% - Accent3 3 6 2 2 3" xfId="25268" xr:uid="{DD2F28BB-5837-40E0-833C-2723B51FDE5C}"/>
    <cellStyle name="40% - Accent3 3 6 2 2 4" xfId="33715" xr:uid="{2F26BD48-7C27-4BD8-A1C3-9AA41AE6FADE}"/>
    <cellStyle name="40% - Accent3 3 6 2 3" xfId="12603" xr:uid="{3469AE91-C879-46DE-8053-19E3B7033EAE}"/>
    <cellStyle name="40% - Accent3 3 6 2 4" xfId="21051" xr:uid="{7987E7FD-211B-412D-BDC6-227FA7FBBDFD}"/>
    <cellStyle name="40% - Accent3 3 6 2 5" xfId="29498" xr:uid="{8C6DBB0B-F08F-4144-BEC7-379475D497FD}"/>
    <cellStyle name="40% - Accent3 3 6 3" xfId="6226" xr:uid="{00000000-0005-0000-0000-000076050000}"/>
    <cellStyle name="40% - Accent3 3 6 3 2" xfId="14676" xr:uid="{FF26820E-E722-4F6A-A7D0-3439F6C123E5}"/>
    <cellStyle name="40% - Accent3 3 6 3 3" xfId="23123" xr:uid="{2C0EF4FA-439B-472D-B636-78DE1E3BE947}"/>
    <cellStyle name="40% - Accent3 3 6 3 4" xfId="31570" xr:uid="{92269630-503C-49A7-857E-FD47F9843E87}"/>
    <cellStyle name="40% - Accent3 3 6 4" xfId="10458" xr:uid="{022E143E-16D8-4622-87AC-E44629A2E679}"/>
    <cellStyle name="40% - Accent3 3 6 5" xfId="18906" xr:uid="{1B422858-52E6-4CC8-87B8-066805586E3C}"/>
    <cellStyle name="40% - Accent3 3 6 6" xfId="27353" xr:uid="{5580EE44-8F72-43E8-8A9B-D95E320F82D1}"/>
    <cellStyle name="40% - Accent3 3 7" xfId="2333" xr:uid="{00000000-0005-0000-0000-000077050000}"/>
    <cellStyle name="40% - Accent3 3 7 2" xfId="6639" xr:uid="{00000000-0005-0000-0000-000078050000}"/>
    <cellStyle name="40% - Accent3 3 7 2 2" xfId="15089" xr:uid="{878B58B8-2D60-4F2A-ACFF-075C90061D82}"/>
    <cellStyle name="40% - Accent3 3 7 2 3" xfId="23536" xr:uid="{A2D2BAE6-3440-4E91-BE2F-918387192EEA}"/>
    <cellStyle name="40% - Accent3 3 7 2 4" xfId="31983" xr:uid="{C77C59D2-54C7-4A0B-901B-FACAE6658AA9}"/>
    <cellStyle name="40% - Accent3 3 7 3" xfId="10871" xr:uid="{8DD13E51-2FAF-416D-A829-853F92649461}"/>
    <cellStyle name="40% - Accent3 3 7 4" xfId="19319" xr:uid="{AB651C11-DB90-49F9-B209-D4EF8E818C34}"/>
    <cellStyle name="40% - Accent3 3 7 5" xfId="27766" xr:uid="{BCCBD104-342B-4042-A244-DB55D77DC01F}"/>
    <cellStyle name="40% - Accent3 3 8" xfId="4573" xr:uid="{00000000-0005-0000-0000-000079050000}"/>
    <cellStyle name="40% - Accent3 3 8 2" xfId="13023" xr:uid="{15166C7A-1E4D-483C-BBBD-11B061322845}"/>
    <cellStyle name="40% - Accent3 3 8 3" xfId="21470" xr:uid="{D20EE792-5986-4526-851A-839F75CA619A}"/>
    <cellStyle name="40% - Accent3 3 8 4" xfId="29917" xr:uid="{9B01EC71-42C5-4ED2-8F75-9B3DDA2E6841}"/>
    <cellStyle name="40% - Accent3 3 9" xfId="8805" xr:uid="{912FB92A-3A53-4E8E-ADAA-FCB6196F7A3F}"/>
    <cellStyle name="40% - Accent3 4" xfId="72" xr:uid="{00000000-0005-0000-0000-00007A050000}"/>
    <cellStyle name="40% - Accent3 4 10" xfId="25702" xr:uid="{D8399109-697F-4282-B584-DBC3391E711C}"/>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7001DBCD-E998-4B88-873C-EB848A9A5735}"/>
    <cellStyle name="40% - Accent3 4 2 2 2 3" xfId="24031" xr:uid="{8256B6EC-1579-4D0D-A14F-EC1AF4A7D1E4}"/>
    <cellStyle name="40% - Accent3 4 2 2 2 4" xfId="32478" xr:uid="{9353A68D-5F1A-49C4-B1D7-58A8F54AA181}"/>
    <cellStyle name="40% - Accent3 4 2 2 3" xfId="11366" xr:uid="{BE57E7AC-C46D-40AF-A1A5-CBCD6AE51593}"/>
    <cellStyle name="40% - Accent3 4 2 2 4" xfId="19814" xr:uid="{CD4A5CAD-5352-4652-AF12-862828D1109B}"/>
    <cellStyle name="40% - Accent3 4 2 2 5" xfId="28261" xr:uid="{33E971DF-948C-447B-83AE-81E132C1324A}"/>
    <cellStyle name="40% - Accent3 4 2 3" xfId="4989" xr:uid="{00000000-0005-0000-0000-00007E050000}"/>
    <cellStyle name="40% - Accent3 4 2 3 2" xfId="13439" xr:uid="{C03C727B-7A20-4725-8AA8-B8BC0EBFF857}"/>
    <cellStyle name="40% - Accent3 4 2 3 3" xfId="21886" xr:uid="{B982BC0E-FCA6-4443-82C3-BF5D025A7ABA}"/>
    <cellStyle name="40% - Accent3 4 2 3 4" xfId="30333" xr:uid="{45E0B4BB-2C48-47D4-814D-12B6B92CADE5}"/>
    <cellStyle name="40% - Accent3 4 2 4" xfId="9221" xr:uid="{B86539A5-2335-4E2A-AEEE-EA201BEE94B9}"/>
    <cellStyle name="40% - Accent3 4 2 5" xfId="17669" xr:uid="{87A743BF-C7B9-4AF0-9DE2-CF74FD82C712}"/>
    <cellStyle name="40% - Accent3 4 2 6" xfId="26116" xr:uid="{31897FCA-813B-41FF-8359-32869DB68C8D}"/>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C783C04A-9934-4A7E-A3AA-2CB72BDE0AA1}"/>
    <cellStyle name="40% - Accent3 4 3 2 2 3" xfId="24444" xr:uid="{D3C23865-3A80-4F43-A439-42386A6490A5}"/>
    <cellStyle name="40% - Accent3 4 3 2 2 4" xfId="32891" xr:uid="{E615D5C0-3A9E-4EEE-AD87-3E1E64013AE6}"/>
    <cellStyle name="40% - Accent3 4 3 2 3" xfId="11779" xr:uid="{E756D7CF-14DE-4AE7-8B97-F51D7C531E5B}"/>
    <cellStyle name="40% - Accent3 4 3 2 4" xfId="20227" xr:uid="{7C80FEA2-67B1-4D56-8D9E-E49C0413837F}"/>
    <cellStyle name="40% - Accent3 4 3 2 5" xfId="28674" xr:uid="{0C20CB6D-A0A0-49D3-94E5-45BB890EABB0}"/>
    <cellStyle name="40% - Accent3 4 3 3" xfId="5402" xr:uid="{00000000-0005-0000-0000-000082050000}"/>
    <cellStyle name="40% - Accent3 4 3 3 2" xfId="13852" xr:uid="{83013000-7A10-421D-A68B-8868F2D7F180}"/>
    <cellStyle name="40% - Accent3 4 3 3 3" xfId="22299" xr:uid="{47CB0988-85F2-452A-BD57-364194C10552}"/>
    <cellStyle name="40% - Accent3 4 3 3 4" xfId="30746" xr:uid="{3E2C6F35-2604-4AE7-BA02-8C5957B2E8E6}"/>
    <cellStyle name="40% - Accent3 4 3 4" xfId="9634" xr:uid="{9011EAD2-B184-4332-B2CE-7D1411166578}"/>
    <cellStyle name="40% - Accent3 4 3 5" xfId="18082" xr:uid="{DB8A842C-F319-46EF-9780-2DFB4BE43F6B}"/>
    <cellStyle name="40% - Accent3 4 3 6" xfId="26529" xr:uid="{975E5E14-6F35-4199-904B-A726436EFA52}"/>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1DA33CDF-37BC-4617-8743-E4C052B921C0}"/>
    <cellStyle name="40% - Accent3 4 4 2 2 3" xfId="24857" xr:uid="{A6918895-E308-4218-9389-C4645D9CC39C}"/>
    <cellStyle name="40% - Accent3 4 4 2 2 4" xfId="33304" xr:uid="{D95DD7D3-5FF0-4F27-98D9-590CD7AAE9DE}"/>
    <cellStyle name="40% - Accent3 4 4 2 3" xfId="12192" xr:uid="{37F25A9E-9A84-4EE5-A347-E2FD7B732A63}"/>
    <cellStyle name="40% - Accent3 4 4 2 4" xfId="20640" xr:uid="{3ACE50D4-7A89-4FC7-A301-674AA8704A8A}"/>
    <cellStyle name="40% - Accent3 4 4 2 5" xfId="29087" xr:uid="{60E7D3D2-2FD7-496C-B6AD-AC050EA02736}"/>
    <cellStyle name="40% - Accent3 4 4 3" xfId="5815" xr:uid="{00000000-0005-0000-0000-000086050000}"/>
    <cellStyle name="40% - Accent3 4 4 3 2" xfId="14265" xr:uid="{C0B03CD6-DAAB-4F5A-AD8C-FADB89AE010B}"/>
    <cellStyle name="40% - Accent3 4 4 3 3" xfId="22712" xr:uid="{0A01979A-699A-441A-AD81-898194BE6E17}"/>
    <cellStyle name="40% - Accent3 4 4 3 4" xfId="31159" xr:uid="{330DEC59-5DF0-4B44-AEF4-3F1498A2F067}"/>
    <cellStyle name="40% - Accent3 4 4 4" xfId="10047" xr:uid="{C2C55735-28C5-4312-8C98-4AE31E057E66}"/>
    <cellStyle name="40% - Accent3 4 4 5" xfId="18495" xr:uid="{5E1AA8CD-BEE6-4D46-A015-51D3F97CECE4}"/>
    <cellStyle name="40% - Accent3 4 4 6" xfId="26942" xr:uid="{F8570C9E-AEF0-45DA-B412-FF3A52B6DFE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01AA556A-1BFF-46B0-96D0-11E03FB0B244}"/>
    <cellStyle name="40% - Accent3 4 5 2 2 3" xfId="25270" xr:uid="{1F92FFB9-4DD2-45B2-B755-D12693160AF4}"/>
    <cellStyle name="40% - Accent3 4 5 2 2 4" xfId="33717" xr:uid="{9D73BB19-77EB-482E-8E50-2D51C8EF4903}"/>
    <cellStyle name="40% - Accent3 4 5 2 3" xfId="12605" xr:uid="{B10F660F-0089-47E0-8BC5-0BBD80D6E42A}"/>
    <cellStyle name="40% - Accent3 4 5 2 4" xfId="21053" xr:uid="{A98C3977-DAAE-4421-8F06-0A2A194BC505}"/>
    <cellStyle name="40% - Accent3 4 5 2 5" xfId="29500" xr:uid="{B8DD81F6-0680-49B3-B421-290F428E89F3}"/>
    <cellStyle name="40% - Accent3 4 5 3" xfId="6228" xr:uid="{00000000-0005-0000-0000-00008A050000}"/>
    <cellStyle name="40% - Accent3 4 5 3 2" xfId="14678" xr:uid="{50370570-E488-4563-A24E-CBC1F22EE0C0}"/>
    <cellStyle name="40% - Accent3 4 5 3 3" xfId="23125" xr:uid="{B15653F2-B65E-4235-BBB4-B5B1A12ACF61}"/>
    <cellStyle name="40% - Accent3 4 5 3 4" xfId="31572" xr:uid="{7B3EE3D0-B6FA-4EC7-BD9A-C5B694144F46}"/>
    <cellStyle name="40% - Accent3 4 5 4" xfId="10460" xr:uid="{0AC8E5F7-B3C1-4D96-AD13-289063365124}"/>
    <cellStyle name="40% - Accent3 4 5 5" xfId="18908" xr:uid="{0CBB49F2-D7CB-48A0-82A3-00AF1034436F}"/>
    <cellStyle name="40% - Accent3 4 5 6" xfId="27355" xr:uid="{BFD3D687-0D47-4B70-B731-FCB904BF71B6}"/>
    <cellStyle name="40% - Accent3 4 6" xfId="2335" xr:uid="{00000000-0005-0000-0000-00008B050000}"/>
    <cellStyle name="40% - Accent3 4 6 2" xfId="6641" xr:uid="{00000000-0005-0000-0000-00008C050000}"/>
    <cellStyle name="40% - Accent3 4 6 2 2" xfId="15091" xr:uid="{BA6F4C9E-BCE4-45A4-9949-24762DDF27CC}"/>
    <cellStyle name="40% - Accent3 4 6 2 3" xfId="23538" xr:uid="{7F827749-C7F0-4FD0-8705-F175A3C215FF}"/>
    <cellStyle name="40% - Accent3 4 6 2 4" xfId="31985" xr:uid="{876B31EA-67D5-4663-B759-F507D4AA1F87}"/>
    <cellStyle name="40% - Accent3 4 6 3" xfId="10873" xr:uid="{2AD186D7-49FC-4B0E-9EAF-701E7BC1318C}"/>
    <cellStyle name="40% - Accent3 4 6 4" xfId="19321" xr:uid="{829EC149-2730-4439-851E-FEB76AC4AEAF}"/>
    <cellStyle name="40% - Accent3 4 6 5" xfId="27768" xr:uid="{B90B3EEA-E131-45FF-AAD8-43AC1B384D1E}"/>
    <cellStyle name="40% - Accent3 4 7" xfId="4575" xr:uid="{00000000-0005-0000-0000-00008D050000}"/>
    <cellStyle name="40% - Accent3 4 7 2" xfId="13025" xr:uid="{DB6D07F9-C1E5-4EBE-9FC8-F7F6ADD778B1}"/>
    <cellStyle name="40% - Accent3 4 7 3" xfId="21472" xr:uid="{7D8FEA97-9C6D-49D6-8121-94FA85EF2349}"/>
    <cellStyle name="40% - Accent3 4 7 4" xfId="29919" xr:uid="{E609D61A-114F-4682-ABB6-5633249B6F34}"/>
    <cellStyle name="40% - Accent3 4 8" xfId="8807" xr:uid="{EF4B06D1-F981-4042-8DA9-1008B3A43CFD}"/>
    <cellStyle name="40% - Accent3 4 9" xfId="17255" xr:uid="{3DBE00F0-37FD-44A3-B59E-087CAEA166BC}"/>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5F5491A5-5BFB-4D21-914B-0039F58512F5}"/>
    <cellStyle name="40% - Accent3 5 2 2 3" xfId="24024" xr:uid="{3E788A8E-D203-4B9F-9995-986569DFA767}"/>
    <cellStyle name="40% - Accent3 5 2 2 4" xfId="32471" xr:uid="{03C6F172-3A3C-48B4-8567-BA2036CF02F7}"/>
    <cellStyle name="40% - Accent3 5 2 3" xfId="11359" xr:uid="{3B1E511E-95F6-4FA0-B614-37F2152763CF}"/>
    <cellStyle name="40% - Accent3 5 2 4" xfId="19807" xr:uid="{99E09127-51C0-4B7A-ACFA-3B6273FC6629}"/>
    <cellStyle name="40% - Accent3 5 2 5" xfId="28254" xr:uid="{CB859077-2959-4A88-A1DD-4159170F72A9}"/>
    <cellStyle name="40% - Accent3 5 3" xfId="4982" xr:uid="{00000000-0005-0000-0000-000091050000}"/>
    <cellStyle name="40% - Accent3 5 3 2" xfId="13432" xr:uid="{FDA11D04-E0CA-4A46-AEC9-B9E6903EA649}"/>
    <cellStyle name="40% - Accent3 5 3 3" xfId="21879" xr:uid="{45EAD190-51BD-4D15-8F28-C7A89C2FE855}"/>
    <cellStyle name="40% - Accent3 5 3 4" xfId="30326" xr:uid="{674DEEFF-E3AD-4E6D-A4A7-68F589C27046}"/>
    <cellStyle name="40% - Accent3 5 4" xfId="9214" xr:uid="{E71BC610-12D3-4FB1-BB37-C9D73AD3487A}"/>
    <cellStyle name="40% - Accent3 5 5" xfId="17662" xr:uid="{56546F7D-FF1E-473A-9F87-35C366EF6FEE}"/>
    <cellStyle name="40% - Accent3 5 6" xfId="26109" xr:uid="{3A0A2AF3-09F9-4560-B016-42DFEB8B4BAC}"/>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7CA0E031-4096-4A0D-B666-1F37B4741764}"/>
    <cellStyle name="40% - Accent3 6 2 2 3" xfId="24437" xr:uid="{3D220E4F-509B-4808-A448-CFE66B061C1A}"/>
    <cellStyle name="40% - Accent3 6 2 2 4" xfId="32884" xr:uid="{40A854AC-D12D-4C41-8621-9AF4ADD07617}"/>
    <cellStyle name="40% - Accent3 6 2 3" xfId="11772" xr:uid="{90A822B4-2090-4DFB-A1A5-5B4911B0B18A}"/>
    <cellStyle name="40% - Accent3 6 2 4" xfId="20220" xr:uid="{D0F6BCD9-59E5-43C8-B246-ADD374A6C6B6}"/>
    <cellStyle name="40% - Accent3 6 2 5" xfId="28667" xr:uid="{57717D00-B2A0-498F-AF16-CDCE96CB6FEA}"/>
    <cellStyle name="40% - Accent3 6 3" xfId="5395" xr:uid="{00000000-0005-0000-0000-000095050000}"/>
    <cellStyle name="40% - Accent3 6 3 2" xfId="13845" xr:uid="{B5E161A7-C331-4724-B186-0EDD8732A9D4}"/>
    <cellStyle name="40% - Accent3 6 3 3" xfId="22292" xr:uid="{2643DE42-5FEA-46DB-A220-32B9B41CBB03}"/>
    <cellStyle name="40% - Accent3 6 3 4" xfId="30739" xr:uid="{85FF4D22-92E6-4FDE-889B-D27C428625B9}"/>
    <cellStyle name="40% - Accent3 6 4" xfId="9627" xr:uid="{794F0C63-9198-495D-8FA7-F48132678E5C}"/>
    <cellStyle name="40% - Accent3 6 5" xfId="18075" xr:uid="{81713270-37CC-46E0-9C37-61FBDF5AA86A}"/>
    <cellStyle name="40% - Accent3 6 6" xfId="26522" xr:uid="{1AEABB88-74D1-475C-8F79-50849ED84787}"/>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340036A1-DF30-4EA1-8AAE-66A9F07BEFB3}"/>
    <cellStyle name="40% - Accent3 7 2 2 3" xfId="24850" xr:uid="{A4E0658C-094A-408B-A6E4-BE7C8BE1D044}"/>
    <cellStyle name="40% - Accent3 7 2 2 4" xfId="33297" xr:uid="{D5ED38F1-4AC8-4582-8D1E-44C29D5FC16B}"/>
    <cellStyle name="40% - Accent3 7 2 3" xfId="12185" xr:uid="{7541CF9D-5F0C-4705-8D38-0455CAFE90CE}"/>
    <cellStyle name="40% - Accent3 7 2 4" xfId="20633" xr:uid="{DDE82189-18C0-4D19-AA7E-7C6F39029336}"/>
    <cellStyle name="40% - Accent3 7 2 5" xfId="29080" xr:uid="{0F046885-6E47-42F1-9D5B-EFE9F837BCF2}"/>
    <cellStyle name="40% - Accent3 7 3" xfId="5808" xr:uid="{00000000-0005-0000-0000-000099050000}"/>
    <cellStyle name="40% - Accent3 7 3 2" xfId="14258" xr:uid="{E4E74CF5-88C5-465D-B2F9-DF374606A0FC}"/>
    <cellStyle name="40% - Accent3 7 3 3" xfId="22705" xr:uid="{32C561C8-3E75-4C6F-B8DC-06BF2ADFFDC1}"/>
    <cellStyle name="40% - Accent3 7 3 4" xfId="31152" xr:uid="{E337227F-4B23-4A4A-AE37-1F26FCCFF385}"/>
    <cellStyle name="40% - Accent3 7 4" xfId="10040" xr:uid="{8A54B30E-446D-486E-AA96-8AA08751048D}"/>
    <cellStyle name="40% - Accent3 7 5" xfId="18488" xr:uid="{6BA667B4-50A4-4BFC-8D95-2D479CF317C1}"/>
    <cellStyle name="40% - Accent3 7 6" xfId="26935" xr:uid="{B373A46F-2849-4B21-84FD-C8DFCBEB5B52}"/>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35371DF1-6E4D-4EB2-B240-8DEF0DBB0E72}"/>
    <cellStyle name="40% - Accent3 8 2 2 3" xfId="25263" xr:uid="{62EEB465-3278-4D37-B991-C0A0474436F2}"/>
    <cellStyle name="40% - Accent3 8 2 2 4" xfId="33710" xr:uid="{2DCF79D1-E7A5-4DD6-B8D9-DB3269D8E9E0}"/>
    <cellStyle name="40% - Accent3 8 2 3" xfId="12598" xr:uid="{AF8ADE71-29C9-47EF-A3AB-356F2F6331B9}"/>
    <cellStyle name="40% - Accent3 8 2 4" xfId="21046" xr:uid="{D291F9BD-A74C-457E-B960-7DFC38615B82}"/>
    <cellStyle name="40% - Accent3 8 2 5" xfId="29493" xr:uid="{E1A046D7-32BC-4BD7-9627-496B36A86549}"/>
    <cellStyle name="40% - Accent3 8 3" xfId="6221" xr:uid="{00000000-0005-0000-0000-00009D050000}"/>
    <cellStyle name="40% - Accent3 8 3 2" xfId="14671" xr:uid="{56FA1A6A-FC7D-45C8-90AB-6CDC06E701E2}"/>
    <cellStyle name="40% - Accent3 8 3 3" xfId="23118" xr:uid="{278D710E-58A3-47C9-953B-496E20B3AB11}"/>
    <cellStyle name="40% - Accent3 8 3 4" xfId="31565" xr:uid="{32BAE513-103C-41D6-9674-217AE53CC947}"/>
    <cellStyle name="40% - Accent3 8 4" xfId="10453" xr:uid="{AE03BC4B-7402-4AB3-9C93-1E538F212858}"/>
    <cellStyle name="40% - Accent3 8 5" xfId="18901" xr:uid="{34BCAD36-504C-4B79-881D-AC82C3341AAA}"/>
    <cellStyle name="40% - Accent3 8 6" xfId="27348" xr:uid="{FEE7E0DB-3270-4A93-9328-4DECF9B3B65F}"/>
    <cellStyle name="40% - Accent3 9" xfId="2328" xr:uid="{00000000-0005-0000-0000-00009E050000}"/>
    <cellStyle name="40% - Accent3 9 2" xfId="6634" xr:uid="{00000000-0005-0000-0000-00009F050000}"/>
    <cellStyle name="40% - Accent3 9 2 2" xfId="15084" xr:uid="{2F93E4A1-98C9-46AF-BB48-E597FEE0FD98}"/>
    <cellStyle name="40% - Accent3 9 2 3" xfId="23531" xr:uid="{863D4CE7-5B7C-4DCE-8FCF-7B90A594310D}"/>
    <cellStyle name="40% - Accent3 9 2 4" xfId="31978" xr:uid="{ED8E1947-F90E-4FDB-ACD5-48EB48AA4A50}"/>
    <cellStyle name="40% - Accent3 9 3" xfId="10866" xr:uid="{EA57B330-81B2-4281-8A42-F06686125CFD}"/>
    <cellStyle name="40% - Accent3 9 4" xfId="19314" xr:uid="{5082B759-63F5-4EB3-898B-5CE2F90F9CDB}"/>
    <cellStyle name="40% - Accent3 9 5" xfId="27761" xr:uid="{3174B5FE-7866-4893-A09B-D4B71B2063D5}"/>
    <cellStyle name="40% - Accent4" xfId="73" builtinId="43" customBuiltin="1"/>
    <cellStyle name="40% - Accent4 10" xfId="4576" xr:uid="{00000000-0005-0000-0000-0000A1050000}"/>
    <cellStyle name="40% - Accent4 10 2" xfId="13026" xr:uid="{C3A6E106-94C1-4AB2-88CC-D312479CECF2}"/>
    <cellStyle name="40% - Accent4 10 3" xfId="21473" xr:uid="{2BDCA972-D8F7-41A2-8A36-D1452CB262DC}"/>
    <cellStyle name="40% - Accent4 10 4" xfId="29920" xr:uid="{CBD9F2F5-C04B-4340-B163-39C33CF69D92}"/>
    <cellStyle name="40% - Accent4 11" xfId="8808" xr:uid="{FA09923B-3423-422F-A8D9-7FB22C8C0601}"/>
    <cellStyle name="40% - Accent4 12" xfId="17256" xr:uid="{60AEBF14-5A37-4438-B167-16E1861247F6}"/>
    <cellStyle name="40% - Accent4 13" xfId="25703" xr:uid="{22486216-6D71-47E9-926F-1DB134D098B1}"/>
    <cellStyle name="40% - Accent4 2" xfId="74" xr:uid="{00000000-0005-0000-0000-0000A2050000}"/>
    <cellStyle name="40% - Accent4 2 10" xfId="8809" xr:uid="{CB143842-EDA5-4C6B-A53C-F394F78DDA7C}"/>
    <cellStyle name="40% - Accent4 2 11" xfId="17257" xr:uid="{876E3383-DB8D-45DF-A261-7B6DFCCE6011}"/>
    <cellStyle name="40% - Accent4 2 12" xfId="25704" xr:uid="{E0D1535A-500D-4833-8321-BAC61AB26F2F}"/>
    <cellStyle name="40% - Accent4 2 2" xfId="75" xr:uid="{00000000-0005-0000-0000-0000A3050000}"/>
    <cellStyle name="40% - Accent4 2 2 10" xfId="17258" xr:uid="{8D977B2E-A88A-4966-95EB-3539CDF22793}"/>
    <cellStyle name="40% - Accent4 2 2 11" xfId="25705" xr:uid="{0392A42B-9238-41C2-9742-B6AA18609E9D}"/>
    <cellStyle name="40% - Accent4 2 2 2" xfId="76" xr:uid="{00000000-0005-0000-0000-0000A4050000}"/>
    <cellStyle name="40% - Accent4 2 2 2 10" xfId="25706" xr:uid="{B1A8448C-2D82-4306-8B2A-C2C9D137773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0FA5494C-AC30-448E-BA2D-C957634C92BF}"/>
    <cellStyle name="40% - Accent4 2 2 2 2 2 2 3" xfId="24035" xr:uid="{B50421F8-AFDE-490C-B089-B4CE352F1718}"/>
    <cellStyle name="40% - Accent4 2 2 2 2 2 2 4" xfId="32482" xr:uid="{99689261-7042-44D2-808A-48962C188E15}"/>
    <cellStyle name="40% - Accent4 2 2 2 2 2 3" xfId="11370" xr:uid="{3C874752-9FB6-49DE-B538-E30E002569F4}"/>
    <cellStyle name="40% - Accent4 2 2 2 2 2 4" xfId="19818" xr:uid="{F22F5AFD-EFC0-415C-ADB1-1513964B7B7A}"/>
    <cellStyle name="40% - Accent4 2 2 2 2 2 5" xfId="28265" xr:uid="{4672BA32-4824-4366-9AAC-46EF2F150490}"/>
    <cellStyle name="40% - Accent4 2 2 2 2 3" xfId="4993" xr:uid="{00000000-0005-0000-0000-0000A8050000}"/>
    <cellStyle name="40% - Accent4 2 2 2 2 3 2" xfId="13443" xr:uid="{4AA70595-B1FE-48B4-B088-B60012E0BE43}"/>
    <cellStyle name="40% - Accent4 2 2 2 2 3 3" xfId="21890" xr:uid="{745438F8-2264-4FF9-87F3-02863DB39E3F}"/>
    <cellStyle name="40% - Accent4 2 2 2 2 3 4" xfId="30337" xr:uid="{A651206D-8D27-4DC5-90B2-939844EB8D14}"/>
    <cellStyle name="40% - Accent4 2 2 2 2 4" xfId="9225" xr:uid="{B2B95514-DF8B-4ED6-82B0-1F7E8E5A0E8D}"/>
    <cellStyle name="40% - Accent4 2 2 2 2 5" xfId="17673" xr:uid="{2571CDAB-377E-4A49-AAD8-E875D1774528}"/>
    <cellStyle name="40% - Accent4 2 2 2 2 6" xfId="26120" xr:uid="{80A50D9B-DFD7-401E-8F8C-D2C0A3C2E8B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AC5433A0-E9A8-4FD9-A4E1-6D15E6DEB681}"/>
    <cellStyle name="40% - Accent4 2 2 2 3 2 2 3" xfId="24448" xr:uid="{AB835852-210D-4162-AA22-ACBA13E56C60}"/>
    <cellStyle name="40% - Accent4 2 2 2 3 2 2 4" xfId="32895" xr:uid="{B32A3F4F-91ED-4B91-97B6-9308BE66F232}"/>
    <cellStyle name="40% - Accent4 2 2 2 3 2 3" xfId="11783" xr:uid="{4C7BE3FF-0394-411B-A18C-04CFB31F5A12}"/>
    <cellStyle name="40% - Accent4 2 2 2 3 2 4" xfId="20231" xr:uid="{93CA7FB8-5DF2-4808-BC70-BF25597A6B9E}"/>
    <cellStyle name="40% - Accent4 2 2 2 3 2 5" xfId="28678" xr:uid="{4C8AA700-C899-41B9-A1FC-F68A2F796762}"/>
    <cellStyle name="40% - Accent4 2 2 2 3 3" xfId="5406" xr:uid="{00000000-0005-0000-0000-0000AC050000}"/>
    <cellStyle name="40% - Accent4 2 2 2 3 3 2" xfId="13856" xr:uid="{B1C0EAD9-C455-40BC-B522-57597F8A371B}"/>
    <cellStyle name="40% - Accent4 2 2 2 3 3 3" xfId="22303" xr:uid="{4CFE5E13-2E24-4034-B715-7F91F2EEAF6D}"/>
    <cellStyle name="40% - Accent4 2 2 2 3 3 4" xfId="30750" xr:uid="{99B28E10-D2B3-4931-841A-475E94830C5E}"/>
    <cellStyle name="40% - Accent4 2 2 2 3 4" xfId="9638" xr:uid="{C8E97D6A-1F90-4EE3-A1C8-42F772133768}"/>
    <cellStyle name="40% - Accent4 2 2 2 3 5" xfId="18086" xr:uid="{17DABC0A-4B3A-450E-A8CE-BC50B93D1C4A}"/>
    <cellStyle name="40% - Accent4 2 2 2 3 6" xfId="26533" xr:uid="{E1C0FCB2-7FD8-4B5A-88C1-0E39F203FEB4}"/>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26230780-A6BB-442E-BEEF-8187BEDFFD4E}"/>
    <cellStyle name="40% - Accent4 2 2 2 4 2 2 3" xfId="24861" xr:uid="{A28612D3-537F-4016-AA23-7F944FE4B40E}"/>
    <cellStyle name="40% - Accent4 2 2 2 4 2 2 4" xfId="33308" xr:uid="{31F04384-6D51-4AC0-A27D-537CF7CFD8F9}"/>
    <cellStyle name="40% - Accent4 2 2 2 4 2 3" xfId="12196" xr:uid="{16BB5605-170C-4700-A888-14C4B86CEBE0}"/>
    <cellStyle name="40% - Accent4 2 2 2 4 2 4" xfId="20644" xr:uid="{141C3DFD-A5C7-4E14-9161-E3C241254B00}"/>
    <cellStyle name="40% - Accent4 2 2 2 4 2 5" xfId="29091" xr:uid="{A16347F0-C81E-44DF-B87A-011E5D075C34}"/>
    <cellStyle name="40% - Accent4 2 2 2 4 3" xfId="5819" xr:uid="{00000000-0005-0000-0000-0000B0050000}"/>
    <cellStyle name="40% - Accent4 2 2 2 4 3 2" xfId="14269" xr:uid="{BF9EA41B-4FE2-4483-AC86-E33C12B45A38}"/>
    <cellStyle name="40% - Accent4 2 2 2 4 3 3" xfId="22716" xr:uid="{E3C4735D-08B0-4829-91DF-5AB1470E5854}"/>
    <cellStyle name="40% - Accent4 2 2 2 4 3 4" xfId="31163" xr:uid="{BCC81551-8059-403E-8B19-0E10048E1A4D}"/>
    <cellStyle name="40% - Accent4 2 2 2 4 4" xfId="10051" xr:uid="{52310008-B48E-42FA-90AE-82C6554F6971}"/>
    <cellStyle name="40% - Accent4 2 2 2 4 5" xfId="18499" xr:uid="{C2E69DAF-446B-48B6-AC3D-E3B2E09CFB63}"/>
    <cellStyle name="40% - Accent4 2 2 2 4 6" xfId="26946" xr:uid="{C3862F9F-EDA3-439D-B43A-58ADB9C55A6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A0E28668-E9BC-4872-910C-2BE4B935CD98}"/>
    <cellStyle name="40% - Accent4 2 2 2 5 2 2 3" xfId="25274" xr:uid="{90363198-9E11-44D6-8482-AC0C860A91FA}"/>
    <cellStyle name="40% - Accent4 2 2 2 5 2 2 4" xfId="33721" xr:uid="{D6F1B73E-187B-4528-9405-09AB9535BCC4}"/>
    <cellStyle name="40% - Accent4 2 2 2 5 2 3" xfId="12609" xr:uid="{3D06A406-3DCC-41FC-99D8-9D8B3B08CA4E}"/>
    <cellStyle name="40% - Accent4 2 2 2 5 2 4" xfId="21057" xr:uid="{498008BA-8D09-4E7F-8749-0905BC185335}"/>
    <cellStyle name="40% - Accent4 2 2 2 5 2 5" xfId="29504" xr:uid="{C4EAADC3-D6E3-400F-A10D-5A145FEA8107}"/>
    <cellStyle name="40% - Accent4 2 2 2 5 3" xfId="6232" xr:uid="{00000000-0005-0000-0000-0000B4050000}"/>
    <cellStyle name="40% - Accent4 2 2 2 5 3 2" xfId="14682" xr:uid="{37746D49-6F72-40EB-ADED-2848D2233F94}"/>
    <cellStyle name="40% - Accent4 2 2 2 5 3 3" xfId="23129" xr:uid="{F420C891-FF73-4D83-95F7-2F2196FADD5B}"/>
    <cellStyle name="40% - Accent4 2 2 2 5 3 4" xfId="31576" xr:uid="{3BECDB30-6CE9-46F4-A41F-E45C3B56F518}"/>
    <cellStyle name="40% - Accent4 2 2 2 5 4" xfId="10464" xr:uid="{E59B8473-8409-4962-BFC3-2934C3170CCE}"/>
    <cellStyle name="40% - Accent4 2 2 2 5 5" xfId="18912" xr:uid="{E75C9877-A393-4AEF-9BA6-FD00DFBB22F2}"/>
    <cellStyle name="40% - Accent4 2 2 2 5 6" xfId="27359" xr:uid="{D5AE8007-06B8-4ED7-97C7-E2CFDA377E32}"/>
    <cellStyle name="40% - Accent4 2 2 2 6" xfId="2339" xr:uid="{00000000-0005-0000-0000-0000B5050000}"/>
    <cellStyle name="40% - Accent4 2 2 2 6 2" xfId="6645" xr:uid="{00000000-0005-0000-0000-0000B6050000}"/>
    <cellStyle name="40% - Accent4 2 2 2 6 2 2" xfId="15095" xr:uid="{60FEE078-9E99-4E34-BD4C-E75E61907B64}"/>
    <cellStyle name="40% - Accent4 2 2 2 6 2 3" xfId="23542" xr:uid="{01D12419-3E0A-4289-8673-531D5E8DF6BA}"/>
    <cellStyle name="40% - Accent4 2 2 2 6 2 4" xfId="31989" xr:uid="{211EC01F-D9EF-4912-89B9-EDA69B0C7081}"/>
    <cellStyle name="40% - Accent4 2 2 2 6 3" xfId="10877" xr:uid="{06F93B2F-90AD-4D20-9A3B-FA243DFFDDB1}"/>
    <cellStyle name="40% - Accent4 2 2 2 6 4" xfId="19325" xr:uid="{3115A426-4A80-47E6-A540-03B6C2251D7D}"/>
    <cellStyle name="40% - Accent4 2 2 2 6 5" xfId="27772" xr:uid="{D001F6D0-D211-4FD6-9CFA-08E3CCCBC6AD}"/>
    <cellStyle name="40% - Accent4 2 2 2 7" xfId="4579" xr:uid="{00000000-0005-0000-0000-0000B7050000}"/>
    <cellStyle name="40% - Accent4 2 2 2 7 2" xfId="13029" xr:uid="{CC26C8FB-1F13-4241-8D7C-7B47B585BBBE}"/>
    <cellStyle name="40% - Accent4 2 2 2 7 3" xfId="21476" xr:uid="{B7DFAE0B-729A-4FBE-B2B9-83CBCA530CAD}"/>
    <cellStyle name="40% - Accent4 2 2 2 7 4" xfId="29923" xr:uid="{C167E826-5E73-407D-8ADD-11AACD0666D7}"/>
    <cellStyle name="40% - Accent4 2 2 2 8" xfId="8811" xr:uid="{A252640B-A518-45C7-BCD8-E507C8EEC42C}"/>
    <cellStyle name="40% - Accent4 2 2 2 9" xfId="17259" xr:uid="{B7F5ACFC-093B-41FB-8B7E-CD1B69693C20}"/>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8DA62897-A08A-46CE-9D44-34F811E54D77}"/>
    <cellStyle name="40% - Accent4 2 2 3 2 2 3" xfId="24034" xr:uid="{D68CB7E2-4B92-4B81-8A11-1180B904BF59}"/>
    <cellStyle name="40% - Accent4 2 2 3 2 2 4" xfId="32481" xr:uid="{E40671A6-A049-42AE-899F-0D6BDFE15163}"/>
    <cellStyle name="40% - Accent4 2 2 3 2 3" xfId="11369" xr:uid="{00B75497-B11F-4D69-B7E3-46FDC1EAFCD2}"/>
    <cellStyle name="40% - Accent4 2 2 3 2 4" xfId="19817" xr:uid="{FD220D3A-AC72-4296-B4E7-1AD27E20E9F1}"/>
    <cellStyle name="40% - Accent4 2 2 3 2 5" xfId="28264" xr:uid="{8A8D8722-C60C-4B62-8575-1E159A1BE0B8}"/>
    <cellStyle name="40% - Accent4 2 2 3 3" xfId="4992" xr:uid="{00000000-0005-0000-0000-0000BB050000}"/>
    <cellStyle name="40% - Accent4 2 2 3 3 2" xfId="13442" xr:uid="{4695766F-495A-4896-9B3F-2D710F854170}"/>
    <cellStyle name="40% - Accent4 2 2 3 3 3" xfId="21889" xr:uid="{89597B0E-DC09-4032-81CA-9C3D68AA12C3}"/>
    <cellStyle name="40% - Accent4 2 2 3 3 4" xfId="30336" xr:uid="{978A92B2-67A1-4038-9CD1-18188F4F0578}"/>
    <cellStyle name="40% - Accent4 2 2 3 4" xfId="9224" xr:uid="{8A7AA9F6-CCBB-42CC-B48D-9A7A951701DD}"/>
    <cellStyle name="40% - Accent4 2 2 3 5" xfId="17672" xr:uid="{21460CD2-1F83-46DF-A2A2-D713C78269CE}"/>
    <cellStyle name="40% - Accent4 2 2 3 6" xfId="26119" xr:uid="{92D05202-7188-49F6-8EAE-E13E1C991E9C}"/>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E5D586CD-D115-4B5F-A399-E367B611445B}"/>
    <cellStyle name="40% - Accent4 2 2 4 2 2 3" xfId="24447" xr:uid="{E766C649-9D87-4701-B56B-00669A4C0A77}"/>
    <cellStyle name="40% - Accent4 2 2 4 2 2 4" xfId="32894" xr:uid="{F7E1EB16-6CEC-4F1F-B0A3-864D6B3644AB}"/>
    <cellStyle name="40% - Accent4 2 2 4 2 3" xfId="11782" xr:uid="{0923A82B-F362-4EFC-9791-48CA77BBB083}"/>
    <cellStyle name="40% - Accent4 2 2 4 2 4" xfId="20230" xr:uid="{2510C322-860D-4E46-A183-8560523D9DFD}"/>
    <cellStyle name="40% - Accent4 2 2 4 2 5" xfId="28677" xr:uid="{65C66B78-1787-4565-8EC7-AD443689B6D7}"/>
    <cellStyle name="40% - Accent4 2 2 4 3" xfId="5405" xr:uid="{00000000-0005-0000-0000-0000BF050000}"/>
    <cellStyle name="40% - Accent4 2 2 4 3 2" xfId="13855" xr:uid="{4002463C-E5A3-4746-A5A0-504A9EE03FCA}"/>
    <cellStyle name="40% - Accent4 2 2 4 3 3" xfId="22302" xr:uid="{9F22787D-A6A7-442B-8919-D562F7311B13}"/>
    <cellStyle name="40% - Accent4 2 2 4 3 4" xfId="30749" xr:uid="{37842FF3-97C9-4163-A918-4DA129AB14F1}"/>
    <cellStyle name="40% - Accent4 2 2 4 4" xfId="9637" xr:uid="{ACEDBE37-7711-4E86-8A10-766616036A9C}"/>
    <cellStyle name="40% - Accent4 2 2 4 5" xfId="18085" xr:uid="{797C47B7-4152-4AFC-88FC-7104E910263A}"/>
    <cellStyle name="40% - Accent4 2 2 4 6" xfId="26532" xr:uid="{2930B1A9-3BF7-43CC-9BCD-8D6E1FBFF819}"/>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4FD00629-0D9D-4084-890C-6F8BBBD679BA}"/>
    <cellStyle name="40% - Accent4 2 2 5 2 2 3" xfId="24860" xr:uid="{A9826EB4-741F-489C-B0C8-2BB1705EE548}"/>
    <cellStyle name="40% - Accent4 2 2 5 2 2 4" xfId="33307" xr:uid="{A7BA9B87-3124-43DF-91F3-633811030CF1}"/>
    <cellStyle name="40% - Accent4 2 2 5 2 3" xfId="12195" xr:uid="{1428ECAA-1526-46A8-93FB-E99CC1EC92CA}"/>
    <cellStyle name="40% - Accent4 2 2 5 2 4" xfId="20643" xr:uid="{1816754D-C297-4DF5-8C0B-D339589C9115}"/>
    <cellStyle name="40% - Accent4 2 2 5 2 5" xfId="29090" xr:uid="{801C5C86-9835-49EC-967F-57F37B356A6A}"/>
    <cellStyle name="40% - Accent4 2 2 5 3" xfId="5818" xr:uid="{00000000-0005-0000-0000-0000C3050000}"/>
    <cellStyle name="40% - Accent4 2 2 5 3 2" xfId="14268" xr:uid="{46897BB2-24A0-4D60-B982-6BBEFFD22929}"/>
    <cellStyle name="40% - Accent4 2 2 5 3 3" xfId="22715" xr:uid="{081C33B0-50C3-4AB7-9DC8-F525B52B32F5}"/>
    <cellStyle name="40% - Accent4 2 2 5 3 4" xfId="31162" xr:uid="{A0D03F96-CCD0-44E7-B218-0B9B21321F9F}"/>
    <cellStyle name="40% - Accent4 2 2 5 4" xfId="10050" xr:uid="{40D2D5F9-A5F7-4CA7-B1BE-9E3CBEC2E5DE}"/>
    <cellStyle name="40% - Accent4 2 2 5 5" xfId="18498" xr:uid="{E989137F-22F5-460B-AEF3-90863425E525}"/>
    <cellStyle name="40% - Accent4 2 2 5 6" xfId="26945" xr:uid="{00AC395B-3D88-49AD-9633-187667789945}"/>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ACD82036-4503-4C3C-843A-FA9B58AF108A}"/>
    <cellStyle name="40% - Accent4 2 2 6 2 2 3" xfId="25273" xr:uid="{47F0F0C2-CB14-4E93-9616-4008A6B48549}"/>
    <cellStyle name="40% - Accent4 2 2 6 2 2 4" xfId="33720" xr:uid="{2ECA1936-DE95-48AF-A094-8158EC39B502}"/>
    <cellStyle name="40% - Accent4 2 2 6 2 3" xfId="12608" xr:uid="{AC8BF8CD-D952-4D22-AB5E-513A3E142124}"/>
    <cellStyle name="40% - Accent4 2 2 6 2 4" xfId="21056" xr:uid="{87075F3C-72A8-4920-9C9C-B60F9A01283C}"/>
    <cellStyle name="40% - Accent4 2 2 6 2 5" xfId="29503" xr:uid="{D619AF66-E4EE-426A-AC9B-DDAE943EDF42}"/>
    <cellStyle name="40% - Accent4 2 2 6 3" xfId="6231" xr:uid="{00000000-0005-0000-0000-0000C7050000}"/>
    <cellStyle name="40% - Accent4 2 2 6 3 2" xfId="14681" xr:uid="{E35D68FA-867B-44BE-9F7E-55D08F12859F}"/>
    <cellStyle name="40% - Accent4 2 2 6 3 3" xfId="23128" xr:uid="{9C4AC49A-ACC5-4F6C-AAE0-6F91940F0C3D}"/>
    <cellStyle name="40% - Accent4 2 2 6 3 4" xfId="31575" xr:uid="{A2F5AD5E-43F5-407B-96ED-0EACAC233CD5}"/>
    <cellStyle name="40% - Accent4 2 2 6 4" xfId="10463" xr:uid="{4BA416E3-345A-45C3-81B9-69D1A6D2BCEB}"/>
    <cellStyle name="40% - Accent4 2 2 6 5" xfId="18911" xr:uid="{EF7D8B21-1DD4-4771-8988-BBD984C192DC}"/>
    <cellStyle name="40% - Accent4 2 2 6 6" xfId="27358" xr:uid="{4F143DC6-2FE5-4486-89BD-997ACFB47987}"/>
    <cellStyle name="40% - Accent4 2 2 7" xfId="2338" xr:uid="{00000000-0005-0000-0000-0000C8050000}"/>
    <cellStyle name="40% - Accent4 2 2 7 2" xfId="6644" xr:uid="{00000000-0005-0000-0000-0000C9050000}"/>
    <cellStyle name="40% - Accent4 2 2 7 2 2" xfId="15094" xr:uid="{1C60B70C-D428-4775-9A88-4A43C13A9539}"/>
    <cellStyle name="40% - Accent4 2 2 7 2 3" xfId="23541" xr:uid="{95200978-2A4A-4D92-A276-8287E56B9052}"/>
    <cellStyle name="40% - Accent4 2 2 7 2 4" xfId="31988" xr:uid="{420DB246-5B3B-4AA6-B882-011B4D67D8C2}"/>
    <cellStyle name="40% - Accent4 2 2 7 3" xfId="10876" xr:uid="{E7E307E0-9491-4031-BFF8-157706E2C85E}"/>
    <cellStyle name="40% - Accent4 2 2 7 4" xfId="19324" xr:uid="{C84E1020-5D81-4512-AC4A-22683A22296C}"/>
    <cellStyle name="40% - Accent4 2 2 7 5" xfId="27771" xr:uid="{3A2B939E-3EAB-4FD2-A118-B4B443BDFB47}"/>
    <cellStyle name="40% - Accent4 2 2 8" xfId="4578" xr:uid="{00000000-0005-0000-0000-0000CA050000}"/>
    <cellStyle name="40% - Accent4 2 2 8 2" xfId="13028" xr:uid="{92A61D5C-37BA-4237-9636-8766617711E5}"/>
    <cellStyle name="40% - Accent4 2 2 8 3" xfId="21475" xr:uid="{332C60B9-6167-49BA-90A5-F64D97611C20}"/>
    <cellStyle name="40% - Accent4 2 2 8 4" xfId="29922" xr:uid="{7389FA71-0CAF-443E-BEC5-99060F9622A7}"/>
    <cellStyle name="40% - Accent4 2 2 9" xfId="8810" xr:uid="{917E6B24-3080-45EC-9D76-685E0E83642E}"/>
    <cellStyle name="40% - Accent4 2 3" xfId="77" xr:uid="{00000000-0005-0000-0000-0000CB050000}"/>
    <cellStyle name="40% - Accent4 2 3 10" xfId="25707" xr:uid="{6A52F99C-EEEF-4DB0-9A57-9880CBD2D319}"/>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617AFADC-9C3D-49B5-AF4C-919EB9AB2FAB}"/>
    <cellStyle name="40% - Accent4 2 3 2 2 2 3" xfId="24036" xr:uid="{8843CF51-240C-452A-8D67-F9DD60F5C53E}"/>
    <cellStyle name="40% - Accent4 2 3 2 2 2 4" xfId="32483" xr:uid="{981CF669-692A-4A70-8079-D291B0C1B917}"/>
    <cellStyle name="40% - Accent4 2 3 2 2 3" xfId="11371" xr:uid="{4521F302-8EA8-4BDC-A91A-F94A1581DDA8}"/>
    <cellStyle name="40% - Accent4 2 3 2 2 4" xfId="19819" xr:uid="{F605C3D0-4346-4C24-BAC1-ABD0E3FFB5FE}"/>
    <cellStyle name="40% - Accent4 2 3 2 2 5" xfId="28266" xr:uid="{473CC738-B05B-49E7-8B05-D4D2A0AE7C51}"/>
    <cellStyle name="40% - Accent4 2 3 2 3" xfId="4994" xr:uid="{00000000-0005-0000-0000-0000CF050000}"/>
    <cellStyle name="40% - Accent4 2 3 2 3 2" xfId="13444" xr:uid="{998EB7A7-BC22-4F5A-9AB2-F9591A7BDEB5}"/>
    <cellStyle name="40% - Accent4 2 3 2 3 3" xfId="21891" xr:uid="{AC528DB4-AC7E-482C-959F-18D772757DA1}"/>
    <cellStyle name="40% - Accent4 2 3 2 3 4" xfId="30338" xr:uid="{D69E6482-2EB0-4A37-B4B2-56F41D301AF3}"/>
    <cellStyle name="40% - Accent4 2 3 2 4" xfId="9226" xr:uid="{751DB5FD-1BB6-4409-9DA3-2297B95AE3D9}"/>
    <cellStyle name="40% - Accent4 2 3 2 5" xfId="17674" xr:uid="{DB298492-78CA-44D2-A295-C1974623BE44}"/>
    <cellStyle name="40% - Accent4 2 3 2 6" xfId="26121" xr:uid="{D5D5E68F-BF92-493C-A646-49F24B21CCE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2A361D3E-CE21-436E-ADA1-F14A3C940A98}"/>
    <cellStyle name="40% - Accent4 2 3 3 2 2 3" xfId="24449" xr:uid="{81765DA6-6867-4CF9-843D-2D13297D2504}"/>
    <cellStyle name="40% - Accent4 2 3 3 2 2 4" xfId="32896" xr:uid="{C22B4792-3319-41AF-ACDC-72F90404F7C4}"/>
    <cellStyle name="40% - Accent4 2 3 3 2 3" xfId="11784" xr:uid="{1B4AD27B-B83D-4A69-AF34-10FF6B7CEFE9}"/>
    <cellStyle name="40% - Accent4 2 3 3 2 4" xfId="20232" xr:uid="{EEC090B3-F6E9-421A-88FF-9DCA97D4A0C2}"/>
    <cellStyle name="40% - Accent4 2 3 3 2 5" xfId="28679" xr:uid="{05E0EE47-1F60-4838-B51D-1BF815385543}"/>
    <cellStyle name="40% - Accent4 2 3 3 3" xfId="5407" xr:uid="{00000000-0005-0000-0000-0000D3050000}"/>
    <cellStyle name="40% - Accent4 2 3 3 3 2" xfId="13857" xr:uid="{64AC6F32-3675-4A05-9C46-78599935BDE2}"/>
    <cellStyle name="40% - Accent4 2 3 3 3 3" xfId="22304" xr:uid="{D2B2CE08-DD6E-41ED-AC66-EFD7DAACACCB}"/>
    <cellStyle name="40% - Accent4 2 3 3 3 4" xfId="30751" xr:uid="{1A63A1B4-7A64-42DE-95E5-86662B57F15B}"/>
    <cellStyle name="40% - Accent4 2 3 3 4" xfId="9639" xr:uid="{045514BA-8218-48AD-B954-FB069463A781}"/>
    <cellStyle name="40% - Accent4 2 3 3 5" xfId="18087" xr:uid="{05F93DA1-C71F-47E5-8720-48A61772C6BE}"/>
    <cellStyle name="40% - Accent4 2 3 3 6" xfId="26534" xr:uid="{6A126472-82E1-4407-BC4A-54425F1E12AF}"/>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5B83F3C3-2DFD-45AD-86BD-871BD765E0E1}"/>
    <cellStyle name="40% - Accent4 2 3 4 2 2 3" xfId="24862" xr:uid="{DE00BADA-C3DD-4CDA-A4A6-A2FD77D21D14}"/>
    <cellStyle name="40% - Accent4 2 3 4 2 2 4" xfId="33309" xr:uid="{B39E1B74-402C-4B28-BF0D-DBE0A7087D1F}"/>
    <cellStyle name="40% - Accent4 2 3 4 2 3" xfId="12197" xr:uid="{75215425-F88D-44EA-9ECA-76A1101181D4}"/>
    <cellStyle name="40% - Accent4 2 3 4 2 4" xfId="20645" xr:uid="{F05AE6BF-70CA-4B9D-B45F-1D524FD4A73F}"/>
    <cellStyle name="40% - Accent4 2 3 4 2 5" xfId="29092" xr:uid="{269AC26D-115A-46A7-B407-934E0A72AED3}"/>
    <cellStyle name="40% - Accent4 2 3 4 3" xfId="5820" xr:uid="{00000000-0005-0000-0000-0000D7050000}"/>
    <cellStyle name="40% - Accent4 2 3 4 3 2" xfId="14270" xr:uid="{D30D37B6-1D48-4FDD-94A7-23CCE53AAA37}"/>
    <cellStyle name="40% - Accent4 2 3 4 3 3" xfId="22717" xr:uid="{EB4D7C4E-546E-421C-BD44-9A992BE63899}"/>
    <cellStyle name="40% - Accent4 2 3 4 3 4" xfId="31164" xr:uid="{9B368E52-6929-48E3-A423-ED51F5FC2D54}"/>
    <cellStyle name="40% - Accent4 2 3 4 4" xfId="10052" xr:uid="{16A63F20-AA00-4729-A1BC-2D56A112F0AB}"/>
    <cellStyle name="40% - Accent4 2 3 4 5" xfId="18500" xr:uid="{29C3D5B9-B98E-4646-9CB3-01443DA627C1}"/>
    <cellStyle name="40% - Accent4 2 3 4 6" xfId="26947" xr:uid="{28D797E0-87AF-459C-955C-AAC606AA38B3}"/>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A63512DE-82E8-4D33-A6AB-781DBB98F1D0}"/>
    <cellStyle name="40% - Accent4 2 3 5 2 2 3" xfId="25275" xr:uid="{BBD84522-E964-40CE-B377-77A38BE61576}"/>
    <cellStyle name="40% - Accent4 2 3 5 2 2 4" xfId="33722" xr:uid="{4A1573A3-1323-4D0E-B189-CD8C96934876}"/>
    <cellStyle name="40% - Accent4 2 3 5 2 3" xfId="12610" xr:uid="{22D89637-244D-4E35-A4B4-EBF74A09D218}"/>
    <cellStyle name="40% - Accent4 2 3 5 2 4" xfId="21058" xr:uid="{F9D43C73-6322-4177-9F2E-50E3D68970ED}"/>
    <cellStyle name="40% - Accent4 2 3 5 2 5" xfId="29505" xr:uid="{63AFA7A3-9ADE-4F7D-A22D-932FAEB6E854}"/>
    <cellStyle name="40% - Accent4 2 3 5 3" xfId="6233" xr:uid="{00000000-0005-0000-0000-0000DB050000}"/>
    <cellStyle name="40% - Accent4 2 3 5 3 2" xfId="14683" xr:uid="{57B300E9-23EA-49DE-AABF-67829B4451B7}"/>
    <cellStyle name="40% - Accent4 2 3 5 3 3" xfId="23130" xr:uid="{579FC7BE-54F2-4917-BAA5-752B4D7A0F6F}"/>
    <cellStyle name="40% - Accent4 2 3 5 3 4" xfId="31577" xr:uid="{1BC99A68-CF20-47BE-92FE-A3A30E46853E}"/>
    <cellStyle name="40% - Accent4 2 3 5 4" xfId="10465" xr:uid="{20C76ECF-FD58-4034-971B-C23ACAC19047}"/>
    <cellStyle name="40% - Accent4 2 3 5 5" xfId="18913" xr:uid="{0ECDE137-F032-42E4-8AAF-4F831BA43857}"/>
    <cellStyle name="40% - Accent4 2 3 5 6" xfId="27360" xr:uid="{B3306597-327E-4A22-9490-B65311173DF6}"/>
    <cellStyle name="40% - Accent4 2 3 6" xfId="2340" xr:uid="{00000000-0005-0000-0000-0000DC050000}"/>
    <cellStyle name="40% - Accent4 2 3 6 2" xfId="6646" xr:uid="{00000000-0005-0000-0000-0000DD050000}"/>
    <cellStyle name="40% - Accent4 2 3 6 2 2" xfId="15096" xr:uid="{48983841-E1CA-468F-B879-5D61CB533D92}"/>
    <cellStyle name="40% - Accent4 2 3 6 2 3" xfId="23543" xr:uid="{42633FD2-2363-4A29-99C2-332C3537A685}"/>
    <cellStyle name="40% - Accent4 2 3 6 2 4" xfId="31990" xr:uid="{6726C09D-458F-45AD-84B5-7D1030F87C92}"/>
    <cellStyle name="40% - Accent4 2 3 6 3" xfId="10878" xr:uid="{5B521F53-9C3C-4286-B152-FD3C17DAF994}"/>
    <cellStyle name="40% - Accent4 2 3 6 4" xfId="19326" xr:uid="{ED211FC2-ED1D-489B-95E0-3B7CED9B6212}"/>
    <cellStyle name="40% - Accent4 2 3 6 5" xfId="27773" xr:uid="{855D4AD2-B640-4DA7-BF3B-58E722E34DC2}"/>
    <cellStyle name="40% - Accent4 2 3 7" xfId="4580" xr:uid="{00000000-0005-0000-0000-0000DE050000}"/>
    <cellStyle name="40% - Accent4 2 3 7 2" xfId="13030" xr:uid="{5FE05CFB-2AF3-407C-AEB0-A3F18CBE0056}"/>
    <cellStyle name="40% - Accent4 2 3 7 3" xfId="21477" xr:uid="{7A628400-AC42-4B73-82BB-3565D383829D}"/>
    <cellStyle name="40% - Accent4 2 3 7 4" xfId="29924" xr:uid="{8D1531B1-FA2D-431A-9F52-E8630790733F}"/>
    <cellStyle name="40% - Accent4 2 3 8" xfId="8812" xr:uid="{FCA287F8-2483-480B-8D9B-3661F639017E}"/>
    <cellStyle name="40% - Accent4 2 3 9" xfId="17260" xr:uid="{4D691F54-6A55-4349-B3D6-1539930686C7}"/>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1F250774-5739-4618-8999-4A8EF555E115}"/>
    <cellStyle name="40% - Accent4 2 4 2 2 3" xfId="24033" xr:uid="{C3E92882-1CE0-47B5-868B-7951478AE6B2}"/>
    <cellStyle name="40% - Accent4 2 4 2 2 4" xfId="32480" xr:uid="{EBFE0211-A4B8-4262-98FF-88D206065EB7}"/>
    <cellStyle name="40% - Accent4 2 4 2 3" xfId="11368" xr:uid="{D46ACF61-3362-485C-A27F-272009406664}"/>
    <cellStyle name="40% - Accent4 2 4 2 4" xfId="19816" xr:uid="{A5D8C0EA-7C29-4DF7-8451-67CC38906928}"/>
    <cellStyle name="40% - Accent4 2 4 2 5" xfId="28263" xr:uid="{7CB3FC7C-4362-4EA5-A743-C95647C3ACA4}"/>
    <cellStyle name="40% - Accent4 2 4 3" xfId="4991" xr:uid="{00000000-0005-0000-0000-0000E2050000}"/>
    <cellStyle name="40% - Accent4 2 4 3 2" xfId="13441" xr:uid="{9A244ED1-A491-4434-A2D4-C7A19D1D21D4}"/>
    <cellStyle name="40% - Accent4 2 4 3 3" xfId="21888" xr:uid="{7AE92969-4AB8-4173-ADF4-C6F04A88A2F1}"/>
    <cellStyle name="40% - Accent4 2 4 3 4" xfId="30335" xr:uid="{43BA8270-4964-4D55-A939-D5A7681BB59F}"/>
    <cellStyle name="40% - Accent4 2 4 4" xfId="9223" xr:uid="{C6DEE0E6-CABB-4DEA-A17B-9D6B2B68884F}"/>
    <cellStyle name="40% - Accent4 2 4 5" xfId="17671" xr:uid="{552A85EB-ACD7-463C-B6AC-708C67A1E867}"/>
    <cellStyle name="40% - Accent4 2 4 6" xfId="26118" xr:uid="{302AFA1B-794D-4BC3-8620-8F35B03616CF}"/>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19CB10F9-7155-4D28-8E1B-6FCE9D8269D1}"/>
    <cellStyle name="40% - Accent4 2 5 2 2 3" xfId="24446" xr:uid="{D12BFCDD-29C5-4436-94D3-00A176733B7C}"/>
    <cellStyle name="40% - Accent4 2 5 2 2 4" xfId="32893" xr:uid="{FCF4A008-4FBD-4F62-A976-58B0D2F7DB69}"/>
    <cellStyle name="40% - Accent4 2 5 2 3" xfId="11781" xr:uid="{3D9DD42D-F25D-49A6-B577-E3B9FCF60F33}"/>
    <cellStyle name="40% - Accent4 2 5 2 4" xfId="20229" xr:uid="{3DD68F5F-45F6-4FC2-AD57-D33F7A467288}"/>
    <cellStyle name="40% - Accent4 2 5 2 5" xfId="28676" xr:uid="{65CD6A02-6AC3-40C1-A1D3-BD26942C4342}"/>
    <cellStyle name="40% - Accent4 2 5 3" xfId="5404" xr:uid="{00000000-0005-0000-0000-0000E6050000}"/>
    <cellStyle name="40% - Accent4 2 5 3 2" xfId="13854" xr:uid="{0F1FA446-A8DE-48AF-982B-A80CDAF39691}"/>
    <cellStyle name="40% - Accent4 2 5 3 3" xfId="22301" xr:uid="{06585D6E-36F0-4C5E-9B9C-997ADD721E6B}"/>
    <cellStyle name="40% - Accent4 2 5 3 4" xfId="30748" xr:uid="{28FC3A42-F79C-429B-AC50-D96CF2B1DEAA}"/>
    <cellStyle name="40% - Accent4 2 5 4" xfId="9636" xr:uid="{1C98381A-6B08-4143-B8B8-3E824B64A30A}"/>
    <cellStyle name="40% - Accent4 2 5 5" xfId="18084" xr:uid="{B88814AD-CBC2-42D9-BA7F-B396F9D2BF30}"/>
    <cellStyle name="40% - Accent4 2 5 6" xfId="26531" xr:uid="{000A9A12-8B50-43D5-9780-295143A8E9E9}"/>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54AA62FA-F120-4F34-948B-29D4EF592EB0}"/>
    <cellStyle name="40% - Accent4 2 6 2 2 3" xfId="24859" xr:uid="{A9972272-EF16-4A0C-9783-4B53A4B530FC}"/>
    <cellStyle name="40% - Accent4 2 6 2 2 4" xfId="33306" xr:uid="{7CBDEB01-FF2D-40F3-9B6C-9541EFD69C96}"/>
    <cellStyle name="40% - Accent4 2 6 2 3" xfId="12194" xr:uid="{58474945-36EC-4FC0-A9E6-0DD8C7CDE56B}"/>
    <cellStyle name="40% - Accent4 2 6 2 4" xfId="20642" xr:uid="{242DA24C-A119-4151-862A-1B7EAB3A1AA5}"/>
    <cellStyle name="40% - Accent4 2 6 2 5" xfId="29089" xr:uid="{7BE8A62B-A85F-4390-BA0B-0E303F4BAF7D}"/>
    <cellStyle name="40% - Accent4 2 6 3" xfId="5817" xr:uid="{00000000-0005-0000-0000-0000EA050000}"/>
    <cellStyle name="40% - Accent4 2 6 3 2" xfId="14267" xr:uid="{F9DB232C-4456-4F45-A7E5-6BBF2290EED7}"/>
    <cellStyle name="40% - Accent4 2 6 3 3" xfId="22714" xr:uid="{AC996FF2-CD49-4E37-8327-C5C252D9232F}"/>
    <cellStyle name="40% - Accent4 2 6 3 4" xfId="31161" xr:uid="{74B12035-7C53-4F09-A4F5-459D55497F62}"/>
    <cellStyle name="40% - Accent4 2 6 4" xfId="10049" xr:uid="{C71021D9-51F8-4206-83CB-7EDAF1BEC88F}"/>
    <cellStyle name="40% - Accent4 2 6 5" xfId="18497" xr:uid="{7428EBEC-C13A-416C-86B2-27016961947C}"/>
    <cellStyle name="40% - Accent4 2 6 6" xfId="26944" xr:uid="{ADD76A38-D701-47FD-9E5F-02F91E9094EB}"/>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45842F3F-E26B-4461-94F1-9440FD27C837}"/>
    <cellStyle name="40% - Accent4 2 7 2 2 3" xfId="25272" xr:uid="{15A80D84-CC44-41A8-BA11-526CB97C5E36}"/>
    <cellStyle name="40% - Accent4 2 7 2 2 4" xfId="33719" xr:uid="{4183C2F5-E0DC-457B-B34A-0B6D559ED848}"/>
    <cellStyle name="40% - Accent4 2 7 2 3" xfId="12607" xr:uid="{D7048786-D352-4BDE-807C-CE8C99B0EBF8}"/>
    <cellStyle name="40% - Accent4 2 7 2 4" xfId="21055" xr:uid="{383899A7-73FF-4B24-B546-C23FB47B1259}"/>
    <cellStyle name="40% - Accent4 2 7 2 5" xfId="29502" xr:uid="{2B7C5C56-C1FE-47A2-B1AF-295B907C47AF}"/>
    <cellStyle name="40% - Accent4 2 7 3" xfId="6230" xr:uid="{00000000-0005-0000-0000-0000EE050000}"/>
    <cellStyle name="40% - Accent4 2 7 3 2" xfId="14680" xr:uid="{AF5618BB-58C5-43FF-B0EC-960EF87DC078}"/>
    <cellStyle name="40% - Accent4 2 7 3 3" xfId="23127" xr:uid="{100BD636-0EA4-4E41-885B-162236B6D89E}"/>
    <cellStyle name="40% - Accent4 2 7 3 4" xfId="31574" xr:uid="{02112E57-AF52-4E62-8D9B-C62D915DCCE7}"/>
    <cellStyle name="40% - Accent4 2 7 4" xfId="10462" xr:uid="{B90FCC46-0A4F-4C9B-A39D-C3743D54F355}"/>
    <cellStyle name="40% - Accent4 2 7 5" xfId="18910" xr:uid="{4E681B39-E237-48A3-87D2-1197CA8619A7}"/>
    <cellStyle name="40% - Accent4 2 7 6" xfId="27357" xr:uid="{668C03B6-87B4-4CF9-A93A-0541403E869D}"/>
    <cellStyle name="40% - Accent4 2 8" xfId="2337" xr:uid="{00000000-0005-0000-0000-0000EF050000}"/>
    <cellStyle name="40% - Accent4 2 8 2" xfId="6643" xr:uid="{00000000-0005-0000-0000-0000F0050000}"/>
    <cellStyle name="40% - Accent4 2 8 2 2" xfId="15093" xr:uid="{BE94761B-661E-4F80-8D56-2AB18AA312D4}"/>
    <cellStyle name="40% - Accent4 2 8 2 3" xfId="23540" xr:uid="{0B01346D-8957-44FE-B4E7-E6D25B449F8C}"/>
    <cellStyle name="40% - Accent4 2 8 2 4" xfId="31987" xr:uid="{70B65323-F8F3-4049-8154-4E8B693C6162}"/>
    <cellStyle name="40% - Accent4 2 8 3" xfId="10875" xr:uid="{9F015C65-07AA-4B41-A054-78B903CEED3E}"/>
    <cellStyle name="40% - Accent4 2 8 4" xfId="19323" xr:uid="{66FF9CE0-D532-492C-81B2-A82FADD17938}"/>
    <cellStyle name="40% - Accent4 2 8 5" xfId="27770" xr:uid="{21D59333-BB61-4E5D-8B3E-BF1B76E3D2DA}"/>
    <cellStyle name="40% - Accent4 2 9" xfId="4577" xr:uid="{00000000-0005-0000-0000-0000F1050000}"/>
    <cellStyle name="40% - Accent4 2 9 2" xfId="13027" xr:uid="{F74512C5-3A7C-4BEC-BE6B-F4A3E5157C81}"/>
    <cellStyle name="40% - Accent4 2 9 3" xfId="21474" xr:uid="{1F1A2940-F13B-43C9-A79E-69F8B427D8CF}"/>
    <cellStyle name="40% - Accent4 2 9 4" xfId="29921" xr:uid="{D5E808B2-4A47-4865-A66E-5DF7EC654BA5}"/>
    <cellStyle name="40% - Accent4 3" xfId="78" xr:uid="{00000000-0005-0000-0000-0000F2050000}"/>
    <cellStyle name="40% - Accent4 3 10" xfId="17261" xr:uid="{4680CFDE-01C3-4F60-B203-EC55010B037E}"/>
    <cellStyle name="40% - Accent4 3 11" xfId="25708" xr:uid="{5489EC23-0F2A-40B7-8E7D-F84E21BD8ADE}"/>
    <cellStyle name="40% - Accent4 3 2" xfId="79" xr:uid="{00000000-0005-0000-0000-0000F3050000}"/>
    <cellStyle name="40% - Accent4 3 2 10" xfId="25709" xr:uid="{A6797BB5-A8DE-4E5D-A74A-7778BC7D35E2}"/>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5FCE16A4-638F-4736-A1AE-418418314155}"/>
    <cellStyle name="40% - Accent4 3 2 2 2 2 3" xfId="24038" xr:uid="{31748191-81D2-4143-925F-47001CD61C06}"/>
    <cellStyle name="40% - Accent4 3 2 2 2 2 4" xfId="32485" xr:uid="{366B4937-47A0-4A03-AB54-C1855AAEE822}"/>
    <cellStyle name="40% - Accent4 3 2 2 2 3" xfId="11373" xr:uid="{52A1E2DF-1943-450E-B459-8539C2701647}"/>
    <cellStyle name="40% - Accent4 3 2 2 2 4" xfId="19821" xr:uid="{B7B975A6-38A8-4C08-97A3-CBB178104BFF}"/>
    <cellStyle name="40% - Accent4 3 2 2 2 5" xfId="28268" xr:uid="{58682C3D-EDFA-45DD-A444-F4B17AF49429}"/>
    <cellStyle name="40% - Accent4 3 2 2 3" xfId="4996" xr:uid="{00000000-0005-0000-0000-0000F7050000}"/>
    <cellStyle name="40% - Accent4 3 2 2 3 2" xfId="13446" xr:uid="{CA687DF5-4235-43EA-AE4D-B60E7412398E}"/>
    <cellStyle name="40% - Accent4 3 2 2 3 3" xfId="21893" xr:uid="{7C6D7FA4-74EA-42B2-9A49-A1C9F1C9B4F3}"/>
    <cellStyle name="40% - Accent4 3 2 2 3 4" xfId="30340" xr:uid="{22500B90-A21F-481E-AF69-E04CB242F2F8}"/>
    <cellStyle name="40% - Accent4 3 2 2 4" xfId="9228" xr:uid="{4D05A6C3-5713-4DD9-BE37-82C20A67084A}"/>
    <cellStyle name="40% - Accent4 3 2 2 5" xfId="17676" xr:uid="{94771C3C-E0EF-4A3F-8E91-EFD089E83593}"/>
    <cellStyle name="40% - Accent4 3 2 2 6" xfId="26123" xr:uid="{CF3B4A36-F3FE-4F6C-8A8B-82383EEFEAE6}"/>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8119DBC6-8690-4E7D-83F3-BA102DF189C2}"/>
    <cellStyle name="40% - Accent4 3 2 3 2 2 3" xfId="24451" xr:uid="{C24FA94E-495E-4729-ACAD-FA2CB41282D8}"/>
    <cellStyle name="40% - Accent4 3 2 3 2 2 4" xfId="32898" xr:uid="{E6043345-9A50-4344-AD83-0DF5C9CD9A42}"/>
    <cellStyle name="40% - Accent4 3 2 3 2 3" xfId="11786" xr:uid="{0777EFC3-E87B-4AD8-A6E0-BC2565EAD737}"/>
    <cellStyle name="40% - Accent4 3 2 3 2 4" xfId="20234" xr:uid="{0D9A398E-CF6F-4D4C-91C4-A27186523CF0}"/>
    <cellStyle name="40% - Accent4 3 2 3 2 5" xfId="28681" xr:uid="{B87B216B-B0A9-4B2E-ABA4-4677A5E1026C}"/>
    <cellStyle name="40% - Accent4 3 2 3 3" xfId="5409" xr:uid="{00000000-0005-0000-0000-0000FB050000}"/>
    <cellStyle name="40% - Accent4 3 2 3 3 2" xfId="13859" xr:uid="{2A4FA389-239A-4CA2-96AC-1A5A98672194}"/>
    <cellStyle name="40% - Accent4 3 2 3 3 3" xfId="22306" xr:uid="{ECD847F1-4978-40C0-AA63-84CACBA89D60}"/>
    <cellStyle name="40% - Accent4 3 2 3 3 4" xfId="30753" xr:uid="{C741D02C-0E8B-466C-A446-DB6F67EC2558}"/>
    <cellStyle name="40% - Accent4 3 2 3 4" xfId="9641" xr:uid="{38E2B8A0-CB9D-4D67-9023-E5CBDE76DD29}"/>
    <cellStyle name="40% - Accent4 3 2 3 5" xfId="18089" xr:uid="{E004C5B8-E9BB-4DDC-B0BC-DE42C6B79D07}"/>
    <cellStyle name="40% - Accent4 3 2 3 6" xfId="26536" xr:uid="{6040E593-CD4E-4228-A810-657E5956FB2A}"/>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665ECC41-4BE1-4121-A6F9-933E27BB40A7}"/>
    <cellStyle name="40% - Accent4 3 2 4 2 2 3" xfId="24864" xr:uid="{08EFD5AB-4CD9-46F9-A669-E614A1DB91A4}"/>
    <cellStyle name="40% - Accent4 3 2 4 2 2 4" xfId="33311" xr:uid="{CF4D3433-5680-4E02-8986-2CB22847A88C}"/>
    <cellStyle name="40% - Accent4 3 2 4 2 3" xfId="12199" xr:uid="{130669A7-59FE-4F2A-B558-A4160083FEDD}"/>
    <cellStyle name="40% - Accent4 3 2 4 2 4" xfId="20647" xr:uid="{AAE9D43B-D146-4C5B-BBC7-8543D87D1B66}"/>
    <cellStyle name="40% - Accent4 3 2 4 2 5" xfId="29094" xr:uid="{FE6083FF-9152-4DC6-AB13-0C5A0C382A13}"/>
    <cellStyle name="40% - Accent4 3 2 4 3" xfId="5822" xr:uid="{00000000-0005-0000-0000-0000FF050000}"/>
    <cellStyle name="40% - Accent4 3 2 4 3 2" xfId="14272" xr:uid="{9DB9F6B8-6279-4FD7-9656-645F0ECEBBA2}"/>
    <cellStyle name="40% - Accent4 3 2 4 3 3" xfId="22719" xr:uid="{BE9ADF91-94C9-49F9-8E23-E1F243ED07A4}"/>
    <cellStyle name="40% - Accent4 3 2 4 3 4" xfId="31166" xr:uid="{037FF858-3418-45E5-9CEB-5971EF0E8489}"/>
    <cellStyle name="40% - Accent4 3 2 4 4" xfId="10054" xr:uid="{80A892AF-82CC-400B-A630-BDA12A0AB6AF}"/>
    <cellStyle name="40% - Accent4 3 2 4 5" xfId="18502" xr:uid="{54C02D5F-BF4A-4004-8779-EA32B6594567}"/>
    <cellStyle name="40% - Accent4 3 2 4 6" xfId="26949" xr:uid="{EC06FEBD-A87D-4440-B445-AE66F6B0F24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E6564E13-24DB-4D7A-9B01-2F3978DECF04}"/>
    <cellStyle name="40% - Accent4 3 2 5 2 2 3" xfId="25277" xr:uid="{6F7372F9-EEEF-4C3B-A715-8E205D6222DA}"/>
    <cellStyle name="40% - Accent4 3 2 5 2 2 4" xfId="33724" xr:uid="{DE440153-E7DD-4EEB-A8FC-43A780CFF6A9}"/>
    <cellStyle name="40% - Accent4 3 2 5 2 3" xfId="12612" xr:uid="{9B2E0252-7CDB-4079-8856-78A588326B6E}"/>
    <cellStyle name="40% - Accent4 3 2 5 2 4" xfId="21060" xr:uid="{2D1E59E6-3708-4F89-8F97-38411777AD35}"/>
    <cellStyle name="40% - Accent4 3 2 5 2 5" xfId="29507" xr:uid="{3AE4A5C1-FEDA-4DA0-BC2A-F4ED5830E009}"/>
    <cellStyle name="40% - Accent4 3 2 5 3" xfId="6235" xr:uid="{00000000-0005-0000-0000-000003060000}"/>
    <cellStyle name="40% - Accent4 3 2 5 3 2" xfId="14685" xr:uid="{F55A6AC3-F784-4E38-8B5F-92318C93F7C4}"/>
    <cellStyle name="40% - Accent4 3 2 5 3 3" xfId="23132" xr:uid="{60BAF815-83A3-4721-B6C6-17F27E916CE4}"/>
    <cellStyle name="40% - Accent4 3 2 5 3 4" xfId="31579" xr:uid="{51E49361-42D4-4C6C-B32A-99E7F52EB935}"/>
    <cellStyle name="40% - Accent4 3 2 5 4" xfId="10467" xr:uid="{C076B6C3-6BEF-4FFD-957D-527D83CABB34}"/>
    <cellStyle name="40% - Accent4 3 2 5 5" xfId="18915" xr:uid="{46992C90-5E49-491A-84EE-9432D106CDF3}"/>
    <cellStyle name="40% - Accent4 3 2 5 6" xfId="27362" xr:uid="{3323DF40-933A-4DD0-B8B5-DAA3FEB69DCA}"/>
    <cellStyle name="40% - Accent4 3 2 6" xfId="2342" xr:uid="{00000000-0005-0000-0000-000004060000}"/>
    <cellStyle name="40% - Accent4 3 2 6 2" xfId="6648" xr:uid="{00000000-0005-0000-0000-000005060000}"/>
    <cellStyle name="40% - Accent4 3 2 6 2 2" xfId="15098" xr:uid="{B4534131-0F4E-4A68-91F9-443D0DA9E67F}"/>
    <cellStyle name="40% - Accent4 3 2 6 2 3" xfId="23545" xr:uid="{4319289D-32AF-4E4B-9058-828146A6BD75}"/>
    <cellStyle name="40% - Accent4 3 2 6 2 4" xfId="31992" xr:uid="{AF2A6F78-A1E3-4847-95AA-353DA3C49234}"/>
    <cellStyle name="40% - Accent4 3 2 6 3" xfId="10880" xr:uid="{28220528-827C-4BEC-A5EB-2A0970A7047F}"/>
    <cellStyle name="40% - Accent4 3 2 6 4" xfId="19328" xr:uid="{80FCE9F0-46D6-4F29-BD78-B436A41D5E66}"/>
    <cellStyle name="40% - Accent4 3 2 6 5" xfId="27775" xr:uid="{E9AF890B-CE0A-4E07-BCCF-47A8C9F2AABC}"/>
    <cellStyle name="40% - Accent4 3 2 7" xfId="4582" xr:uid="{00000000-0005-0000-0000-000006060000}"/>
    <cellStyle name="40% - Accent4 3 2 7 2" xfId="13032" xr:uid="{8CDB382B-4EBE-4330-8BE8-0B49660D1114}"/>
    <cellStyle name="40% - Accent4 3 2 7 3" xfId="21479" xr:uid="{85C64D5C-DABE-456F-A935-F62D93F1C9B9}"/>
    <cellStyle name="40% - Accent4 3 2 7 4" xfId="29926" xr:uid="{9D8B4E39-1417-44AD-973B-F7CFAB8259BC}"/>
    <cellStyle name="40% - Accent4 3 2 8" xfId="8814" xr:uid="{8AF4A003-3801-466A-9D56-99BA375BB886}"/>
    <cellStyle name="40% - Accent4 3 2 9" xfId="17262" xr:uid="{C040D769-D9D5-4CC8-8795-742F286850B4}"/>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1C2595E6-4E30-4584-8999-B77A94A6A7A9}"/>
    <cellStyle name="40% - Accent4 3 3 2 2 3" xfId="24037" xr:uid="{1829857E-47EB-4C9B-A558-B780558F26C6}"/>
    <cellStyle name="40% - Accent4 3 3 2 2 4" xfId="32484" xr:uid="{E88A8D3B-8115-4DEE-A23C-328D7B3958E3}"/>
    <cellStyle name="40% - Accent4 3 3 2 3" xfId="11372" xr:uid="{E7989EE6-8234-41A1-8B28-C1DAB3111939}"/>
    <cellStyle name="40% - Accent4 3 3 2 4" xfId="19820" xr:uid="{66D10E25-D9D7-43A6-92D8-D5A1DEB7D2FA}"/>
    <cellStyle name="40% - Accent4 3 3 2 5" xfId="28267" xr:uid="{CC361189-02B3-422B-8AFF-8E311B4E25F0}"/>
    <cellStyle name="40% - Accent4 3 3 3" xfId="4995" xr:uid="{00000000-0005-0000-0000-00000A060000}"/>
    <cellStyle name="40% - Accent4 3 3 3 2" xfId="13445" xr:uid="{07C8C41F-AD6D-4F30-8008-AB3CC4B08045}"/>
    <cellStyle name="40% - Accent4 3 3 3 3" xfId="21892" xr:uid="{1BEC6F8D-E043-4640-9625-893FAA9B2448}"/>
    <cellStyle name="40% - Accent4 3 3 3 4" xfId="30339" xr:uid="{EB2FA55F-14C3-4643-8607-48CD8F4DADA9}"/>
    <cellStyle name="40% - Accent4 3 3 4" xfId="9227" xr:uid="{04998481-BA32-4A7C-BC6F-8EAFB7361D96}"/>
    <cellStyle name="40% - Accent4 3 3 5" xfId="17675" xr:uid="{E5365945-DFB4-4F93-8927-DC4B165337D6}"/>
    <cellStyle name="40% - Accent4 3 3 6" xfId="26122" xr:uid="{CF8483B5-1207-462C-853B-B361D1D5ECAE}"/>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759A55F6-8B5D-4939-B5B4-C466CE500EFC}"/>
    <cellStyle name="40% - Accent4 3 4 2 2 3" xfId="24450" xr:uid="{F8171F33-B78A-4C2C-AE43-D0336F080018}"/>
    <cellStyle name="40% - Accent4 3 4 2 2 4" xfId="32897" xr:uid="{D1A9D28E-D67C-4509-A867-360277C5E154}"/>
    <cellStyle name="40% - Accent4 3 4 2 3" xfId="11785" xr:uid="{301D0A7C-8759-41E6-9B38-6CF4B93D09AD}"/>
    <cellStyle name="40% - Accent4 3 4 2 4" xfId="20233" xr:uid="{DB1BF7A3-3E70-4343-83F0-603B2736E54A}"/>
    <cellStyle name="40% - Accent4 3 4 2 5" xfId="28680" xr:uid="{50E9D38D-D2C2-45B3-8B24-317F954CCE87}"/>
    <cellStyle name="40% - Accent4 3 4 3" xfId="5408" xr:uid="{00000000-0005-0000-0000-00000E060000}"/>
    <cellStyle name="40% - Accent4 3 4 3 2" xfId="13858" xr:uid="{269EF896-EAFA-42B7-A34A-FA616F6A54D0}"/>
    <cellStyle name="40% - Accent4 3 4 3 3" xfId="22305" xr:uid="{741612CF-B94E-4851-AED6-42BA823699B6}"/>
    <cellStyle name="40% - Accent4 3 4 3 4" xfId="30752" xr:uid="{B016F2B2-55B5-4112-85C6-CA8F2B483702}"/>
    <cellStyle name="40% - Accent4 3 4 4" xfId="9640" xr:uid="{C73AC183-293B-4788-AAB7-226D0B16939C}"/>
    <cellStyle name="40% - Accent4 3 4 5" xfId="18088" xr:uid="{4F5FA737-FC9D-457C-8325-758DCA1B8FF9}"/>
    <cellStyle name="40% - Accent4 3 4 6" xfId="26535" xr:uid="{27BB0BE6-903B-443D-99BB-4E03C351807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29A08915-2593-40E7-B5D8-1CA98852AC24}"/>
    <cellStyle name="40% - Accent4 3 5 2 2 3" xfId="24863" xr:uid="{5EB895AF-8B51-4CAF-9F15-B9CD3C12ACBE}"/>
    <cellStyle name="40% - Accent4 3 5 2 2 4" xfId="33310" xr:uid="{1A6232C2-8159-4B23-9C52-43D56EAC080B}"/>
    <cellStyle name="40% - Accent4 3 5 2 3" xfId="12198" xr:uid="{E533185A-F745-4688-93C0-0815CCB7F788}"/>
    <cellStyle name="40% - Accent4 3 5 2 4" xfId="20646" xr:uid="{4EFBFD94-62D1-4B13-90F8-AD82B3372B6F}"/>
    <cellStyle name="40% - Accent4 3 5 2 5" xfId="29093" xr:uid="{443DC749-E78F-4EE5-9310-3E1E70A925DC}"/>
    <cellStyle name="40% - Accent4 3 5 3" xfId="5821" xr:uid="{00000000-0005-0000-0000-000012060000}"/>
    <cellStyle name="40% - Accent4 3 5 3 2" xfId="14271" xr:uid="{749F215A-5C32-4F73-A652-E508B31BDD2A}"/>
    <cellStyle name="40% - Accent4 3 5 3 3" xfId="22718" xr:uid="{F806F558-3430-4591-A519-7D006A01B1AF}"/>
    <cellStyle name="40% - Accent4 3 5 3 4" xfId="31165" xr:uid="{2F63E593-5D9D-4625-8D4C-45EEC1CFD19C}"/>
    <cellStyle name="40% - Accent4 3 5 4" xfId="10053" xr:uid="{2170FB7F-28C4-4364-BD1F-C19D0C5F17B9}"/>
    <cellStyle name="40% - Accent4 3 5 5" xfId="18501" xr:uid="{4F947364-B7F6-46DF-ADA8-C111347CC7A5}"/>
    <cellStyle name="40% - Accent4 3 5 6" xfId="26948" xr:uid="{11309343-0586-42F8-8A5D-31F996377268}"/>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942E68D7-400C-437C-8CE1-1E3B41356FDF}"/>
    <cellStyle name="40% - Accent4 3 6 2 2 3" xfId="25276" xr:uid="{993A49ED-4C90-44D6-8D1C-FF9FF49058C4}"/>
    <cellStyle name="40% - Accent4 3 6 2 2 4" xfId="33723" xr:uid="{8AE73ECD-92CB-44BF-A94E-62125EEF187D}"/>
    <cellStyle name="40% - Accent4 3 6 2 3" xfId="12611" xr:uid="{DB8DB7E9-F910-415E-958A-0887651A4A9A}"/>
    <cellStyle name="40% - Accent4 3 6 2 4" xfId="21059" xr:uid="{D4B8F553-41B2-49E0-872E-C6C7210386AE}"/>
    <cellStyle name="40% - Accent4 3 6 2 5" xfId="29506" xr:uid="{F7098390-F790-4F53-8BE9-7BCB5381C8B2}"/>
    <cellStyle name="40% - Accent4 3 6 3" xfId="6234" xr:uid="{00000000-0005-0000-0000-000016060000}"/>
    <cellStyle name="40% - Accent4 3 6 3 2" xfId="14684" xr:uid="{F7725D04-389B-4078-BAAC-C2BCF727DAFE}"/>
    <cellStyle name="40% - Accent4 3 6 3 3" xfId="23131" xr:uid="{E89F0B03-D215-40C7-B856-0F2E1EAD6CE3}"/>
    <cellStyle name="40% - Accent4 3 6 3 4" xfId="31578" xr:uid="{D36E6528-0BD4-4B9E-80CD-08866142D1D2}"/>
    <cellStyle name="40% - Accent4 3 6 4" xfId="10466" xr:uid="{ACEB08FE-47C9-47A9-989F-8CBA03B212D4}"/>
    <cellStyle name="40% - Accent4 3 6 5" xfId="18914" xr:uid="{3D588288-CB29-45AF-A4FE-54024F6DBC96}"/>
    <cellStyle name="40% - Accent4 3 6 6" xfId="27361" xr:uid="{CA8D9506-2A5D-4A76-B369-7393D20B1AC5}"/>
    <cellStyle name="40% - Accent4 3 7" xfId="2341" xr:uid="{00000000-0005-0000-0000-000017060000}"/>
    <cellStyle name="40% - Accent4 3 7 2" xfId="6647" xr:uid="{00000000-0005-0000-0000-000018060000}"/>
    <cellStyle name="40% - Accent4 3 7 2 2" xfId="15097" xr:uid="{171C5291-8228-45EE-8324-903A485C85C8}"/>
    <cellStyle name="40% - Accent4 3 7 2 3" xfId="23544" xr:uid="{CD9656D9-6C85-4DDB-9014-4D4F26444229}"/>
    <cellStyle name="40% - Accent4 3 7 2 4" xfId="31991" xr:uid="{1BE328CF-3B7D-4397-8FEF-99D5390DF1F2}"/>
    <cellStyle name="40% - Accent4 3 7 3" xfId="10879" xr:uid="{9372A592-E37E-46DA-8358-6A210A88385D}"/>
    <cellStyle name="40% - Accent4 3 7 4" xfId="19327" xr:uid="{58E2C43F-A409-443A-B66A-E69583C5A32C}"/>
    <cellStyle name="40% - Accent4 3 7 5" xfId="27774" xr:uid="{DB225DEA-04E7-4703-80C4-37A5A11B3BDC}"/>
    <cellStyle name="40% - Accent4 3 8" xfId="4581" xr:uid="{00000000-0005-0000-0000-000019060000}"/>
    <cellStyle name="40% - Accent4 3 8 2" xfId="13031" xr:uid="{D94BED16-FCD0-407B-A82A-1ED186642CA5}"/>
    <cellStyle name="40% - Accent4 3 8 3" xfId="21478" xr:uid="{DAD97825-8A0A-4CE2-9829-D65C5EA170B6}"/>
    <cellStyle name="40% - Accent4 3 8 4" xfId="29925" xr:uid="{07312306-AA47-4DD5-8BE6-A8816EB4C4D1}"/>
    <cellStyle name="40% - Accent4 3 9" xfId="8813" xr:uid="{6CFC6CAF-ECB2-4932-8931-2F7C273EE1D3}"/>
    <cellStyle name="40% - Accent4 4" xfId="80" xr:uid="{00000000-0005-0000-0000-00001A060000}"/>
    <cellStyle name="40% - Accent4 4 10" xfId="25710" xr:uid="{5218E1E6-5789-47CF-83ED-38C63266F5A8}"/>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34852332-9837-441B-9A68-42FF5CC6748B}"/>
    <cellStyle name="40% - Accent4 4 2 2 2 3" xfId="24039" xr:uid="{C52953BA-6870-47B7-8CA8-AA8508912E54}"/>
    <cellStyle name="40% - Accent4 4 2 2 2 4" xfId="32486" xr:uid="{4E63945E-218E-4DD6-BCFE-754E6D150FEA}"/>
    <cellStyle name="40% - Accent4 4 2 2 3" xfId="11374" xr:uid="{2BDBBC73-D515-45C7-97C9-74092FA76D48}"/>
    <cellStyle name="40% - Accent4 4 2 2 4" xfId="19822" xr:uid="{1A726999-251E-4AF3-AB20-6FDB629B7FFC}"/>
    <cellStyle name="40% - Accent4 4 2 2 5" xfId="28269" xr:uid="{233035B6-A23F-4674-ADB9-C9DC20E489EB}"/>
    <cellStyle name="40% - Accent4 4 2 3" xfId="4997" xr:uid="{00000000-0005-0000-0000-00001E060000}"/>
    <cellStyle name="40% - Accent4 4 2 3 2" xfId="13447" xr:uid="{FA1616C8-8FEA-40E5-918C-ACFC99776BC8}"/>
    <cellStyle name="40% - Accent4 4 2 3 3" xfId="21894" xr:uid="{68D005AA-88A6-4AEC-9E9D-F6FA5034E29E}"/>
    <cellStyle name="40% - Accent4 4 2 3 4" xfId="30341" xr:uid="{F3D93A4A-B08C-4ED4-AEB6-83AF485982AC}"/>
    <cellStyle name="40% - Accent4 4 2 4" xfId="9229" xr:uid="{CB79D18D-01D1-42F0-B8C4-D7E6723C26C0}"/>
    <cellStyle name="40% - Accent4 4 2 5" xfId="17677" xr:uid="{E499AE13-0796-48FF-9306-C6D1A8F48F62}"/>
    <cellStyle name="40% - Accent4 4 2 6" xfId="26124" xr:uid="{F89B20A0-8B1A-4BC6-8DA8-FE3F4635D01E}"/>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40CA48AF-64E7-4963-BBDC-D0C4A78D6FD4}"/>
    <cellStyle name="40% - Accent4 4 3 2 2 3" xfId="24452" xr:uid="{45F56F4F-67A8-4F54-B1BF-F04F1669E16E}"/>
    <cellStyle name="40% - Accent4 4 3 2 2 4" xfId="32899" xr:uid="{4E5C71A1-D1B1-4191-94C2-72F5A7CD5495}"/>
    <cellStyle name="40% - Accent4 4 3 2 3" xfId="11787" xr:uid="{BCEB361E-1DC7-4B1B-8E42-1ECBB46E71DE}"/>
    <cellStyle name="40% - Accent4 4 3 2 4" xfId="20235" xr:uid="{EA5D87C1-CBCD-4383-AA55-837F7B3F8E38}"/>
    <cellStyle name="40% - Accent4 4 3 2 5" xfId="28682" xr:uid="{230403C5-4794-4DB2-AC08-8FD9A084351A}"/>
    <cellStyle name="40% - Accent4 4 3 3" xfId="5410" xr:uid="{00000000-0005-0000-0000-000022060000}"/>
    <cellStyle name="40% - Accent4 4 3 3 2" xfId="13860" xr:uid="{879E2383-9368-40EB-B87F-4E0631725F22}"/>
    <cellStyle name="40% - Accent4 4 3 3 3" xfId="22307" xr:uid="{3BA63303-057D-4CCE-98C5-21C96A3C6F65}"/>
    <cellStyle name="40% - Accent4 4 3 3 4" xfId="30754" xr:uid="{8F693D10-5309-4022-BF5D-C9874C404F1E}"/>
    <cellStyle name="40% - Accent4 4 3 4" xfId="9642" xr:uid="{1D9A728A-8943-4E0A-BA80-9D7C94A0B83B}"/>
    <cellStyle name="40% - Accent4 4 3 5" xfId="18090" xr:uid="{83998675-285A-4D6A-958E-89A717CA69C0}"/>
    <cellStyle name="40% - Accent4 4 3 6" xfId="26537" xr:uid="{08D551D2-ECCD-4186-AB08-2D1996ADFC4C}"/>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41B2E39C-CD5E-468E-A27E-ADF2C5A7E21B}"/>
    <cellStyle name="40% - Accent4 4 4 2 2 3" xfId="24865" xr:uid="{B67D1294-EFCA-41E2-BEFD-CE2D20E35230}"/>
    <cellStyle name="40% - Accent4 4 4 2 2 4" xfId="33312" xr:uid="{3F145502-742D-411C-AC6E-98C26FEE0E46}"/>
    <cellStyle name="40% - Accent4 4 4 2 3" xfId="12200" xr:uid="{BC5C8AB5-44EF-4269-A335-B7D2401AEDBB}"/>
    <cellStyle name="40% - Accent4 4 4 2 4" xfId="20648" xr:uid="{63D4DF14-67D1-449E-8EDB-7E43E6B7070A}"/>
    <cellStyle name="40% - Accent4 4 4 2 5" xfId="29095" xr:uid="{D1FD8360-1980-42AC-954F-64AC590795E8}"/>
    <cellStyle name="40% - Accent4 4 4 3" xfId="5823" xr:uid="{00000000-0005-0000-0000-000026060000}"/>
    <cellStyle name="40% - Accent4 4 4 3 2" xfId="14273" xr:uid="{CAC0F839-A8CD-4FCE-856E-CA5053554DED}"/>
    <cellStyle name="40% - Accent4 4 4 3 3" xfId="22720" xr:uid="{D9B9F87C-40F2-414A-98A7-FA41B4FDAFAD}"/>
    <cellStyle name="40% - Accent4 4 4 3 4" xfId="31167" xr:uid="{9ABCA257-414D-428E-8EE2-F133AA9C4AF7}"/>
    <cellStyle name="40% - Accent4 4 4 4" xfId="10055" xr:uid="{110A59F2-8F6D-4EA3-853C-97AA37A613D9}"/>
    <cellStyle name="40% - Accent4 4 4 5" xfId="18503" xr:uid="{7834DB00-8F7A-4BB3-8B63-6EE534941A45}"/>
    <cellStyle name="40% - Accent4 4 4 6" xfId="26950" xr:uid="{7CE032CC-B7E4-4A97-AF0C-6DAE20B8647B}"/>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8140FA23-2BE1-4FE3-89EA-AD760D6AB80E}"/>
    <cellStyle name="40% - Accent4 4 5 2 2 3" xfId="25278" xr:uid="{43891A84-4FC3-48BE-989A-35A0866FB07C}"/>
    <cellStyle name="40% - Accent4 4 5 2 2 4" xfId="33725" xr:uid="{BAA290A8-009A-402B-A690-1E048C4FAB14}"/>
    <cellStyle name="40% - Accent4 4 5 2 3" xfId="12613" xr:uid="{35C83901-9E4A-4419-864D-C12C34DC8464}"/>
    <cellStyle name="40% - Accent4 4 5 2 4" xfId="21061" xr:uid="{3EA8B834-C42E-457A-B8E9-9B634C38819F}"/>
    <cellStyle name="40% - Accent4 4 5 2 5" xfId="29508" xr:uid="{F18C9B23-9CE0-44FF-8D65-AE525BB5E68B}"/>
    <cellStyle name="40% - Accent4 4 5 3" xfId="6236" xr:uid="{00000000-0005-0000-0000-00002A060000}"/>
    <cellStyle name="40% - Accent4 4 5 3 2" xfId="14686" xr:uid="{7885AD54-27CD-4B23-9977-DFBB05F36D05}"/>
    <cellStyle name="40% - Accent4 4 5 3 3" xfId="23133" xr:uid="{E289FDE2-3DDD-4A12-A586-5F07D4577E68}"/>
    <cellStyle name="40% - Accent4 4 5 3 4" xfId="31580" xr:uid="{BA924F34-AEAF-4E4C-B515-AB503ABE8A9F}"/>
    <cellStyle name="40% - Accent4 4 5 4" xfId="10468" xr:uid="{5F51952E-D647-4E8F-9605-25E6B9173E7B}"/>
    <cellStyle name="40% - Accent4 4 5 5" xfId="18916" xr:uid="{8010DFFA-46F3-4F5F-B424-4BCF2D361E15}"/>
    <cellStyle name="40% - Accent4 4 5 6" xfId="27363" xr:uid="{06A21067-D206-4A2A-BA21-BBC4D60F57E8}"/>
    <cellStyle name="40% - Accent4 4 6" xfId="2343" xr:uid="{00000000-0005-0000-0000-00002B060000}"/>
    <cellStyle name="40% - Accent4 4 6 2" xfId="6649" xr:uid="{00000000-0005-0000-0000-00002C060000}"/>
    <cellStyle name="40% - Accent4 4 6 2 2" xfId="15099" xr:uid="{F891E891-6F3F-4158-82B8-D97774531801}"/>
    <cellStyle name="40% - Accent4 4 6 2 3" xfId="23546" xr:uid="{0C0CE15C-B124-406F-A595-C224A7C0CF4E}"/>
    <cellStyle name="40% - Accent4 4 6 2 4" xfId="31993" xr:uid="{01D4DCC0-F5EF-438E-84E8-A6E91F765D3C}"/>
    <cellStyle name="40% - Accent4 4 6 3" xfId="10881" xr:uid="{88BAC990-8A22-479B-BBED-D468354351F3}"/>
    <cellStyle name="40% - Accent4 4 6 4" xfId="19329" xr:uid="{1C546B5A-BD7E-4467-923D-0F0547CDDDF4}"/>
    <cellStyle name="40% - Accent4 4 6 5" xfId="27776" xr:uid="{BC29AEC7-A8FF-4BB8-8416-9512F0B6A885}"/>
    <cellStyle name="40% - Accent4 4 7" xfId="4583" xr:uid="{00000000-0005-0000-0000-00002D060000}"/>
    <cellStyle name="40% - Accent4 4 7 2" xfId="13033" xr:uid="{09D04ED4-6FC7-470F-BAE2-815A2B7D2810}"/>
    <cellStyle name="40% - Accent4 4 7 3" xfId="21480" xr:uid="{6F08D7D4-4BD7-4FD7-939F-E6C1A2BC4D67}"/>
    <cellStyle name="40% - Accent4 4 7 4" xfId="29927" xr:uid="{4970596C-1FBD-4E2A-BA33-E95FD7F45777}"/>
    <cellStyle name="40% - Accent4 4 8" xfId="8815" xr:uid="{88A3ECE4-FB4D-4B5B-A792-F31FB274AD62}"/>
    <cellStyle name="40% - Accent4 4 9" xfId="17263" xr:uid="{A3A9F4DF-E73B-4B9B-B238-9E7CE653E280}"/>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D3236AB1-2ECE-45A3-BF14-2739AEBE8653}"/>
    <cellStyle name="40% - Accent4 5 2 2 3" xfId="24032" xr:uid="{4289A082-B1BA-47E3-A4C4-0057A4F0780B}"/>
    <cellStyle name="40% - Accent4 5 2 2 4" xfId="32479" xr:uid="{BC1456B2-0881-4B8D-B6AC-F468F5331DC2}"/>
    <cellStyle name="40% - Accent4 5 2 3" xfId="11367" xr:uid="{9560B772-2C6D-427A-902C-7614E21E09AB}"/>
    <cellStyle name="40% - Accent4 5 2 4" xfId="19815" xr:uid="{48E4F1D8-D811-42C9-BB45-26CDFC5869E3}"/>
    <cellStyle name="40% - Accent4 5 2 5" xfId="28262" xr:uid="{C7EF7039-FE6A-4E67-8C3E-E507DFBB442C}"/>
    <cellStyle name="40% - Accent4 5 3" xfId="4990" xr:uid="{00000000-0005-0000-0000-000031060000}"/>
    <cellStyle name="40% - Accent4 5 3 2" xfId="13440" xr:uid="{66E1D38B-CA05-4DCA-AAF3-356F5CD79A6F}"/>
    <cellStyle name="40% - Accent4 5 3 3" xfId="21887" xr:uid="{96DCBC2E-7D9E-45FC-BA48-A4D33E6293AA}"/>
    <cellStyle name="40% - Accent4 5 3 4" xfId="30334" xr:uid="{E159267B-BEF2-4337-903C-AE32EE732F3A}"/>
    <cellStyle name="40% - Accent4 5 4" xfId="9222" xr:uid="{362E47CB-1394-4DDD-868C-70291BBDADF6}"/>
    <cellStyle name="40% - Accent4 5 5" xfId="17670" xr:uid="{2E1C8D2F-0A5D-48EA-A8F3-ECD673A2783A}"/>
    <cellStyle name="40% - Accent4 5 6" xfId="26117" xr:uid="{9A542639-AB36-4BB9-9206-C7CE7D1B28F2}"/>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09A08848-5A96-4E9D-A0BB-14142339747E}"/>
    <cellStyle name="40% - Accent4 6 2 2 3" xfId="24445" xr:uid="{F290CFE6-7464-4AD3-AC59-3DCEA09A8AE9}"/>
    <cellStyle name="40% - Accent4 6 2 2 4" xfId="32892" xr:uid="{AE716369-EB7E-4963-82D3-56778BF23998}"/>
    <cellStyle name="40% - Accent4 6 2 3" xfId="11780" xr:uid="{DA20E76E-5B92-4054-A01A-EEBE00415F0A}"/>
    <cellStyle name="40% - Accent4 6 2 4" xfId="20228" xr:uid="{C3113E4E-2EC4-4C7F-AE72-2279991C9D52}"/>
    <cellStyle name="40% - Accent4 6 2 5" xfId="28675" xr:uid="{E54CEB2C-AE85-44F8-8665-5E3EE88CAFF1}"/>
    <cellStyle name="40% - Accent4 6 3" xfId="5403" xr:uid="{00000000-0005-0000-0000-000035060000}"/>
    <cellStyle name="40% - Accent4 6 3 2" xfId="13853" xr:uid="{6E7AA6C8-CCD1-4EB1-8AB1-9B59F3DF0D06}"/>
    <cellStyle name="40% - Accent4 6 3 3" xfId="22300" xr:uid="{80B51A3A-0936-4741-9200-90773A58408B}"/>
    <cellStyle name="40% - Accent4 6 3 4" xfId="30747" xr:uid="{6789785D-02A5-4215-9512-ADD7D5257A99}"/>
    <cellStyle name="40% - Accent4 6 4" xfId="9635" xr:uid="{F6996361-5FF9-4743-BFDA-D5E433CA7805}"/>
    <cellStyle name="40% - Accent4 6 5" xfId="18083" xr:uid="{3C49B172-BDB2-4DA9-B1BD-8D5BC837D38E}"/>
    <cellStyle name="40% - Accent4 6 6" xfId="26530" xr:uid="{947B5017-3382-417E-BDF0-42A7922E7E4C}"/>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80B0236D-78E3-46F7-AFDB-8AA75A4F938C}"/>
    <cellStyle name="40% - Accent4 7 2 2 3" xfId="24858" xr:uid="{5269BF01-CEC7-4AAD-B799-E7F2FF876D6D}"/>
    <cellStyle name="40% - Accent4 7 2 2 4" xfId="33305" xr:uid="{CD0C5EB4-B325-47A8-AB13-C00E0D26CE91}"/>
    <cellStyle name="40% - Accent4 7 2 3" xfId="12193" xr:uid="{56B2F06F-5230-4992-A69B-787C2D67DEBA}"/>
    <cellStyle name="40% - Accent4 7 2 4" xfId="20641" xr:uid="{55AF1CC5-062B-4904-B932-C16DA6EDA211}"/>
    <cellStyle name="40% - Accent4 7 2 5" xfId="29088" xr:uid="{C3152077-C05F-4CD6-AEB9-D088A8FD630B}"/>
    <cellStyle name="40% - Accent4 7 3" xfId="5816" xr:uid="{00000000-0005-0000-0000-000039060000}"/>
    <cellStyle name="40% - Accent4 7 3 2" xfId="14266" xr:uid="{AD7B44B8-2600-411A-B05C-EFAC0FFFF6FE}"/>
    <cellStyle name="40% - Accent4 7 3 3" xfId="22713" xr:uid="{0B248275-C4E7-4721-B94A-BD95AE8507AC}"/>
    <cellStyle name="40% - Accent4 7 3 4" xfId="31160" xr:uid="{D3933028-2B4F-4D53-A5BE-2CB5B68897B0}"/>
    <cellStyle name="40% - Accent4 7 4" xfId="10048" xr:uid="{0E22466C-306A-4B04-822B-C3A3921F584F}"/>
    <cellStyle name="40% - Accent4 7 5" xfId="18496" xr:uid="{DE6D13D1-72DD-426D-900D-B8356884F5F3}"/>
    <cellStyle name="40% - Accent4 7 6" xfId="26943" xr:uid="{6BE40FBD-7956-4914-B0E9-3363661C11EF}"/>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4342E641-F069-43A5-9220-80E41750D707}"/>
    <cellStyle name="40% - Accent4 8 2 2 3" xfId="25271" xr:uid="{B15ACD9F-1C1E-42AE-AA71-F43EE1911516}"/>
    <cellStyle name="40% - Accent4 8 2 2 4" xfId="33718" xr:uid="{0AD53689-6F48-4903-A399-FEC13EAEF7E7}"/>
    <cellStyle name="40% - Accent4 8 2 3" xfId="12606" xr:uid="{25B5DF10-2068-404E-AC90-A19C376399AF}"/>
    <cellStyle name="40% - Accent4 8 2 4" xfId="21054" xr:uid="{7A034011-6CF3-4DDF-8D59-5904929FCEAE}"/>
    <cellStyle name="40% - Accent4 8 2 5" xfId="29501" xr:uid="{2A688CFF-148D-4CF9-A79D-B17510864342}"/>
    <cellStyle name="40% - Accent4 8 3" xfId="6229" xr:uid="{00000000-0005-0000-0000-00003D060000}"/>
    <cellStyle name="40% - Accent4 8 3 2" xfId="14679" xr:uid="{BA6E25AF-0D5C-43C3-968B-29DEBC805641}"/>
    <cellStyle name="40% - Accent4 8 3 3" xfId="23126" xr:uid="{1F4D4038-15A8-463B-ABC9-B7B53F142438}"/>
    <cellStyle name="40% - Accent4 8 3 4" xfId="31573" xr:uid="{BE05AE25-BB64-4639-A3F3-1E15E1BE721B}"/>
    <cellStyle name="40% - Accent4 8 4" xfId="10461" xr:uid="{49C51EF5-948A-403B-BC45-2033DC215DFC}"/>
    <cellStyle name="40% - Accent4 8 5" xfId="18909" xr:uid="{0CED01BB-80AF-4311-AE9A-7217B03A13C3}"/>
    <cellStyle name="40% - Accent4 8 6" xfId="27356" xr:uid="{4C47803A-99DB-478A-883F-5C44ACBFE693}"/>
    <cellStyle name="40% - Accent4 9" xfId="2336" xr:uid="{00000000-0005-0000-0000-00003E060000}"/>
    <cellStyle name="40% - Accent4 9 2" xfId="6642" xr:uid="{00000000-0005-0000-0000-00003F060000}"/>
    <cellStyle name="40% - Accent4 9 2 2" xfId="15092" xr:uid="{436972C7-6609-45CC-90B4-F8E0A43550F7}"/>
    <cellStyle name="40% - Accent4 9 2 3" xfId="23539" xr:uid="{DB652BB9-EE55-450C-A406-CC507A2112A7}"/>
    <cellStyle name="40% - Accent4 9 2 4" xfId="31986" xr:uid="{C2340BD7-B27A-4DF2-AB9A-0E370F88E6E7}"/>
    <cellStyle name="40% - Accent4 9 3" xfId="10874" xr:uid="{79A6A061-305D-45E2-AB76-3299097D08A1}"/>
    <cellStyle name="40% - Accent4 9 4" xfId="19322" xr:uid="{765FDCE8-D335-4A06-AC2C-6B8D30CA61B8}"/>
    <cellStyle name="40% - Accent4 9 5" xfId="27769" xr:uid="{1D2CFDA8-4248-43C6-9817-721F1F61F941}"/>
    <cellStyle name="40% - Accent5" xfId="81" builtinId="47" customBuiltin="1"/>
    <cellStyle name="40% - Accent5 10" xfId="4584" xr:uid="{00000000-0005-0000-0000-000041060000}"/>
    <cellStyle name="40% - Accent5 10 2" xfId="13034" xr:uid="{161817A7-FD0C-4519-B795-E90D697D30B1}"/>
    <cellStyle name="40% - Accent5 10 3" xfId="21481" xr:uid="{5C037C15-6F29-4A11-94B9-1D6AEED33E04}"/>
    <cellStyle name="40% - Accent5 10 4" xfId="29928" xr:uid="{FB76E437-A5E4-4795-90CF-8E9E980F1685}"/>
    <cellStyle name="40% - Accent5 11" xfId="8816" xr:uid="{6F14B320-40B2-4C2D-A181-6FA58512E498}"/>
    <cellStyle name="40% - Accent5 12" xfId="17264" xr:uid="{1C454026-3C23-4F2E-85BF-DC2E2CA5ABEA}"/>
    <cellStyle name="40% - Accent5 13" xfId="25711" xr:uid="{ACD7CD92-A8EE-42CD-BE3A-A20049F5A230}"/>
    <cellStyle name="40% - Accent5 2" xfId="82" xr:uid="{00000000-0005-0000-0000-000042060000}"/>
    <cellStyle name="40% - Accent5 2 10" xfId="8817" xr:uid="{61836169-0510-4694-A1DB-0660105545B1}"/>
    <cellStyle name="40% - Accent5 2 11" xfId="17265" xr:uid="{AA8ECC54-3C3D-4CED-B015-094874144A38}"/>
    <cellStyle name="40% - Accent5 2 12" xfId="25712" xr:uid="{59AF2301-AFEC-4890-9258-345309E6C2C0}"/>
    <cellStyle name="40% - Accent5 2 2" xfId="83" xr:uid="{00000000-0005-0000-0000-000043060000}"/>
    <cellStyle name="40% - Accent5 2 2 10" xfId="17266" xr:uid="{22F96F07-8A47-455C-8E48-25B62DF141A1}"/>
    <cellStyle name="40% - Accent5 2 2 11" xfId="25713" xr:uid="{54E24AEE-148C-472C-A78F-BF1724B24FA8}"/>
    <cellStyle name="40% - Accent5 2 2 2" xfId="84" xr:uid="{00000000-0005-0000-0000-000044060000}"/>
    <cellStyle name="40% - Accent5 2 2 2 10" xfId="25714" xr:uid="{A89BD7DA-9FCD-433F-A03E-C298E60F3C14}"/>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541C0CB2-2DEE-47F2-A179-0DDD6862072F}"/>
    <cellStyle name="40% - Accent5 2 2 2 2 2 2 3" xfId="24043" xr:uid="{A9F95A4E-CFA1-4899-B1DA-4AAE47613CB6}"/>
    <cellStyle name="40% - Accent5 2 2 2 2 2 2 4" xfId="32490" xr:uid="{02BDCE45-6866-45EE-B40C-32B8D3886B4A}"/>
    <cellStyle name="40% - Accent5 2 2 2 2 2 3" xfId="11378" xr:uid="{AB830D91-4E9A-4C6F-AD04-581441B3DFC3}"/>
    <cellStyle name="40% - Accent5 2 2 2 2 2 4" xfId="19826" xr:uid="{18FDD36B-61EA-49AC-8B0B-4CC39B71F720}"/>
    <cellStyle name="40% - Accent5 2 2 2 2 2 5" xfId="28273" xr:uid="{5348E777-BF85-4770-8A23-74321BD58CEF}"/>
    <cellStyle name="40% - Accent5 2 2 2 2 3" xfId="5001" xr:uid="{00000000-0005-0000-0000-000048060000}"/>
    <cellStyle name="40% - Accent5 2 2 2 2 3 2" xfId="13451" xr:uid="{46F932D9-E244-410E-BC5C-F2DD2E1F7A08}"/>
    <cellStyle name="40% - Accent5 2 2 2 2 3 3" xfId="21898" xr:uid="{459B5570-1C7D-4A8F-9740-19EC57BFD240}"/>
    <cellStyle name="40% - Accent5 2 2 2 2 3 4" xfId="30345" xr:uid="{09FA4161-AB8F-40A5-884B-4070E7416965}"/>
    <cellStyle name="40% - Accent5 2 2 2 2 4" xfId="9233" xr:uid="{5EA566B9-7998-4E8C-9ECF-2060339CECF1}"/>
    <cellStyle name="40% - Accent5 2 2 2 2 5" xfId="17681" xr:uid="{6621135B-0300-4E52-9808-9A7BC5B47E11}"/>
    <cellStyle name="40% - Accent5 2 2 2 2 6" xfId="26128" xr:uid="{CB6DB93A-2F8F-44A5-85B3-41FBDC85F57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27796AB2-C3F6-49FC-A431-F79E18D7C166}"/>
    <cellStyle name="40% - Accent5 2 2 2 3 2 2 3" xfId="24456" xr:uid="{21C2BBE0-CAA0-4A7B-BDA5-80249ABFCFA1}"/>
    <cellStyle name="40% - Accent5 2 2 2 3 2 2 4" xfId="32903" xr:uid="{A0807FD8-E949-4DE8-AFF6-778FF8C134C4}"/>
    <cellStyle name="40% - Accent5 2 2 2 3 2 3" xfId="11791" xr:uid="{8BC4934E-2DC0-432D-A43D-C2858C73910C}"/>
    <cellStyle name="40% - Accent5 2 2 2 3 2 4" xfId="20239" xr:uid="{5222BBAB-BA95-47F6-8E66-21C8E6E8482F}"/>
    <cellStyle name="40% - Accent5 2 2 2 3 2 5" xfId="28686" xr:uid="{9513FD85-C164-4107-B896-91B90AF8631C}"/>
    <cellStyle name="40% - Accent5 2 2 2 3 3" xfId="5414" xr:uid="{00000000-0005-0000-0000-00004C060000}"/>
    <cellStyle name="40% - Accent5 2 2 2 3 3 2" xfId="13864" xr:uid="{0F3FAF81-E95D-4544-A19C-5114E9162942}"/>
    <cellStyle name="40% - Accent5 2 2 2 3 3 3" xfId="22311" xr:uid="{EE0616C7-C58F-4A5A-A846-2C0CACE5E015}"/>
    <cellStyle name="40% - Accent5 2 2 2 3 3 4" xfId="30758" xr:uid="{61F4A0AF-4430-4066-8ED8-AA0D5DCF5DDB}"/>
    <cellStyle name="40% - Accent5 2 2 2 3 4" xfId="9646" xr:uid="{63C155BD-F2B3-44F3-BD54-FF1A5E211511}"/>
    <cellStyle name="40% - Accent5 2 2 2 3 5" xfId="18094" xr:uid="{B5077DDB-EC15-44E5-BD97-E7C492952CE2}"/>
    <cellStyle name="40% - Accent5 2 2 2 3 6" xfId="26541" xr:uid="{DE510A3B-261D-45DD-8834-A58141CFB288}"/>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49AAB9AC-AA35-4FB7-87A5-A9BE74159CCD}"/>
    <cellStyle name="40% - Accent5 2 2 2 4 2 2 3" xfId="24869" xr:uid="{B871C4A6-2ED8-489D-BFFA-C879490617A5}"/>
    <cellStyle name="40% - Accent5 2 2 2 4 2 2 4" xfId="33316" xr:uid="{0782C6F6-0733-428D-ABF6-342F35B76439}"/>
    <cellStyle name="40% - Accent5 2 2 2 4 2 3" xfId="12204" xr:uid="{A1D272D8-17BD-4FC3-9B92-F85802A45182}"/>
    <cellStyle name="40% - Accent5 2 2 2 4 2 4" xfId="20652" xr:uid="{546AB77F-2551-4791-A060-1B0B543D98E3}"/>
    <cellStyle name="40% - Accent5 2 2 2 4 2 5" xfId="29099" xr:uid="{4CCA48FB-79B9-4FEE-8926-8B0B42E1D2B8}"/>
    <cellStyle name="40% - Accent5 2 2 2 4 3" xfId="5827" xr:uid="{00000000-0005-0000-0000-000050060000}"/>
    <cellStyle name="40% - Accent5 2 2 2 4 3 2" xfId="14277" xr:uid="{719313FE-6C6D-435D-A0DC-D511DF6956DF}"/>
    <cellStyle name="40% - Accent5 2 2 2 4 3 3" xfId="22724" xr:uid="{672BCC82-2F41-4EA6-9E8A-36E36A4CD558}"/>
    <cellStyle name="40% - Accent5 2 2 2 4 3 4" xfId="31171" xr:uid="{36944CD6-1F3E-42FC-853F-81313024C41A}"/>
    <cellStyle name="40% - Accent5 2 2 2 4 4" xfId="10059" xr:uid="{922A12EA-0E80-470F-9FCF-20AC717DF8D1}"/>
    <cellStyle name="40% - Accent5 2 2 2 4 5" xfId="18507" xr:uid="{74773B01-91CA-4E53-8273-367BE58F0F3F}"/>
    <cellStyle name="40% - Accent5 2 2 2 4 6" xfId="26954" xr:uid="{37606D42-9B89-4F9F-A019-720C482F1A08}"/>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232E5F69-8510-435C-8760-96DFA6B2B9C1}"/>
    <cellStyle name="40% - Accent5 2 2 2 5 2 2 3" xfId="25282" xr:uid="{278ACAFE-0240-4ECB-B056-D9A7162BFFE8}"/>
    <cellStyle name="40% - Accent5 2 2 2 5 2 2 4" xfId="33729" xr:uid="{AB94DC22-6090-4702-892A-CDEC7C1AD15A}"/>
    <cellStyle name="40% - Accent5 2 2 2 5 2 3" xfId="12617" xr:uid="{97456A44-ED52-4736-A76C-0E24FC537017}"/>
    <cellStyle name="40% - Accent5 2 2 2 5 2 4" xfId="21065" xr:uid="{A118D5EB-E51D-4C46-B528-0C2C3593EDE6}"/>
    <cellStyle name="40% - Accent5 2 2 2 5 2 5" xfId="29512" xr:uid="{597BF864-B31A-44BC-BA89-8E233F3501B2}"/>
    <cellStyle name="40% - Accent5 2 2 2 5 3" xfId="6240" xr:uid="{00000000-0005-0000-0000-000054060000}"/>
    <cellStyle name="40% - Accent5 2 2 2 5 3 2" xfId="14690" xr:uid="{AB0CB2D6-D8B3-4082-97AA-4BBDC5CD212A}"/>
    <cellStyle name="40% - Accent5 2 2 2 5 3 3" xfId="23137" xr:uid="{965F07F7-BDA1-4156-9314-C24AB7EC3012}"/>
    <cellStyle name="40% - Accent5 2 2 2 5 3 4" xfId="31584" xr:uid="{3B3A8D64-9ECA-4289-9179-C2E8A1C87D8C}"/>
    <cellStyle name="40% - Accent5 2 2 2 5 4" xfId="10472" xr:uid="{5709C3B2-712F-4086-BC8F-DE2866A5AEA6}"/>
    <cellStyle name="40% - Accent5 2 2 2 5 5" xfId="18920" xr:uid="{717D92F3-2EB2-4D20-8EF1-E0217DB287B5}"/>
    <cellStyle name="40% - Accent5 2 2 2 5 6" xfId="27367" xr:uid="{86AF5184-03FF-41A9-8216-2A3D59EB6ACE}"/>
    <cellStyle name="40% - Accent5 2 2 2 6" xfId="2347" xr:uid="{00000000-0005-0000-0000-000055060000}"/>
    <cellStyle name="40% - Accent5 2 2 2 6 2" xfId="6653" xr:uid="{00000000-0005-0000-0000-000056060000}"/>
    <cellStyle name="40% - Accent5 2 2 2 6 2 2" xfId="15103" xr:uid="{FD8573C6-7ADF-43D7-8FE9-ED704060A109}"/>
    <cellStyle name="40% - Accent5 2 2 2 6 2 3" xfId="23550" xr:uid="{B941C3C2-6BA8-43E0-AD4C-59CE0FBCDCA4}"/>
    <cellStyle name="40% - Accent5 2 2 2 6 2 4" xfId="31997" xr:uid="{5331A840-8FE9-4972-99C8-FD47C1492801}"/>
    <cellStyle name="40% - Accent5 2 2 2 6 3" xfId="10885" xr:uid="{15CC5F1A-68FE-417B-999F-919614F2FDDA}"/>
    <cellStyle name="40% - Accent5 2 2 2 6 4" xfId="19333" xr:uid="{9765DF8E-C84C-4189-8CF1-1B96C7212F88}"/>
    <cellStyle name="40% - Accent5 2 2 2 6 5" xfId="27780" xr:uid="{9AA7F6CA-A16A-4323-BF97-C4E5BE199BC3}"/>
    <cellStyle name="40% - Accent5 2 2 2 7" xfId="4587" xr:uid="{00000000-0005-0000-0000-000057060000}"/>
    <cellStyle name="40% - Accent5 2 2 2 7 2" xfId="13037" xr:uid="{F9210206-EFAC-44BE-8D2C-EBDD2F089132}"/>
    <cellStyle name="40% - Accent5 2 2 2 7 3" xfId="21484" xr:uid="{A95FF6EB-33B2-4616-9075-92380AA26C40}"/>
    <cellStyle name="40% - Accent5 2 2 2 7 4" xfId="29931" xr:uid="{4A4DC25B-A1B5-4905-B776-B63E33AC99F5}"/>
    <cellStyle name="40% - Accent5 2 2 2 8" xfId="8819" xr:uid="{A1966E74-1482-40BA-AF4C-8D2787665329}"/>
    <cellStyle name="40% - Accent5 2 2 2 9" xfId="17267" xr:uid="{1516AFCE-6991-4749-A94A-A0114C8DB37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079E0C1A-73C4-42B0-B42E-3A7FE29198F4}"/>
    <cellStyle name="40% - Accent5 2 2 3 2 2 3" xfId="24042" xr:uid="{ACCF962E-163C-47FF-B7FD-BA8A24B4F13C}"/>
    <cellStyle name="40% - Accent5 2 2 3 2 2 4" xfId="32489" xr:uid="{6AAD810F-274C-4523-A61E-0682B8FD1D7A}"/>
    <cellStyle name="40% - Accent5 2 2 3 2 3" xfId="11377" xr:uid="{266944D5-2953-489D-AE11-6E6D5DE76FE7}"/>
    <cellStyle name="40% - Accent5 2 2 3 2 4" xfId="19825" xr:uid="{39BB4D58-B802-4D9C-8788-C0FB256E4D6C}"/>
    <cellStyle name="40% - Accent5 2 2 3 2 5" xfId="28272" xr:uid="{F9522338-B2F5-4603-91F5-4DDF8E72534C}"/>
    <cellStyle name="40% - Accent5 2 2 3 3" xfId="5000" xr:uid="{00000000-0005-0000-0000-00005B060000}"/>
    <cellStyle name="40% - Accent5 2 2 3 3 2" xfId="13450" xr:uid="{B6697605-E947-4D05-B7E0-F75B5425715A}"/>
    <cellStyle name="40% - Accent5 2 2 3 3 3" xfId="21897" xr:uid="{C08FF8A2-3255-45EF-975E-C7C2ADD89B4A}"/>
    <cellStyle name="40% - Accent5 2 2 3 3 4" xfId="30344" xr:uid="{41F27D48-56AF-4F69-B539-9126481D97C9}"/>
    <cellStyle name="40% - Accent5 2 2 3 4" xfId="9232" xr:uid="{78928F0E-65D0-4109-BD1D-91D5C7F155B7}"/>
    <cellStyle name="40% - Accent5 2 2 3 5" xfId="17680" xr:uid="{4EA27348-E600-4A0C-8F6D-25C7C4ED0778}"/>
    <cellStyle name="40% - Accent5 2 2 3 6" xfId="26127" xr:uid="{31E18078-99DE-4FF1-B03D-8905995C21D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60CA8621-E9BE-4D3E-BA75-9E58334E89F7}"/>
    <cellStyle name="40% - Accent5 2 2 4 2 2 3" xfId="24455" xr:uid="{2C9299E9-667F-4133-923C-414DB1511E9D}"/>
    <cellStyle name="40% - Accent5 2 2 4 2 2 4" xfId="32902" xr:uid="{35326BE6-48F7-4F1F-88E3-B7D957A15D34}"/>
    <cellStyle name="40% - Accent5 2 2 4 2 3" xfId="11790" xr:uid="{72174C9C-CA6F-4F3D-A3ED-8B1AE36FD837}"/>
    <cellStyle name="40% - Accent5 2 2 4 2 4" xfId="20238" xr:uid="{C086DE1D-2539-409A-AB0E-FAAC6FB3DF1F}"/>
    <cellStyle name="40% - Accent5 2 2 4 2 5" xfId="28685" xr:uid="{64B887F8-758B-47A4-B815-3AD744CFA304}"/>
    <cellStyle name="40% - Accent5 2 2 4 3" xfId="5413" xr:uid="{00000000-0005-0000-0000-00005F060000}"/>
    <cellStyle name="40% - Accent5 2 2 4 3 2" xfId="13863" xr:uid="{49839CFD-16E6-4FC8-8B61-981241774963}"/>
    <cellStyle name="40% - Accent5 2 2 4 3 3" xfId="22310" xr:uid="{2C9930BC-FA82-4B00-94CA-EFA9B6684CAE}"/>
    <cellStyle name="40% - Accent5 2 2 4 3 4" xfId="30757" xr:uid="{005BCF2E-BA55-41A5-8CC4-7935CE89452A}"/>
    <cellStyle name="40% - Accent5 2 2 4 4" xfId="9645" xr:uid="{A25F0716-4804-4038-9FED-F8C2C45BA05B}"/>
    <cellStyle name="40% - Accent5 2 2 4 5" xfId="18093" xr:uid="{8ECB9228-24E1-41C7-9F95-9CBDD4E959F0}"/>
    <cellStyle name="40% - Accent5 2 2 4 6" xfId="26540" xr:uid="{510649E6-237C-49F3-817C-599E26B49EEE}"/>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F4309502-7C42-42CE-B37E-1F3147D62284}"/>
    <cellStyle name="40% - Accent5 2 2 5 2 2 3" xfId="24868" xr:uid="{0BD251CE-64D0-4C09-B037-9AF6A38FC660}"/>
    <cellStyle name="40% - Accent5 2 2 5 2 2 4" xfId="33315" xr:uid="{38964E30-C3A8-4151-9968-7815FA89A487}"/>
    <cellStyle name="40% - Accent5 2 2 5 2 3" xfId="12203" xr:uid="{7E5BF375-D559-4B85-855D-927C23449F48}"/>
    <cellStyle name="40% - Accent5 2 2 5 2 4" xfId="20651" xr:uid="{5172D1E9-0D30-4CB9-877A-96D7A6ADBD77}"/>
    <cellStyle name="40% - Accent5 2 2 5 2 5" xfId="29098" xr:uid="{BDD99EAF-8AC1-4913-BCFC-8F502473AFD1}"/>
    <cellStyle name="40% - Accent5 2 2 5 3" xfId="5826" xr:uid="{00000000-0005-0000-0000-000063060000}"/>
    <cellStyle name="40% - Accent5 2 2 5 3 2" xfId="14276" xr:uid="{1F0667DF-92CC-4422-81F6-B5DD1FDBC9A4}"/>
    <cellStyle name="40% - Accent5 2 2 5 3 3" xfId="22723" xr:uid="{51EA067D-762A-454F-8082-8219BD6A5A24}"/>
    <cellStyle name="40% - Accent5 2 2 5 3 4" xfId="31170" xr:uid="{79A7B81C-791F-4706-AEA1-E94961CFADFD}"/>
    <cellStyle name="40% - Accent5 2 2 5 4" xfId="10058" xr:uid="{0D62168A-18E5-40B8-A589-270DEB539F69}"/>
    <cellStyle name="40% - Accent5 2 2 5 5" xfId="18506" xr:uid="{FDA395D7-5558-488C-B935-FD87A537B631}"/>
    <cellStyle name="40% - Accent5 2 2 5 6" xfId="26953" xr:uid="{C6E3DE71-A305-40A4-B6C3-D7DC3CB2346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77B5074D-AB69-4660-B13E-100A34025D2E}"/>
    <cellStyle name="40% - Accent5 2 2 6 2 2 3" xfId="25281" xr:uid="{840EB9A2-5E38-4662-B18C-4712F27DA7BE}"/>
    <cellStyle name="40% - Accent5 2 2 6 2 2 4" xfId="33728" xr:uid="{06D55858-B3E0-4B5A-A664-DE826619C6F4}"/>
    <cellStyle name="40% - Accent5 2 2 6 2 3" xfId="12616" xr:uid="{3FE968D4-6A77-4233-83C4-64BB3F20C1B9}"/>
    <cellStyle name="40% - Accent5 2 2 6 2 4" xfId="21064" xr:uid="{72EA70B7-4FC5-40FB-AE79-A1560B4D8253}"/>
    <cellStyle name="40% - Accent5 2 2 6 2 5" xfId="29511" xr:uid="{D4AFDF48-5BF0-43C5-83B1-A66A2B925160}"/>
    <cellStyle name="40% - Accent5 2 2 6 3" xfId="6239" xr:uid="{00000000-0005-0000-0000-000067060000}"/>
    <cellStyle name="40% - Accent5 2 2 6 3 2" xfId="14689" xr:uid="{13B20A96-AE3F-4076-948D-D43F84E10F52}"/>
    <cellStyle name="40% - Accent5 2 2 6 3 3" xfId="23136" xr:uid="{E8432027-E9F9-4BA2-B245-4C6C953C2EBD}"/>
    <cellStyle name="40% - Accent5 2 2 6 3 4" xfId="31583" xr:uid="{88BFB874-33DB-4120-A29F-09B89DF1E21C}"/>
    <cellStyle name="40% - Accent5 2 2 6 4" xfId="10471" xr:uid="{C530A42A-4223-4A2E-9E47-741A85903764}"/>
    <cellStyle name="40% - Accent5 2 2 6 5" xfId="18919" xr:uid="{802E07A0-2637-4316-8A6E-E7072CF0C1AA}"/>
    <cellStyle name="40% - Accent5 2 2 6 6" xfId="27366" xr:uid="{1D348280-6344-4187-9D82-C48BACEF570A}"/>
    <cellStyle name="40% - Accent5 2 2 7" xfId="2346" xr:uid="{00000000-0005-0000-0000-000068060000}"/>
    <cellStyle name="40% - Accent5 2 2 7 2" xfId="6652" xr:uid="{00000000-0005-0000-0000-000069060000}"/>
    <cellStyle name="40% - Accent5 2 2 7 2 2" xfId="15102" xr:uid="{0D64C835-B40C-4002-9CF6-831FFFF79D1D}"/>
    <cellStyle name="40% - Accent5 2 2 7 2 3" xfId="23549" xr:uid="{97CBE3DF-D27C-44BD-A07C-27AFFE4C233C}"/>
    <cellStyle name="40% - Accent5 2 2 7 2 4" xfId="31996" xr:uid="{C1DED841-BBE8-4881-AA94-FCDFFC237EF9}"/>
    <cellStyle name="40% - Accent5 2 2 7 3" xfId="10884" xr:uid="{9E3BD7AC-CFBB-43B1-BCB5-654F38C43198}"/>
    <cellStyle name="40% - Accent5 2 2 7 4" xfId="19332" xr:uid="{0FD4D619-7B33-42A8-A53E-D20CC437ECE8}"/>
    <cellStyle name="40% - Accent5 2 2 7 5" xfId="27779" xr:uid="{694738D7-0ECA-4A95-92E1-2E04FBDAFD91}"/>
    <cellStyle name="40% - Accent5 2 2 8" xfId="4586" xr:uid="{00000000-0005-0000-0000-00006A060000}"/>
    <cellStyle name="40% - Accent5 2 2 8 2" xfId="13036" xr:uid="{29EBF8C4-DD71-4DC7-A3BE-54F8F4C5029B}"/>
    <cellStyle name="40% - Accent5 2 2 8 3" xfId="21483" xr:uid="{67BC1843-6374-429B-9D49-17C09B4BAEE9}"/>
    <cellStyle name="40% - Accent5 2 2 8 4" xfId="29930" xr:uid="{B4F7F095-80C2-4558-BDB2-356B859DADA7}"/>
    <cellStyle name="40% - Accent5 2 2 9" xfId="8818" xr:uid="{AFA3E982-EB58-429D-B506-6AB027E0EDCA}"/>
    <cellStyle name="40% - Accent5 2 3" xfId="85" xr:uid="{00000000-0005-0000-0000-00006B060000}"/>
    <cellStyle name="40% - Accent5 2 3 10" xfId="25715" xr:uid="{87DC296C-E727-4E49-822C-5CD863C1CB41}"/>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5A0CA1A2-CDC5-4BC9-AF0B-CA66D92EEE2A}"/>
    <cellStyle name="40% - Accent5 2 3 2 2 2 3" xfId="24044" xr:uid="{03B039CC-3894-4C8E-B814-C566CD6320AF}"/>
    <cellStyle name="40% - Accent5 2 3 2 2 2 4" xfId="32491" xr:uid="{52219CAE-7EA8-41C7-A68D-160164A4D63E}"/>
    <cellStyle name="40% - Accent5 2 3 2 2 3" xfId="11379" xr:uid="{7F48E656-6FBC-41A2-934C-7A709BD55C81}"/>
    <cellStyle name="40% - Accent5 2 3 2 2 4" xfId="19827" xr:uid="{B3FF1050-DE76-425D-AB8A-6B4F9ACBF0C6}"/>
    <cellStyle name="40% - Accent5 2 3 2 2 5" xfId="28274" xr:uid="{D4F41EA9-7EB9-4F49-B67C-7A37059A34B3}"/>
    <cellStyle name="40% - Accent5 2 3 2 3" xfId="5002" xr:uid="{00000000-0005-0000-0000-00006F060000}"/>
    <cellStyle name="40% - Accent5 2 3 2 3 2" xfId="13452" xr:uid="{05F96756-F57C-40B3-9038-613E1BAD7D45}"/>
    <cellStyle name="40% - Accent5 2 3 2 3 3" xfId="21899" xr:uid="{C5DAF218-30DF-47C8-9D31-4CF9D8B92E86}"/>
    <cellStyle name="40% - Accent5 2 3 2 3 4" xfId="30346" xr:uid="{A766DEB8-8F9B-4BBD-998E-0C67E686FE7C}"/>
    <cellStyle name="40% - Accent5 2 3 2 4" xfId="9234" xr:uid="{EBCDFB93-0A8A-41AC-8126-9C0C34495E6E}"/>
    <cellStyle name="40% - Accent5 2 3 2 5" xfId="17682" xr:uid="{A8C8A540-7F43-4606-B84F-184FD663DF6D}"/>
    <cellStyle name="40% - Accent5 2 3 2 6" xfId="26129" xr:uid="{B8B13E4F-08E9-4E76-AC8C-09C5924CEE7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6CCBFECD-7796-4EF5-8188-C12CA8F32DEE}"/>
    <cellStyle name="40% - Accent5 2 3 3 2 2 3" xfId="24457" xr:uid="{A784DB41-89C7-4161-9363-E3250EA246F0}"/>
    <cellStyle name="40% - Accent5 2 3 3 2 2 4" xfId="32904" xr:uid="{B566C721-BCC9-4856-B8C9-1678D7D52F0D}"/>
    <cellStyle name="40% - Accent5 2 3 3 2 3" xfId="11792" xr:uid="{143750F6-6B3E-4A7D-AF53-8911ED236D02}"/>
    <cellStyle name="40% - Accent5 2 3 3 2 4" xfId="20240" xr:uid="{8AB6775A-1AB6-4DF4-87BC-3B69E56D9902}"/>
    <cellStyle name="40% - Accent5 2 3 3 2 5" xfId="28687" xr:uid="{FA83A797-6608-40FE-A77F-2919E5E42DA5}"/>
    <cellStyle name="40% - Accent5 2 3 3 3" xfId="5415" xr:uid="{00000000-0005-0000-0000-000073060000}"/>
    <cellStyle name="40% - Accent5 2 3 3 3 2" xfId="13865" xr:uid="{B489C3FB-3B8C-447A-AD56-ED2492B11C42}"/>
    <cellStyle name="40% - Accent5 2 3 3 3 3" xfId="22312" xr:uid="{4DCE37CB-C827-41C7-A704-3CBFE5C7F1A8}"/>
    <cellStyle name="40% - Accent5 2 3 3 3 4" xfId="30759" xr:uid="{7B51C246-2228-421F-8FC7-6EB9F29704C5}"/>
    <cellStyle name="40% - Accent5 2 3 3 4" xfId="9647" xr:uid="{D953F09B-E247-4C57-970F-C759F16772AB}"/>
    <cellStyle name="40% - Accent5 2 3 3 5" xfId="18095" xr:uid="{6D2D01AD-28CE-44AB-A03B-DB353EDC7DFD}"/>
    <cellStyle name="40% - Accent5 2 3 3 6" xfId="26542" xr:uid="{BED53290-02C5-402F-8F49-EDBA3733CB60}"/>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2782B2C2-CF22-41BD-B905-E49525CB239E}"/>
    <cellStyle name="40% - Accent5 2 3 4 2 2 3" xfId="24870" xr:uid="{14EBF147-A943-4501-BEE4-37AB1BE0C4D4}"/>
    <cellStyle name="40% - Accent5 2 3 4 2 2 4" xfId="33317" xr:uid="{DF74292C-C4D4-4C14-ABE2-8FBDD67091D0}"/>
    <cellStyle name="40% - Accent5 2 3 4 2 3" xfId="12205" xr:uid="{45FC9AB0-8603-4A88-B9B8-5CA3CBD2CAE2}"/>
    <cellStyle name="40% - Accent5 2 3 4 2 4" xfId="20653" xr:uid="{04134F20-FDBD-47FF-8213-3608C4DE76B2}"/>
    <cellStyle name="40% - Accent5 2 3 4 2 5" xfId="29100" xr:uid="{DA8044E5-DDF5-4166-A863-BD6500CEE17F}"/>
    <cellStyle name="40% - Accent5 2 3 4 3" xfId="5828" xr:uid="{00000000-0005-0000-0000-000077060000}"/>
    <cellStyle name="40% - Accent5 2 3 4 3 2" xfId="14278" xr:uid="{FB180CB9-D31D-4664-8362-FF4D28A1A592}"/>
    <cellStyle name="40% - Accent5 2 3 4 3 3" xfId="22725" xr:uid="{C3DA1991-D799-458B-8D00-B0F621C17164}"/>
    <cellStyle name="40% - Accent5 2 3 4 3 4" xfId="31172" xr:uid="{0025510A-0FD6-4F80-B1CE-5A8581970C70}"/>
    <cellStyle name="40% - Accent5 2 3 4 4" xfId="10060" xr:uid="{4B577159-D9B1-4F66-8A1B-EF2949426E85}"/>
    <cellStyle name="40% - Accent5 2 3 4 5" xfId="18508" xr:uid="{E9AC23C1-D667-495E-AD1B-B73A76753BEA}"/>
    <cellStyle name="40% - Accent5 2 3 4 6" xfId="26955" xr:uid="{48CC2674-0D6D-4F57-8245-C268E8439E29}"/>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23577FC1-8E3F-4591-9009-8711E91393AD}"/>
    <cellStyle name="40% - Accent5 2 3 5 2 2 3" xfId="25283" xr:uid="{04A51624-64BA-4446-A2E3-E1F5D5FBDC03}"/>
    <cellStyle name="40% - Accent5 2 3 5 2 2 4" xfId="33730" xr:uid="{3BC8D32C-EC70-46B7-9CF8-7D589A5056BC}"/>
    <cellStyle name="40% - Accent5 2 3 5 2 3" xfId="12618" xr:uid="{8A6A40DC-77B7-499D-B0E4-AFC7DB1316C1}"/>
    <cellStyle name="40% - Accent5 2 3 5 2 4" xfId="21066" xr:uid="{64E96A7C-8ED7-4BF5-919C-D2DAE22DAE56}"/>
    <cellStyle name="40% - Accent5 2 3 5 2 5" xfId="29513" xr:uid="{302ABB71-68A7-4F76-867E-F84D96A42490}"/>
    <cellStyle name="40% - Accent5 2 3 5 3" xfId="6241" xr:uid="{00000000-0005-0000-0000-00007B060000}"/>
    <cellStyle name="40% - Accent5 2 3 5 3 2" xfId="14691" xr:uid="{C8F83060-7C20-4133-8D1A-2CBE88BE7BD8}"/>
    <cellStyle name="40% - Accent5 2 3 5 3 3" xfId="23138" xr:uid="{31FA36E6-B51B-4B97-BA95-D053ADE758C3}"/>
    <cellStyle name="40% - Accent5 2 3 5 3 4" xfId="31585" xr:uid="{93704D16-5067-44AE-B6F0-4DA59C0FFDDB}"/>
    <cellStyle name="40% - Accent5 2 3 5 4" xfId="10473" xr:uid="{21E10DEC-7D94-4920-B29C-BA8FB35F5A92}"/>
    <cellStyle name="40% - Accent5 2 3 5 5" xfId="18921" xr:uid="{3AA4FB88-7AB3-47D2-8A2D-3E77BA8555AF}"/>
    <cellStyle name="40% - Accent5 2 3 5 6" xfId="27368" xr:uid="{7B5B791F-C925-4ECA-858E-1F53E6BE237A}"/>
    <cellStyle name="40% - Accent5 2 3 6" xfId="2348" xr:uid="{00000000-0005-0000-0000-00007C060000}"/>
    <cellStyle name="40% - Accent5 2 3 6 2" xfId="6654" xr:uid="{00000000-0005-0000-0000-00007D060000}"/>
    <cellStyle name="40% - Accent5 2 3 6 2 2" xfId="15104" xr:uid="{7E8ADD65-8645-4CB7-9C6E-A478FCF0F791}"/>
    <cellStyle name="40% - Accent5 2 3 6 2 3" xfId="23551" xr:uid="{E7135AD9-539D-4D9C-9950-3BD3312A73CF}"/>
    <cellStyle name="40% - Accent5 2 3 6 2 4" xfId="31998" xr:uid="{6BC2463E-142E-40E6-ADA5-BFF8219AF84B}"/>
    <cellStyle name="40% - Accent5 2 3 6 3" xfId="10886" xr:uid="{7A6332AE-A2AF-4F27-823D-0E8144F6A884}"/>
    <cellStyle name="40% - Accent5 2 3 6 4" xfId="19334" xr:uid="{0C8DE723-D3DF-44A0-90D1-502644A738C1}"/>
    <cellStyle name="40% - Accent5 2 3 6 5" xfId="27781" xr:uid="{0F127371-F810-47C3-AC16-A26F2E24B8CA}"/>
    <cellStyle name="40% - Accent5 2 3 7" xfId="4588" xr:uid="{00000000-0005-0000-0000-00007E060000}"/>
    <cellStyle name="40% - Accent5 2 3 7 2" xfId="13038" xr:uid="{9237D71F-795D-4AA9-9FF2-9A0286BCF10A}"/>
    <cellStyle name="40% - Accent5 2 3 7 3" xfId="21485" xr:uid="{37943100-C648-4821-BF8B-6EDCECE944DC}"/>
    <cellStyle name="40% - Accent5 2 3 7 4" xfId="29932" xr:uid="{AFD0EA29-960F-49E8-8FBE-DDC5F62E47B7}"/>
    <cellStyle name="40% - Accent5 2 3 8" xfId="8820" xr:uid="{EE1FBD81-E20B-4FD5-BC96-37E0821D6058}"/>
    <cellStyle name="40% - Accent5 2 3 9" xfId="17268" xr:uid="{45136D00-A66E-480D-8D9D-985FECD2C0D7}"/>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41EC245A-ECF5-4A26-9032-020508175A11}"/>
    <cellStyle name="40% - Accent5 2 4 2 2 3" xfId="24041" xr:uid="{B438B1D4-4CC8-4E3D-AF63-CEFF6BAC2B42}"/>
    <cellStyle name="40% - Accent5 2 4 2 2 4" xfId="32488" xr:uid="{CA40953D-F5B9-49AA-8F2F-F1E69A786CFD}"/>
    <cellStyle name="40% - Accent5 2 4 2 3" xfId="11376" xr:uid="{4530CEFE-A980-4656-AA13-F8B473F30C60}"/>
    <cellStyle name="40% - Accent5 2 4 2 4" xfId="19824" xr:uid="{374AB5FE-6C4F-4AB8-8E85-0D76F6D9BFFD}"/>
    <cellStyle name="40% - Accent5 2 4 2 5" xfId="28271" xr:uid="{BA11BABF-1AB5-4F9F-AFF4-D5CBE636A9F9}"/>
    <cellStyle name="40% - Accent5 2 4 3" xfId="4999" xr:uid="{00000000-0005-0000-0000-000082060000}"/>
    <cellStyle name="40% - Accent5 2 4 3 2" xfId="13449" xr:uid="{9F83BC48-C17E-40D5-909A-432E5F0687AC}"/>
    <cellStyle name="40% - Accent5 2 4 3 3" xfId="21896" xr:uid="{A2BE9194-4A26-4CA6-A17D-F03735CC4D80}"/>
    <cellStyle name="40% - Accent5 2 4 3 4" xfId="30343" xr:uid="{9F926D1F-A4B8-4702-8277-88EEBD322E09}"/>
    <cellStyle name="40% - Accent5 2 4 4" xfId="9231" xr:uid="{A4FA13E0-DBEF-4E66-A792-6EBD2C641FE7}"/>
    <cellStyle name="40% - Accent5 2 4 5" xfId="17679" xr:uid="{936677BF-81A6-4603-B869-5ABBF3DC30E7}"/>
    <cellStyle name="40% - Accent5 2 4 6" xfId="26126" xr:uid="{D9CFD73D-EC1A-444E-A161-3A2BB989717F}"/>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D2DEB96E-97AE-4555-9905-2CEC1B2707D0}"/>
    <cellStyle name="40% - Accent5 2 5 2 2 3" xfId="24454" xr:uid="{3735C254-423C-4281-AC8E-6FDF5C3C48A1}"/>
    <cellStyle name="40% - Accent5 2 5 2 2 4" xfId="32901" xr:uid="{A0D379D7-A958-481F-B9AE-6A5BC6F8B24A}"/>
    <cellStyle name="40% - Accent5 2 5 2 3" xfId="11789" xr:uid="{A9A18018-267F-4660-B21A-647EF2375A77}"/>
    <cellStyle name="40% - Accent5 2 5 2 4" xfId="20237" xr:uid="{02F8BD62-5132-4748-954A-898C2C91E1A4}"/>
    <cellStyle name="40% - Accent5 2 5 2 5" xfId="28684" xr:uid="{886C67E1-85D1-4234-A537-BAFC707D2C63}"/>
    <cellStyle name="40% - Accent5 2 5 3" xfId="5412" xr:uid="{00000000-0005-0000-0000-000086060000}"/>
    <cellStyle name="40% - Accent5 2 5 3 2" xfId="13862" xr:uid="{53A3B300-D666-4EBA-84C1-412915B1259C}"/>
    <cellStyle name="40% - Accent5 2 5 3 3" xfId="22309" xr:uid="{60BC22F4-E3EC-487C-808A-C236BD809315}"/>
    <cellStyle name="40% - Accent5 2 5 3 4" xfId="30756" xr:uid="{3613A37F-C4C4-4ECC-9B42-06260E1F2FA1}"/>
    <cellStyle name="40% - Accent5 2 5 4" xfId="9644" xr:uid="{C83BDAC2-3DBD-4A4D-84B6-26C1DF4D26D2}"/>
    <cellStyle name="40% - Accent5 2 5 5" xfId="18092" xr:uid="{475670D1-0F4A-4EC0-B88A-C92E555AD7D6}"/>
    <cellStyle name="40% - Accent5 2 5 6" xfId="26539" xr:uid="{5C9A27FA-C185-4BA4-90D0-5E3484190BBD}"/>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1A8DAA1B-8030-4CE3-BE71-16B39DFFC3D7}"/>
    <cellStyle name="40% - Accent5 2 6 2 2 3" xfId="24867" xr:uid="{C1E1BF3A-ACB4-41B4-9EB7-175FF9D62DAE}"/>
    <cellStyle name="40% - Accent5 2 6 2 2 4" xfId="33314" xr:uid="{F6145D00-3B5B-411F-AD57-55FA5CD88FC0}"/>
    <cellStyle name="40% - Accent5 2 6 2 3" xfId="12202" xr:uid="{CFECB8B2-B415-4721-9014-A936BD90C0C6}"/>
    <cellStyle name="40% - Accent5 2 6 2 4" xfId="20650" xr:uid="{0D85902B-9F91-4F96-AF4A-ED247C46B615}"/>
    <cellStyle name="40% - Accent5 2 6 2 5" xfId="29097" xr:uid="{CB52A077-6377-499D-8555-33A745EDD457}"/>
    <cellStyle name="40% - Accent5 2 6 3" xfId="5825" xr:uid="{00000000-0005-0000-0000-00008A060000}"/>
    <cellStyle name="40% - Accent5 2 6 3 2" xfId="14275" xr:uid="{0E54FB29-270C-4335-965C-FFFFA2AB9519}"/>
    <cellStyle name="40% - Accent5 2 6 3 3" xfId="22722" xr:uid="{34BE64F0-DBA0-4C20-B693-822355F81FDA}"/>
    <cellStyle name="40% - Accent5 2 6 3 4" xfId="31169" xr:uid="{6CC186E4-B399-4FF5-94DB-823806BF4910}"/>
    <cellStyle name="40% - Accent5 2 6 4" xfId="10057" xr:uid="{76854E9A-0299-4810-B7BB-BCD8D27DB29B}"/>
    <cellStyle name="40% - Accent5 2 6 5" xfId="18505" xr:uid="{48CBA283-98E6-47C1-8DF4-4FBA3F33E8D2}"/>
    <cellStyle name="40% - Accent5 2 6 6" xfId="26952" xr:uid="{EE00CDC9-8F44-4CA6-81EF-99443F82805A}"/>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621FFEEA-556E-49EE-8159-0DCC8EA73505}"/>
    <cellStyle name="40% - Accent5 2 7 2 2 3" xfId="25280" xr:uid="{57094FAD-AABE-4F4C-9280-255E9BFF811B}"/>
    <cellStyle name="40% - Accent5 2 7 2 2 4" xfId="33727" xr:uid="{28CBEFAF-A9E7-4A62-9E21-E7EBE408784E}"/>
    <cellStyle name="40% - Accent5 2 7 2 3" xfId="12615" xr:uid="{861CADB6-0CC3-4597-AA3D-D5E03F754496}"/>
    <cellStyle name="40% - Accent5 2 7 2 4" xfId="21063" xr:uid="{4282FB85-8B08-44BD-970B-75D7B307D5F2}"/>
    <cellStyle name="40% - Accent5 2 7 2 5" xfId="29510" xr:uid="{EF2497A7-E81B-406E-B4A7-E6481DBE0D1E}"/>
    <cellStyle name="40% - Accent5 2 7 3" xfId="6238" xr:uid="{00000000-0005-0000-0000-00008E060000}"/>
    <cellStyle name="40% - Accent5 2 7 3 2" xfId="14688" xr:uid="{0424A66F-16A1-4F9C-9197-A063AFDFE279}"/>
    <cellStyle name="40% - Accent5 2 7 3 3" xfId="23135" xr:uid="{A3DBDEC9-3C56-4E3F-A0A2-126277D78D69}"/>
    <cellStyle name="40% - Accent5 2 7 3 4" xfId="31582" xr:uid="{5451DFB6-BA54-471A-9169-182261C56903}"/>
    <cellStyle name="40% - Accent5 2 7 4" xfId="10470" xr:uid="{35C0A92C-8D13-4EDA-9C92-0D1BF3ABEEEF}"/>
    <cellStyle name="40% - Accent5 2 7 5" xfId="18918" xr:uid="{E31C6FF6-586C-429E-AF38-42F107A4F1E3}"/>
    <cellStyle name="40% - Accent5 2 7 6" xfId="27365" xr:uid="{05AB3EF7-C521-4AF0-A7F5-4EB4DACB8D65}"/>
    <cellStyle name="40% - Accent5 2 8" xfId="2345" xr:uid="{00000000-0005-0000-0000-00008F060000}"/>
    <cellStyle name="40% - Accent5 2 8 2" xfId="6651" xr:uid="{00000000-0005-0000-0000-000090060000}"/>
    <cellStyle name="40% - Accent5 2 8 2 2" xfId="15101" xr:uid="{5893D2BD-0FBA-434C-8080-B31B815B7A4D}"/>
    <cellStyle name="40% - Accent5 2 8 2 3" xfId="23548" xr:uid="{B1847557-7E49-4B4D-A3EE-6E787457FED3}"/>
    <cellStyle name="40% - Accent5 2 8 2 4" xfId="31995" xr:uid="{EDB42816-D02D-412A-A669-705878334A10}"/>
    <cellStyle name="40% - Accent5 2 8 3" xfId="10883" xr:uid="{D29A9467-F4B9-4C39-9521-A3A6EA4955CB}"/>
    <cellStyle name="40% - Accent5 2 8 4" xfId="19331" xr:uid="{2CA35FC8-9D84-43AE-AD47-141BAAF607B4}"/>
    <cellStyle name="40% - Accent5 2 8 5" xfId="27778" xr:uid="{288F84B1-5C36-4D81-A759-386E7994CDFD}"/>
    <cellStyle name="40% - Accent5 2 9" xfId="4585" xr:uid="{00000000-0005-0000-0000-000091060000}"/>
    <cellStyle name="40% - Accent5 2 9 2" xfId="13035" xr:uid="{86B9B959-D166-483A-9526-2017E0DCDB6F}"/>
    <cellStyle name="40% - Accent5 2 9 3" xfId="21482" xr:uid="{979D02AF-671F-46D8-B489-E33EA16CAA02}"/>
    <cellStyle name="40% - Accent5 2 9 4" xfId="29929" xr:uid="{37342016-E508-43B2-99D6-6AB36067A236}"/>
    <cellStyle name="40% - Accent5 3" xfId="86" xr:uid="{00000000-0005-0000-0000-000092060000}"/>
    <cellStyle name="40% - Accent5 3 10" xfId="17269" xr:uid="{818492A9-A851-4782-BB49-E88165DFB6F0}"/>
    <cellStyle name="40% - Accent5 3 11" xfId="25716" xr:uid="{C6A444A0-7C65-4299-BA7D-3BDE53191FFA}"/>
    <cellStyle name="40% - Accent5 3 2" xfId="87" xr:uid="{00000000-0005-0000-0000-000093060000}"/>
    <cellStyle name="40% - Accent5 3 2 10" xfId="25717" xr:uid="{0D5F3156-0A41-437F-94C7-524CC1075593}"/>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95A36CA4-D186-44EB-9A85-1EBD1527FDD6}"/>
    <cellStyle name="40% - Accent5 3 2 2 2 2 3" xfId="24046" xr:uid="{A9B20BAE-18E2-4673-9C3A-8B8EA3E2ED8D}"/>
    <cellStyle name="40% - Accent5 3 2 2 2 2 4" xfId="32493" xr:uid="{04B2549E-8338-4081-835A-535EF906E7F2}"/>
    <cellStyle name="40% - Accent5 3 2 2 2 3" xfId="11381" xr:uid="{FC4E7881-E613-49B7-A0BD-2E92A55B0683}"/>
    <cellStyle name="40% - Accent5 3 2 2 2 4" xfId="19829" xr:uid="{56EC173F-71C6-4F21-A8DF-E4F960AD9992}"/>
    <cellStyle name="40% - Accent5 3 2 2 2 5" xfId="28276" xr:uid="{1F51A8BA-28AB-44CD-B9E5-575BEE92FEE6}"/>
    <cellStyle name="40% - Accent5 3 2 2 3" xfId="5004" xr:uid="{00000000-0005-0000-0000-000097060000}"/>
    <cellStyle name="40% - Accent5 3 2 2 3 2" xfId="13454" xr:uid="{053D82F4-E1E9-4E5A-AED8-71564693D912}"/>
    <cellStyle name="40% - Accent5 3 2 2 3 3" xfId="21901" xr:uid="{2E353001-33AB-4937-A938-204D3C9EC596}"/>
    <cellStyle name="40% - Accent5 3 2 2 3 4" xfId="30348" xr:uid="{FBA2CCBC-FDA3-4319-A33F-0C6726B92A18}"/>
    <cellStyle name="40% - Accent5 3 2 2 4" xfId="9236" xr:uid="{EFE6F0EE-2E6F-4677-8FC3-88E6080A6EAE}"/>
    <cellStyle name="40% - Accent5 3 2 2 5" xfId="17684" xr:uid="{A595C8C3-3EE8-4FD7-ACCE-DE9BC38792EF}"/>
    <cellStyle name="40% - Accent5 3 2 2 6" xfId="26131" xr:uid="{AFD16A92-BA15-4F9B-98FA-6690CAC5ABA6}"/>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6EF63FDF-9AA4-49D6-A35C-0E286D282DB5}"/>
    <cellStyle name="40% - Accent5 3 2 3 2 2 3" xfId="24459" xr:uid="{B314AF7E-BCCC-41AE-A10A-A48337FD7AEE}"/>
    <cellStyle name="40% - Accent5 3 2 3 2 2 4" xfId="32906" xr:uid="{45749709-C5AE-4ECB-B221-B98D34B216F4}"/>
    <cellStyle name="40% - Accent5 3 2 3 2 3" xfId="11794" xr:uid="{E7362BF3-45FB-4ED0-A5BB-16092ECCE90D}"/>
    <cellStyle name="40% - Accent5 3 2 3 2 4" xfId="20242" xr:uid="{9FE33301-F046-4B68-BBF4-67719BC92110}"/>
    <cellStyle name="40% - Accent5 3 2 3 2 5" xfId="28689" xr:uid="{BC03C54C-29EF-4048-9D3D-89EE7CB9F835}"/>
    <cellStyle name="40% - Accent5 3 2 3 3" xfId="5417" xr:uid="{00000000-0005-0000-0000-00009B060000}"/>
    <cellStyle name="40% - Accent5 3 2 3 3 2" xfId="13867" xr:uid="{82ABE5EC-8902-4562-B9A1-2DB87E4653D4}"/>
    <cellStyle name="40% - Accent5 3 2 3 3 3" xfId="22314" xr:uid="{8BAEC23B-1461-4D98-ADA2-0B0BC5FCF830}"/>
    <cellStyle name="40% - Accent5 3 2 3 3 4" xfId="30761" xr:uid="{104E7120-CE08-40F3-951E-A1A946A239E2}"/>
    <cellStyle name="40% - Accent5 3 2 3 4" xfId="9649" xr:uid="{17B3D82A-31C4-43D3-B4D4-53E5125674B8}"/>
    <cellStyle name="40% - Accent5 3 2 3 5" xfId="18097" xr:uid="{5692440E-FD58-4632-A8C4-A0C805A2DEA2}"/>
    <cellStyle name="40% - Accent5 3 2 3 6" xfId="26544" xr:uid="{43DE936E-D345-464E-8450-9AA9BBABC2DE}"/>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BB1F7FAB-6524-4AFC-8F42-1BE1DB65F904}"/>
    <cellStyle name="40% - Accent5 3 2 4 2 2 3" xfId="24872" xr:uid="{409D6990-B792-423E-A222-A0B9CBDB860E}"/>
    <cellStyle name="40% - Accent5 3 2 4 2 2 4" xfId="33319" xr:uid="{E6A732EA-84A3-4586-A8A9-66D1DDCDC383}"/>
    <cellStyle name="40% - Accent5 3 2 4 2 3" xfId="12207" xr:uid="{B4F6F7BA-CDDD-489C-B0D3-752E8DF3B92D}"/>
    <cellStyle name="40% - Accent5 3 2 4 2 4" xfId="20655" xr:uid="{0B78012A-8834-444C-A666-B5E4C8AAF2BE}"/>
    <cellStyle name="40% - Accent5 3 2 4 2 5" xfId="29102" xr:uid="{6B4BC551-F1E1-47F6-8150-2542534D0A00}"/>
    <cellStyle name="40% - Accent5 3 2 4 3" xfId="5830" xr:uid="{00000000-0005-0000-0000-00009F060000}"/>
    <cellStyle name="40% - Accent5 3 2 4 3 2" xfId="14280" xr:uid="{4575A47B-0D7E-40E8-A166-38C75F0AA68B}"/>
    <cellStyle name="40% - Accent5 3 2 4 3 3" xfId="22727" xr:uid="{643AAA6B-C0CD-42A4-96DB-8CA15165B03B}"/>
    <cellStyle name="40% - Accent5 3 2 4 3 4" xfId="31174" xr:uid="{A94AE268-AC7C-44B3-B5E6-3B101EA192A8}"/>
    <cellStyle name="40% - Accent5 3 2 4 4" xfId="10062" xr:uid="{95AD7C4C-B69E-4468-96E9-B2CC4FA16279}"/>
    <cellStyle name="40% - Accent5 3 2 4 5" xfId="18510" xr:uid="{4EDF409E-64B4-48F9-9EDC-C098EDA8CC92}"/>
    <cellStyle name="40% - Accent5 3 2 4 6" xfId="26957" xr:uid="{B0986A72-D66A-44A1-A06B-E5343652B0F1}"/>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199D7D1B-82BD-4B75-8CE0-A215BB9B072B}"/>
    <cellStyle name="40% - Accent5 3 2 5 2 2 3" xfId="25285" xr:uid="{BC2090F5-3451-46F3-873F-CB74DD1C8618}"/>
    <cellStyle name="40% - Accent5 3 2 5 2 2 4" xfId="33732" xr:uid="{B95BC554-B224-43DE-8FC6-197726F10EFB}"/>
    <cellStyle name="40% - Accent5 3 2 5 2 3" xfId="12620" xr:uid="{5802E80E-F21B-4CBF-8F0E-7DBA1F17A147}"/>
    <cellStyle name="40% - Accent5 3 2 5 2 4" xfId="21068" xr:uid="{67FA04DE-601C-4789-A8D4-24AFDC36631D}"/>
    <cellStyle name="40% - Accent5 3 2 5 2 5" xfId="29515" xr:uid="{6B63DCE8-46A2-4781-A5F1-40808ACA6BAC}"/>
    <cellStyle name="40% - Accent5 3 2 5 3" xfId="6243" xr:uid="{00000000-0005-0000-0000-0000A3060000}"/>
    <cellStyle name="40% - Accent5 3 2 5 3 2" xfId="14693" xr:uid="{5F9E2244-F70E-49A3-9801-06EF405A5C0C}"/>
    <cellStyle name="40% - Accent5 3 2 5 3 3" xfId="23140" xr:uid="{5274AEB7-6DE3-4209-9CE6-F1D6F01D742B}"/>
    <cellStyle name="40% - Accent5 3 2 5 3 4" xfId="31587" xr:uid="{2665CE18-C8E5-451B-BFCA-38AB3D56B57D}"/>
    <cellStyle name="40% - Accent5 3 2 5 4" xfId="10475" xr:uid="{E8B14CB4-7DAD-487B-A7BF-154CD5E02C66}"/>
    <cellStyle name="40% - Accent5 3 2 5 5" xfId="18923" xr:uid="{F5B41C7A-DE7A-4AEC-B11A-84C71F96425B}"/>
    <cellStyle name="40% - Accent5 3 2 5 6" xfId="27370" xr:uid="{D04A3DB2-39D8-4A78-8399-D492C4AC2C3A}"/>
    <cellStyle name="40% - Accent5 3 2 6" xfId="2350" xr:uid="{00000000-0005-0000-0000-0000A4060000}"/>
    <cellStyle name="40% - Accent5 3 2 6 2" xfId="6656" xr:uid="{00000000-0005-0000-0000-0000A5060000}"/>
    <cellStyle name="40% - Accent5 3 2 6 2 2" xfId="15106" xr:uid="{B8F3DF73-3E77-4AB1-8FBF-82B04C9898D5}"/>
    <cellStyle name="40% - Accent5 3 2 6 2 3" xfId="23553" xr:uid="{4AA9C141-B131-4E91-B943-F0DBEB0B9626}"/>
    <cellStyle name="40% - Accent5 3 2 6 2 4" xfId="32000" xr:uid="{6735DB98-25C5-46F1-BB65-8E902F065836}"/>
    <cellStyle name="40% - Accent5 3 2 6 3" xfId="10888" xr:uid="{A3A68A58-8453-4522-BD83-B65E1BF7FC2A}"/>
    <cellStyle name="40% - Accent5 3 2 6 4" xfId="19336" xr:uid="{D6F77B06-D43C-4A1B-937E-4C1A565A50C2}"/>
    <cellStyle name="40% - Accent5 3 2 6 5" xfId="27783" xr:uid="{B2A15B32-A3D9-4C50-9780-6FD80223958B}"/>
    <cellStyle name="40% - Accent5 3 2 7" xfId="4590" xr:uid="{00000000-0005-0000-0000-0000A6060000}"/>
    <cellStyle name="40% - Accent5 3 2 7 2" xfId="13040" xr:uid="{A6C6CE1D-478E-4093-9B4A-0E6D07297BF8}"/>
    <cellStyle name="40% - Accent5 3 2 7 3" xfId="21487" xr:uid="{7AA5332F-4417-4237-9EFF-24FDB6374B00}"/>
    <cellStyle name="40% - Accent5 3 2 7 4" xfId="29934" xr:uid="{1DF80C6A-0A31-4545-B15C-E7EE93D62EF3}"/>
    <cellStyle name="40% - Accent5 3 2 8" xfId="8822" xr:uid="{487EC83B-3ADD-4FD2-B104-5C1955393A06}"/>
    <cellStyle name="40% - Accent5 3 2 9" xfId="17270" xr:uid="{9A6655E9-C7D7-42A8-873F-0721BF17DB41}"/>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4FE197E0-0186-4D16-9593-EEB51376F7D6}"/>
    <cellStyle name="40% - Accent5 3 3 2 2 3" xfId="24045" xr:uid="{1BA6E17E-7B30-4856-8CEB-63A41C1C249B}"/>
    <cellStyle name="40% - Accent5 3 3 2 2 4" xfId="32492" xr:uid="{AF4BBE22-4E08-4D6F-8B18-74A2298AC4E5}"/>
    <cellStyle name="40% - Accent5 3 3 2 3" xfId="11380" xr:uid="{E4E698F4-C689-4FEC-AAFF-F4B6F5017A1D}"/>
    <cellStyle name="40% - Accent5 3 3 2 4" xfId="19828" xr:uid="{CAEE9833-43B9-4E1D-8B5C-0EB6863E7F2E}"/>
    <cellStyle name="40% - Accent5 3 3 2 5" xfId="28275" xr:uid="{E99DD63E-1DB6-4092-B1D4-07A0AD294A0E}"/>
    <cellStyle name="40% - Accent5 3 3 3" xfId="5003" xr:uid="{00000000-0005-0000-0000-0000AA060000}"/>
    <cellStyle name="40% - Accent5 3 3 3 2" xfId="13453" xr:uid="{982E73F2-7B1B-4BAE-A4A2-DDEA53109862}"/>
    <cellStyle name="40% - Accent5 3 3 3 3" xfId="21900" xr:uid="{E4D7918C-7F5A-4DCF-BFBA-6EE7C9588848}"/>
    <cellStyle name="40% - Accent5 3 3 3 4" xfId="30347" xr:uid="{6B5A2334-BCE1-4A36-B4B2-46FA03176684}"/>
    <cellStyle name="40% - Accent5 3 3 4" xfId="9235" xr:uid="{C906E209-16CA-4D02-9DC8-A89D8326DB81}"/>
    <cellStyle name="40% - Accent5 3 3 5" xfId="17683" xr:uid="{EE2779FC-974B-40EB-9D15-895A481AAA77}"/>
    <cellStyle name="40% - Accent5 3 3 6" xfId="26130" xr:uid="{0D846FB2-110A-4168-A64D-0E30DD6C84C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04EDAC92-083F-4F1E-A839-0732F6EE9EBF}"/>
    <cellStyle name="40% - Accent5 3 4 2 2 3" xfId="24458" xr:uid="{7F732CAB-EC35-41BC-A710-3DCA076ABA40}"/>
    <cellStyle name="40% - Accent5 3 4 2 2 4" xfId="32905" xr:uid="{D65F5F46-1677-4AB1-B1E5-54AA9441F746}"/>
    <cellStyle name="40% - Accent5 3 4 2 3" xfId="11793" xr:uid="{F15F7EA0-29C8-4911-A93D-F0BFE2BB0691}"/>
    <cellStyle name="40% - Accent5 3 4 2 4" xfId="20241" xr:uid="{CF33BD6A-253C-4511-894F-0217E333BAFD}"/>
    <cellStyle name="40% - Accent5 3 4 2 5" xfId="28688" xr:uid="{BC21E6AF-E7D9-40E7-AD51-F52A7EF25F7E}"/>
    <cellStyle name="40% - Accent5 3 4 3" xfId="5416" xr:uid="{00000000-0005-0000-0000-0000AE060000}"/>
    <cellStyle name="40% - Accent5 3 4 3 2" xfId="13866" xr:uid="{C03BA767-5765-4613-8554-9C61EB22DD60}"/>
    <cellStyle name="40% - Accent5 3 4 3 3" xfId="22313" xr:uid="{9966003D-178F-4868-8B98-B60CE7CB85B7}"/>
    <cellStyle name="40% - Accent5 3 4 3 4" xfId="30760" xr:uid="{497990CA-10C9-4F63-9008-4238EC6FAC95}"/>
    <cellStyle name="40% - Accent5 3 4 4" xfId="9648" xr:uid="{D7513D6E-0E92-4BA8-B887-803FC323AACA}"/>
    <cellStyle name="40% - Accent5 3 4 5" xfId="18096" xr:uid="{B9823C06-17B9-4639-9620-4EA860566566}"/>
    <cellStyle name="40% - Accent5 3 4 6" xfId="26543" xr:uid="{A9F5A2D2-9D36-4160-8B44-9DCB46862F4B}"/>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21E1FFD1-E17A-4558-B1E4-BF00334F3866}"/>
    <cellStyle name="40% - Accent5 3 5 2 2 3" xfId="24871" xr:uid="{33BC134D-CEDF-4C0F-9FFB-DECAD0ED9B88}"/>
    <cellStyle name="40% - Accent5 3 5 2 2 4" xfId="33318" xr:uid="{B3E06FAB-1371-4D53-B3B9-CFE12F19BF2B}"/>
    <cellStyle name="40% - Accent5 3 5 2 3" xfId="12206" xr:uid="{023D3188-2096-44EE-9F43-11B890BC07F2}"/>
    <cellStyle name="40% - Accent5 3 5 2 4" xfId="20654" xr:uid="{48F7CB58-7E6A-4E3D-AB0F-9AE06718F3BD}"/>
    <cellStyle name="40% - Accent5 3 5 2 5" xfId="29101" xr:uid="{6BEEA5B7-B241-4745-B985-1F4E4B892C37}"/>
    <cellStyle name="40% - Accent5 3 5 3" xfId="5829" xr:uid="{00000000-0005-0000-0000-0000B2060000}"/>
    <cellStyle name="40% - Accent5 3 5 3 2" xfId="14279" xr:uid="{3EC2B5B5-1E48-4CF1-8172-B807729D124A}"/>
    <cellStyle name="40% - Accent5 3 5 3 3" xfId="22726" xr:uid="{42CC5BFE-264A-4E65-A6B0-5E8173C1B63F}"/>
    <cellStyle name="40% - Accent5 3 5 3 4" xfId="31173" xr:uid="{14EB77F0-C6B6-477F-B713-08796A946270}"/>
    <cellStyle name="40% - Accent5 3 5 4" xfId="10061" xr:uid="{72E73488-B447-4FFF-801D-625E10B52CF5}"/>
    <cellStyle name="40% - Accent5 3 5 5" xfId="18509" xr:uid="{92439FE6-30FE-4329-A265-79BE61BDF6A2}"/>
    <cellStyle name="40% - Accent5 3 5 6" xfId="26956" xr:uid="{C7C1566E-BE82-43C5-A6B9-B6E3A9DA7A03}"/>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16EF8D75-43C8-410B-98D1-8D8D077DFE7B}"/>
    <cellStyle name="40% - Accent5 3 6 2 2 3" xfId="25284" xr:uid="{FC05AA33-E923-4349-9E15-7BC67825223D}"/>
    <cellStyle name="40% - Accent5 3 6 2 2 4" xfId="33731" xr:uid="{FF5D52E2-D615-4266-A685-34B111BC05B2}"/>
    <cellStyle name="40% - Accent5 3 6 2 3" xfId="12619" xr:uid="{F48C92B4-20D6-45B9-8473-1F2B7FFE6188}"/>
    <cellStyle name="40% - Accent5 3 6 2 4" xfId="21067" xr:uid="{2F6EC648-314F-4A82-A3B7-BC087CB63CCC}"/>
    <cellStyle name="40% - Accent5 3 6 2 5" xfId="29514" xr:uid="{281B7D02-1AD3-46A7-A70B-7405F6C5D06A}"/>
    <cellStyle name="40% - Accent5 3 6 3" xfId="6242" xr:uid="{00000000-0005-0000-0000-0000B6060000}"/>
    <cellStyle name="40% - Accent5 3 6 3 2" xfId="14692" xr:uid="{81DC9717-172A-45E4-8194-9DC8AFEC672A}"/>
    <cellStyle name="40% - Accent5 3 6 3 3" xfId="23139" xr:uid="{9784A15B-4D04-48FD-89BE-65EFB2ADF08A}"/>
    <cellStyle name="40% - Accent5 3 6 3 4" xfId="31586" xr:uid="{015E4995-9619-4DF7-938D-29FCDF72A376}"/>
    <cellStyle name="40% - Accent5 3 6 4" xfId="10474" xr:uid="{17DD06A3-674B-4263-B5FD-08C5A0E4B701}"/>
    <cellStyle name="40% - Accent5 3 6 5" xfId="18922" xr:uid="{053BDB9C-3EC7-459E-A753-FA745931DAAB}"/>
    <cellStyle name="40% - Accent5 3 6 6" xfId="27369" xr:uid="{A9D0DF14-A699-4B18-94F6-C5A86FCE4584}"/>
    <cellStyle name="40% - Accent5 3 7" xfId="2349" xr:uid="{00000000-0005-0000-0000-0000B7060000}"/>
    <cellStyle name="40% - Accent5 3 7 2" xfId="6655" xr:uid="{00000000-0005-0000-0000-0000B8060000}"/>
    <cellStyle name="40% - Accent5 3 7 2 2" xfId="15105" xr:uid="{B14A3FCC-1FA0-4A8D-BD32-41E9A8C182FB}"/>
    <cellStyle name="40% - Accent5 3 7 2 3" xfId="23552" xr:uid="{59340713-75FE-40DD-B0A9-CCE5499D57F2}"/>
    <cellStyle name="40% - Accent5 3 7 2 4" xfId="31999" xr:uid="{5E8FEF0B-C72C-4A4E-BB7A-0F95E6FA51EB}"/>
    <cellStyle name="40% - Accent5 3 7 3" xfId="10887" xr:uid="{7BB76CB9-66D1-42F9-82B3-F508B9C8A860}"/>
    <cellStyle name="40% - Accent5 3 7 4" xfId="19335" xr:uid="{FB9D60AF-D660-4F3F-9675-D77BE10F099E}"/>
    <cellStyle name="40% - Accent5 3 7 5" xfId="27782" xr:uid="{F023E0DE-044E-435D-90A5-8222B559CE0A}"/>
    <cellStyle name="40% - Accent5 3 8" xfId="4589" xr:uid="{00000000-0005-0000-0000-0000B9060000}"/>
    <cellStyle name="40% - Accent5 3 8 2" xfId="13039" xr:uid="{7CC016B9-679E-4384-B646-7A20A7D8BBB3}"/>
    <cellStyle name="40% - Accent5 3 8 3" xfId="21486" xr:uid="{3ED67B28-BE11-4E19-9245-D9C12EF58D77}"/>
    <cellStyle name="40% - Accent5 3 8 4" xfId="29933" xr:uid="{DC688F73-DF76-4FDA-9D5E-34F1707946D5}"/>
    <cellStyle name="40% - Accent5 3 9" xfId="8821" xr:uid="{CF210940-D0DA-497E-848A-27928F22E94E}"/>
    <cellStyle name="40% - Accent5 4" xfId="88" xr:uid="{00000000-0005-0000-0000-0000BA060000}"/>
    <cellStyle name="40% - Accent5 4 10" xfId="25718" xr:uid="{B7E78673-CC55-4F7D-AB9B-EC8FA8424A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4292ED65-B282-4EA2-990E-CE3DC26E0DF8}"/>
    <cellStyle name="40% - Accent5 4 2 2 2 3" xfId="24047" xr:uid="{B57FE7D7-2A46-4B5C-B71A-7E432600D17D}"/>
    <cellStyle name="40% - Accent5 4 2 2 2 4" xfId="32494" xr:uid="{BFF9D5D3-4975-45AF-AB1A-94873D3DC08B}"/>
    <cellStyle name="40% - Accent5 4 2 2 3" xfId="11382" xr:uid="{7030037F-C490-4AD1-9E38-96BA82D1930D}"/>
    <cellStyle name="40% - Accent5 4 2 2 4" xfId="19830" xr:uid="{35F44364-40BF-44EF-9711-5C63426A72EB}"/>
    <cellStyle name="40% - Accent5 4 2 2 5" xfId="28277" xr:uid="{B0D97CF9-5AB5-4AB2-870E-A6A6DB656947}"/>
    <cellStyle name="40% - Accent5 4 2 3" xfId="5005" xr:uid="{00000000-0005-0000-0000-0000BE060000}"/>
    <cellStyle name="40% - Accent5 4 2 3 2" xfId="13455" xr:uid="{BCADC4EC-697F-4E8D-9441-DC97D59791EA}"/>
    <cellStyle name="40% - Accent5 4 2 3 3" xfId="21902" xr:uid="{160B7C7F-80D0-4A2A-BB49-F09E67625EA0}"/>
    <cellStyle name="40% - Accent5 4 2 3 4" xfId="30349" xr:uid="{50A55D9A-46F2-4B9B-8EF8-59B282E2C80F}"/>
    <cellStyle name="40% - Accent5 4 2 4" xfId="9237" xr:uid="{7EBFC210-10A2-44C4-8FC1-35AD86F96136}"/>
    <cellStyle name="40% - Accent5 4 2 5" xfId="17685" xr:uid="{60000902-3E99-481E-AF06-EBDFF49329A7}"/>
    <cellStyle name="40% - Accent5 4 2 6" xfId="26132" xr:uid="{D97A6EF3-3A3B-40B3-AAF0-5117214EFD12}"/>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8FBA0B7B-2640-4523-A445-30D244673862}"/>
    <cellStyle name="40% - Accent5 4 3 2 2 3" xfId="24460" xr:uid="{04E38DC4-1BD9-40DA-8CD1-0204538123BC}"/>
    <cellStyle name="40% - Accent5 4 3 2 2 4" xfId="32907" xr:uid="{11B2578D-8EC0-4B36-80A0-5CF4373ACB1B}"/>
    <cellStyle name="40% - Accent5 4 3 2 3" xfId="11795" xr:uid="{21D72C3A-94A7-40FD-92F0-76FA5296AA1B}"/>
    <cellStyle name="40% - Accent5 4 3 2 4" xfId="20243" xr:uid="{78203652-198B-4E6D-89B9-7FB64D2E0280}"/>
    <cellStyle name="40% - Accent5 4 3 2 5" xfId="28690" xr:uid="{27A8FFE3-CAB4-4163-8CA8-9728DC6D2C6B}"/>
    <cellStyle name="40% - Accent5 4 3 3" xfId="5418" xr:uid="{00000000-0005-0000-0000-0000C2060000}"/>
    <cellStyle name="40% - Accent5 4 3 3 2" xfId="13868" xr:uid="{E0C95B22-8320-4BBA-BBC0-3D82BA2A183A}"/>
    <cellStyle name="40% - Accent5 4 3 3 3" xfId="22315" xr:uid="{48131FF9-DC44-4220-94D3-ACCD8EC7C9C5}"/>
    <cellStyle name="40% - Accent5 4 3 3 4" xfId="30762" xr:uid="{F39E9AEA-C3D8-46B5-B4A3-3949764C9A78}"/>
    <cellStyle name="40% - Accent5 4 3 4" xfId="9650" xr:uid="{D8D6AA55-5945-43E2-9CFD-4C9CF57712CC}"/>
    <cellStyle name="40% - Accent5 4 3 5" xfId="18098" xr:uid="{73E5FD36-5C10-4630-B2CA-4D6D8AC48217}"/>
    <cellStyle name="40% - Accent5 4 3 6" xfId="26545" xr:uid="{59BE0E29-E859-4870-A80A-0094182DBFD8}"/>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BD643A5A-A82B-4987-8795-787D9CDA82F7}"/>
    <cellStyle name="40% - Accent5 4 4 2 2 3" xfId="24873" xr:uid="{DB51C7EA-C73A-49D6-9902-91FBC4CF7DBD}"/>
    <cellStyle name="40% - Accent5 4 4 2 2 4" xfId="33320" xr:uid="{1FF35BFA-080F-4F9B-94ED-1ECFE65F7953}"/>
    <cellStyle name="40% - Accent5 4 4 2 3" xfId="12208" xr:uid="{DC8834BF-4F32-4888-B0E5-D6219DCE2DA5}"/>
    <cellStyle name="40% - Accent5 4 4 2 4" xfId="20656" xr:uid="{3DFD6C43-C701-4B32-BCEB-A4D617365E12}"/>
    <cellStyle name="40% - Accent5 4 4 2 5" xfId="29103" xr:uid="{5F3815D4-83B8-41C1-ADF3-62C6C8855652}"/>
    <cellStyle name="40% - Accent5 4 4 3" xfId="5831" xr:uid="{00000000-0005-0000-0000-0000C6060000}"/>
    <cellStyle name="40% - Accent5 4 4 3 2" xfId="14281" xr:uid="{3A3C97EE-FFDA-4610-8A1A-4F77ED09330A}"/>
    <cellStyle name="40% - Accent5 4 4 3 3" xfId="22728" xr:uid="{41954228-575A-4CD6-9AC7-A5D503862578}"/>
    <cellStyle name="40% - Accent5 4 4 3 4" xfId="31175" xr:uid="{131C3570-3E40-4E61-BE06-FAF31EE16524}"/>
    <cellStyle name="40% - Accent5 4 4 4" xfId="10063" xr:uid="{C93309A9-4000-4EE7-9B5A-F3F1F2D9717A}"/>
    <cellStyle name="40% - Accent5 4 4 5" xfId="18511" xr:uid="{1680A5FC-CCBD-4D1A-8B2A-6316AEA14A83}"/>
    <cellStyle name="40% - Accent5 4 4 6" xfId="26958" xr:uid="{719BC810-954E-415E-8CFE-10FC3F71B973}"/>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17F365DD-1AD4-416F-B572-0CBB0AF4730A}"/>
    <cellStyle name="40% - Accent5 4 5 2 2 3" xfId="25286" xr:uid="{A1C131CE-09EA-4906-B39D-5C0F1CA08FAE}"/>
    <cellStyle name="40% - Accent5 4 5 2 2 4" xfId="33733" xr:uid="{AADB4CF4-5F5B-4958-BA1E-B9BE50191E89}"/>
    <cellStyle name="40% - Accent5 4 5 2 3" xfId="12621" xr:uid="{CA68AEE2-4B25-4D9C-8429-DB379884A309}"/>
    <cellStyle name="40% - Accent5 4 5 2 4" xfId="21069" xr:uid="{E3D5F0FB-B365-4667-812F-6AB134BEFE8D}"/>
    <cellStyle name="40% - Accent5 4 5 2 5" xfId="29516" xr:uid="{B0D23777-C24E-46FB-9D0F-5F13D5724198}"/>
    <cellStyle name="40% - Accent5 4 5 3" xfId="6244" xr:uid="{00000000-0005-0000-0000-0000CA060000}"/>
    <cellStyle name="40% - Accent5 4 5 3 2" xfId="14694" xr:uid="{D551A12C-962A-4D5D-851E-9582B15DFB53}"/>
    <cellStyle name="40% - Accent5 4 5 3 3" xfId="23141" xr:uid="{FDAC96D2-C655-4EBD-9E6D-CBA3CB5A23CE}"/>
    <cellStyle name="40% - Accent5 4 5 3 4" xfId="31588" xr:uid="{524A3F89-B579-4DCA-93A0-0778B7CB7A2F}"/>
    <cellStyle name="40% - Accent5 4 5 4" xfId="10476" xr:uid="{66EB9D6A-743C-4B62-B8CA-904E560995F5}"/>
    <cellStyle name="40% - Accent5 4 5 5" xfId="18924" xr:uid="{02096C63-F064-4C18-AE40-D8F15C622393}"/>
    <cellStyle name="40% - Accent5 4 5 6" xfId="27371" xr:uid="{17C3D410-B836-43EC-98C2-BA2E0B06CAC2}"/>
    <cellStyle name="40% - Accent5 4 6" xfId="2351" xr:uid="{00000000-0005-0000-0000-0000CB060000}"/>
    <cellStyle name="40% - Accent5 4 6 2" xfId="6657" xr:uid="{00000000-0005-0000-0000-0000CC060000}"/>
    <cellStyle name="40% - Accent5 4 6 2 2" xfId="15107" xr:uid="{D4D3B521-ADA5-4376-A03C-2115D117715E}"/>
    <cellStyle name="40% - Accent5 4 6 2 3" xfId="23554" xr:uid="{E127C041-7EE1-4BEA-A7B2-90BB50ADA10E}"/>
    <cellStyle name="40% - Accent5 4 6 2 4" xfId="32001" xr:uid="{CD45FC55-02FA-4B20-999E-C85CB2B7E6FF}"/>
    <cellStyle name="40% - Accent5 4 6 3" xfId="10889" xr:uid="{C2D10AE1-DA2E-4EC6-9EDB-1DF129A6A67A}"/>
    <cellStyle name="40% - Accent5 4 6 4" xfId="19337" xr:uid="{07EAA3AC-7613-42DE-9840-AB9233F514A1}"/>
    <cellStyle name="40% - Accent5 4 6 5" xfId="27784" xr:uid="{CD140F2A-CD82-4675-B73D-40E35263481C}"/>
    <cellStyle name="40% - Accent5 4 7" xfId="4591" xr:uid="{00000000-0005-0000-0000-0000CD060000}"/>
    <cellStyle name="40% - Accent5 4 7 2" xfId="13041" xr:uid="{8ED6F55F-E5D7-492F-8442-A48E44E5056E}"/>
    <cellStyle name="40% - Accent5 4 7 3" xfId="21488" xr:uid="{0E8A0A8C-BDC9-47D4-8CC9-FC55AF1796FD}"/>
    <cellStyle name="40% - Accent5 4 7 4" xfId="29935" xr:uid="{4CA7AC71-0BAA-4B96-83B7-00C25781F52F}"/>
    <cellStyle name="40% - Accent5 4 8" xfId="8823" xr:uid="{D7F58887-4E1B-4E6A-84DA-1E1BDA9658F8}"/>
    <cellStyle name="40% - Accent5 4 9" xfId="17271" xr:uid="{F25D718F-9704-45D9-B16C-176B10922528}"/>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B6CE4B42-DB7D-4EA7-9E83-24C09EAACE8C}"/>
    <cellStyle name="40% - Accent5 5 2 2 3" xfId="24040" xr:uid="{27FF473A-9687-48FE-86FD-9B83F0EF9761}"/>
    <cellStyle name="40% - Accent5 5 2 2 4" xfId="32487" xr:uid="{BE06CA94-A843-4CE2-A554-3C68426D4DBE}"/>
    <cellStyle name="40% - Accent5 5 2 3" xfId="11375" xr:uid="{A2F6FBA8-0574-476E-A9B4-084F1B895694}"/>
    <cellStyle name="40% - Accent5 5 2 4" xfId="19823" xr:uid="{BB39C189-8921-4201-BE9C-12FE74B56741}"/>
    <cellStyle name="40% - Accent5 5 2 5" xfId="28270" xr:uid="{A9CD4A28-0A9A-4273-A290-FD518CDCF1D2}"/>
    <cellStyle name="40% - Accent5 5 3" xfId="4998" xr:uid="{00000000-0005-0000-0000-0000D1060000}"/>
    <cellStyle name="40% - Accent5 5 3 2" xfId="13448" xr:uid="{CAAC0D87-64C8-4E7C-80C4-31548EEAC2FD}"/>
    <cellStyle name="40% - Accent5 5 3 3" xfId="21895" xr:uid="{76B27F42-A9D7-42F2-9B66-A638ADA4D58E}"/>
    <cellStyle name="40% - Accent5 5 3 4" xfId="30342" xr:uid="{2D2F5976-7276-472E-BD9B-39E2BF956A90}"/>
    <cellStyle name="40% - Accent5 5 4" xfId="9230" xr:uid="{3A5A442D-CBDC-4F9C-9916-E7992854557D}"/>
    <cellStyle name="40% - Accent5 5 5" xfId="17678" xr:uid="{89687651-A519-4CC2-A1A8-7CA4697F78BB}"/>
    <cellStyle name="40% - Accent5 5 6" xfId="26125" xr:uid="{0A852A98-F2E0-4779-B4B2-5FB05D92A3F4}"/>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2F75418E-53B9-472D-947A-FBB6E32937C8}"/>
    <cellStyle name="40% - Accent5 6 2 2 3" xfId="24453" xr:uid="{E649F6F6-3927-4572-B774-94FD073B2A54}"/>
    <cellStyle name="40% - Accent5 6 2 2 4" xfId="32900" xr:uid="{02C89457-4F89-4049-8445-AA16C923AFE2}"/>
    <cellStyle name="40% - Accent5 6 2 3" xfId="11788" xr:uid="{8DC02813-611B-4319-9F95-42B1EE0A21E5}"/>
    <cellStyle name="40% - Accent5 6 2 4" xfId="20236" xr:uid="{C60DFF6C-2892-4BA6-B998-FE3A2DAF39CD}"/>
    <cellStyle name="40% - Accent5 6 2 5" xfId="28683" xr:uid="{65EBD2B3-4904-4D59-8E42-AFBBB10A7BA6}"/>
    <cellStyle name="40% - Accent5 6 3" xfId="5411" xr:uid="{00000000-0005-0000-0000-0000D5060000}"/>
    <cellStyle name="40% - Accent5 6 3 2" xfId="13861" xr:uid="{915656DE-F3A3-4777-AC77-CD4F3A6892C2}"/>
    <cellStyle name="40% - Accent5 6 3 3" xfId="22308" xr:uid="{252FBA68-FF52-475C-B8FF-FEAD3B7E6BE0}"/>
    <cellStyle name="40% - Accent5 6 3 4" xfId="30755" xr:uid="{1A902A5C-476D-4340-B3E8-084620BCABD6}"/>
    <cellStyle name="40% - Accent5 6 4" xfId="9643" xr:uid="{644D76A1-DEA1-4D6E-938C-CEA6F96883F1}"/>
    <cellStyle name="40% - Accent5 6 5" xfId="18091" xr:uid="{83AB809E-EF21-48D4-ADCE-A66D48468AEB}"/>
    <cellStyle name="40% - Accent5 6 6" xfId="26538" xr:uid="{7AD07437-3872-4D45-8E74-C32F468595DF}"/>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07386F25-BAD0-4CBE-8482-1DA8964F1B46}"/>
    <cellStyle name="40% - Accent5 7 2 2 3" xfId="24866" xr:uid="{12FFFD5C-D5F4-4CE3-91F5-9B800035DE16}"/>
    <cellStyle name="40% - Accent5 7 2 2 4" xfId="33313" xr:uid="{065A1E7F-508C-4D77-96A0-01EAAAB4C6B2}"/>
    <cellStyle name="40% - Accent5 7 2 3" xfId="12201" xr:uid="{2F9C4E74-EEEA-4660-BCC4-01A43F8C1CAE}"/>
    <cellStyle name="40% - Accent5 7 2 4" xfId="20649" xr:uid="{8D45F801-28AC-4674-8213-3432A5A8D6E6}"/>
    <cellStyle name="40% - Accent5 7 2 5" xfId="29096" xr:uid="{C24DFF9D-0777-4F69-A746-0BE29E212A45}"/>
    <cellStyle name="40% - Accent5 7 3" xfId="5824" xr:uid="{00000000-0005-0000-0000-0000D9060000}"/>
    <cellStyle name="40% - Accent5 7 3 2" xfId="14274" xr:uid="{BB36635B-9914-4CC3-90F7-B2823E639CEE}"/>
    <cellStyle name="40% - Accent5 7 3 3" xfId="22721" xr:uid="{282B4686-DBFD-4FFA-86D3-90A0641E74A0}"/>
    <cellStyle name="40% - Accent5 7 3 4" xfId="31168" xr:uid="{DB929352-31F1-4281-BF7E-10DD0BB863F8}"/>
    <cellStyle name="40% - Accent5 7 4" xfId="10056" xr:uid="{6BDF278E-3F9E-4D6B-800D-370F48F01A81}"/>
    <cellStyle name="40% - Accent5 7 5" xfId="18504" xr:uid="{3185FF71-E87C-49BE-A054-1E8906A5116A}"/>
    <cellStyle name="40% - Accent5 7 6" xfId="26951" xr:uid="{6C0736D4-A3AF-4F73-8EA0-E44DF85B8B5E}"/>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C8D36C21-FA50-49F6-A6DE-BA008A0FDF50}"/>
    <cellStyle name="40% - Accent5 8 2 2 3" xfId="25279" xr:uid="{1D5CE5FB-8544-4C64-BBCE-B65C684A3875}"/>
    <cellStyle name="40% - Accent5 8 2 2 4" xfId="33726" xr:uid="{F74A7B1C-FE28-4137-8A7C-4B0348ED63E9}"/>
    <cellStyle name="40% - Accent5 8 2 3" xfId="12614" xr:uid="{E2BC261E-9225-4086-A19C-1AA24707B436}"/>
    <cellStyle name="40% - Accent5 8 2 4" xfId="21062" xr:uid="{3ED21DE5-1F78-4EA7-9338-077ADE9691FA}"/>
    <cellStyle name="40% - Accent5 8 2 5" xfId="29509" xr:uid="{1BC526C3-E874-4BE6-ABE1-9BA116EC4718}"/>
    <cellStyle name="40% - Accent5 8 3" xfId="6237" xr:uid="{00000000-0005-0000-0000-0000DD060000}"/>
    <cellStyle name="40% - Accent5 8 3 2" xfId="14687" xr:uid="{7ABF9976-2EE9-4189-B2E3-07FF1C5FB6E6}"/>
    <cellStyle name="40% - Accent5 8 3 3" xfId="23134" xr:uid="{3612B8B9-8672-4CB8-B13E-AE804A9E9CB6}"/>
    <cellStyle name="40% - Accent5 8 3 4" xfId="31581" xr:uid="{DA468E42-0FDB-458F-A99F-C56E6BD09E66}"/>
    <cellStyle name="40% - Accent5 8 4" xfId="10469" xr:uid="{34A1AA40-3CAD-4948-AB52-EE5F450C8901}"/>
    <cellStyle name="40% - Accent5 8 5" xfId="18917" xr:uid="{060ED51F-6D92-4CFE-8E4A-E04DCC34A4A1}"/>
    <cellStyle name="40% - Accent5 8 6" xfId="27364" xr:uid="{7F1F0501-191C-4299-8965-1535BF70BA6B}"/>
    <cellStyle name="40% - Accent5 9" xfId="2344" xr:uid="{00000000-0005-0000-0000-0000DE060000}"/>
    <cellStyle name="40% - Accent5 9 2" xfId="6650" xr:uid="{00000000-0005-0000-0000-0000DF060000}"/>
    <cellStyle name="40% - Accent5 9 2 2" xfId="15100" xr:uid="{DC67B862-549B-4CCA-AB43-9CF2AC820DB9}"/>
    <cellStyle name="40% - Accent5 9 2 3" xfId="23547" xr:uid="{A2AA290E-3962-428D-94D3-879BCF5D3801}"/>
    <cellStyle name="40% - Accent5 9 2 4" xfId="31994" xr:uid="{AFDC70B3-46BE-4296-8BE5-C0AE20328D16}"/>
    <cellStyle name="40% - Accent5 9 3" xfId="10882" xr:uid="{871AEF94-681D-4D71-A1B7-86BC6A36D2BE}"/>
    <cellStyle name="40% - Accent5 9 4" xfId="19330" xr:uid="{52A325BE-6128-4E53-BA60-CD17960362A3}"/>
    <cellStyle name="40% - Accent5 9 5" xfId="27777" xr:uid="{A51291D2-391B-43BB-A0E8-49DB2615950B}"/>
    <cellStyle name="40% - Accent6" xfId="89" builtinId="51" customBuiltin="1"/>
    <cellStyle name="40% - Accent6 10" xfId="4592" xr:uid="{00000000-0005-0000-0000-0000E1060000}"/>
    <cellStyle name="40% - Accent6 10 2" xfId="13042" xr:uid="{F7748CA8-13B1-402D-B2B9-95C460C0CD82}"/>
    <cellStyle name="40% - Accent6 10 3" xfId="21489" xr:uid="{880FF47D-9751-45FD-9B0A-526EC74A7FC7}"/>
    <cellStyle name="40% - Accent6 10 4" xfId="29936" xr:uid="{1E311612-919A-442D-BE4B-C82BDF26C065}"/>
    <cellStyle name="40% - Accent6 11" xfId="8824" xr:uid="{FC1AD5A4-3ECC-43A9-80D4-F25E326475FC}"/>
    <cellStyle name="40% - Accent6 12" xfId="17272" xr:uid="{F568C16B-BC89-48C6-BA22-F450BDD53893}"/>
    <cellStyle name="40% - Accent6 13" xfId="25719" xr:uid="{8A4DD3CD-7D0A-479E-891C-9122E2212A5C}"/>
    <cellStyle name="40% - Accent6 2" xfId="90" xr:uid="{00000000-0005-0000-0000-0000E2060000}"/>
    <cellStyle name="40% - Accent6 2 10" xfId="8825" xr:uid="{68C96776-423A-43CC-9628-EED4F1013C69}"/>
    <cellStyle name="40% - Accent6 2 11" xfId="17273" xr:uid="{3E979E25-FC49-411B-A37E-F4B06B91D18B}"/>
    <cellStyle name="40% - Accent6 2 12" xfId="25720" xr:uid="{333F1AB5-E4CC-43B3-9E00-45CA77A40E4F}"/>
    <cellStyle name="40% - Accent6 2 2" xfId="91" xr:uid="{00000000-0005-0000-0000-0000E3060000}"/>
    <cellStyle name="40% - Accent6 2 2 10" xfId="17274" xr:uid="{48E70E08-3677-459C-8FEE-D09E8D65C326}"/>
    <cellStyle name="40% - Accent6 2 2 11" xfId="25721" xr:uid="{61504D5A-1F40-4DA2-A0A1-68B9DE49216C}"/>
    <cellStyle name="40% - Accent6 2 2 2" xfId="92" xr:uid="{00000000-0005-0000-0000-0000E4060000}"/>
    <cellStyle name="40% - Accent6 2 2 2 10" xfId="25722" xr:uid="{D2FAC117-3F0E-49E3-96FE-08A4B06948D4}"/>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2A2B92E5-A9F3-47B4-91FA-E92FF64E1022}"/>
    <cellStyle name="40% - Accent6 2 2 2 2 2 2 3" xfId="24051" xr:uid="{3FD5537D-0312-4B47-B065-AFB9FC3B2F5A}"/>
    <cellStyle name="40% - Accent6 2 2 2 2 2 2 4" xfId="32498" xr:uid="{827E39F8-60D0-46FA-B9FF-EFAEF21ABEC8}"/>
    <cellStyle name="40% - Accent6 2 2 2 2 2 3" xfId="11386" xr:uid="{9C04B60E-9C57-4119-A623-17F65E304F46}"/>
    <cellStyle name="40% - Accent6 2 2 2 2 2 4" xfId="19834" xr:uid="{E1D55025-1CC4-45D4-98BD-10FF15BA85AC}"/>
    <cellStyle name="40% - Accent6 2 2 2 2 2 5" xfId="28281" xr:uid="{4DB71EFF-B1F7-4CA5-85FB-EFAA113A7388}"/>
    <cellStyle name="40% - Accent6 2 2 2 2 3" xfId="5009" xr:uid="{00000000-0005-0000-0000-0000E8060000}"/>
    <cellStyle name="40% - Accent6 2 2 2 2 3 2" xfId="13459" xr:uid="{EE4B2CD8-309B-4FB8-8EE5-E658DD54E3D1}"/>
    <cellStyle name="40% - Accent6 2 2 2 2 3 3" xfId="21906" xr:uid="{006FA9B4-4651-4496-BB69-5477E0B49C6E}"/>
    <cellStyle name="40% - Accent6 2 2 2 2 3 4" xfId="30353" xr:uid="{3A7DC9B9-FA09-41A5-9035-46F0FE5D9234}"/>
    <cellStyle name="40% - Accent6 2 2 2 2 4" xfId="9241" xr:uid="{6EA94D86-7B5D-441D-B309-3ADAEC6E355D}"/>
    <cellStyle name="40% - Accent6 2 2 2 2 5" xfId="17689" xr:uid="{3B759493-7F62-4558-9A77-1E01D502E33B}"/>
    <cellStyle name="40% - Accent6 2 2 2 2 6" xfId="26136" xr:uid="{F2912B1D-D478-43A3-80CE-BA1D5F4F33F8}"/>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700D2EC4-A387-44BC-813B-B14B30D335AD}"/>
    <cellStyle name="40% - Accent6 2 2 2 3 2 2 3" xfId="24464" xr:uid="{71F6F69F-1740-4D70-ADB1-4F00CB603C2E}"/>
    <cellStyle name="40% - Accent6 2 2 2 3 2 2 4" xfId="32911" xr:uid="{A7FC493E-3C40-4556-98ED-0A7231AE2B52}"/>
    <cellStyle name="40% - Accent6 2 2 2 3 2 3" xfId="11799" xr:uid="{40A363F7-27F8-473D-8E97-BBED24123E22}"/>
    <cellStyle name="40% - Accent6 2 2 2 3 2 4" xfId="20247" xr:uid="{7A870013-A75D-4E65-A9E5-CF28223FBDD2}"/>
    <cellStyle name="40% - Accent6 2 2 2 3 2 5" xfId="28694" xr:uid="{FF2F238C-26DE-4BB4-A2F2-812FF1BCD139}"/>
    <cellStyle name="40% - Accent6 2 2 2 3 3" xfId="5422" xr:uid="{00000000-0005-0000-0000-0000EC060000}"/>
    <cellStyle name="40% - Accent6 2 2 2 3 3 2" xfId="13872" xr:uid="{94329519-9698-47FC-AF9D-76F64C402E26}"/>
    <cellStyle name="40% - Accent6 2 2 2 3 3 3" xfId="22319" xr:uid="{4C8C181A-0C8A-4281-8E06-C7F8A40EA53D}"/>
    <cellStyle name="40% - Accent6 2 2 2 3 3 4" xfId="30766" xr:uid="{D9178610-318A-4B8C-92AE-8BCD2D62DFB6}"/>
    <cellStyle name="40% - Accent6 2 2 2 3 4" xfId="9654" xr:uid="{3A424380-4BAA-4BB5-ABFC-061A73DE0B4D}"/>
    <cellStyle name="40% - Accent6 2 2 2 3 5" xfId="18102" xr:uid="{DF174282-5F10-43B3-9EED-376F1086142A}"/>
    <cellStyle name="40% - Accent6 2 2 2 3 6" xfId="26549" xr:uid="{9DB7BFD8-D532-42A4-BDCB-6F1F6E2CDF76}"/>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E99786ED-4B49-4F37-92FA-051E5CA1F01A}"/>
    <cellStyle name="40% - Accent6 2 2 2 4 2 2 3" xfId="24877" xr:uid="{8E1B8F48-3886-4D02-84F6-9C086455591F}"/>
    <cellStyle name="40% - Accent6 2 2 2 4 2 2 4" xfId="33324" xr:uid="{7E12EF32-1882-4E7B-9B4C-224CC01F8D06}"/>
    <cellStyle name="40% - Accent6 2 2 2 4 2 3" xfId="12212" xr:uid="{C9FC11E8-0269-401F-8958-2FD48CE7D76E}"/>
    <cellStyle name="40% - Accent6 2 2 2 4 2 4" xfId="20660" xr:uid="{334269AD-D177-430A-9ED0-C46842485C3E}"/>
    <cellStyle name="40% - Accent6 2 2 2 4 2 5" xfId="29107" xr:uid="{391CD54B-BEED-4D8C-A836-E0F03D40C612}"/>
    <cellStyle name="40% - Accent6 2 2 2 4 3" xfId="5835" xr:uid="{00000000-0005-0000-0000-0000F0060000}"/>
    <cellStyle name="40% - Accent6 2 2 2 4 3 2" xfId="14285" xr:uid="{50762001-3EB3-4188-85BE-CB61327DAE1F}"/>
    <cellStyle name="40% - Accent6 2 2 2 4 3 3" xfId="22732" xr:uid="{5E0C61CB-EBD5-42F9-B1F2-B08EB14F9A93}"/>
    <cellStyle name="40% - Accent6 2 2 2 4 3 4" xfId="31179" xr:uid="{27D8C2EF-8090-42EF-9FE4-0B0E359AB9C6}"/>
    <cellStyle name="40% - Accent6 2 2 2 4 4" xfId="10067" xr:uid="{74CD304E-2F12-4D5F-B0BA-E04A3C5F8175}"/>
    <cellStyle name="40% - Accent6 2 2 2 4 5" xfId="18515" xr:uid="{CA03BB05-C88A-4D75-92D2-AA30A93493BD}"/>
    <cellStyle name="40% - Accent6 2 2 2 4 6" xfId="26962" xr:uid="{AC409E2E-D4F6-41E6-B0BC-E51C326AD2B1}"/>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4ACABF16-9804-4963-9BA3-8F2438B38737}"/>
    <cellStyle name="40% - Accent6 2 2 2 5 2 2 3" xfId="25290" xr:uid="{0D1DDADC-88D0-4EA7-9746-054CECB0B248}"/>
    <cellStyle name="40% - Accent6 2 2 2 5 2 2 4" xfId="33737" xr:uid="{65C0958D-6631-44B1-8A25-5BF4A5BC121D}"/>
    <cellStyle name="40% - Accent6 2 2 2 5 2 3" xfId="12625" xr:uid="{ACAF96C3-6972-46CB-9E00-5E9F7F38CB66}"/>
    <cellStyle name="40% - Accent6 2 2 2 5 2 4" xfId="21073" xr:uid="{EF9FBA53-AB89-4AEB-8D8F-F32934A58A4A}"/>
    <cellStyle name="40% - Accent6 2 2 2 5 2 5" xfId="29520" xr:uid="{DAB121C2-1229-474D-857E-543D415CEC51}"/>
    <cellStyle name="40% - Accent6 2 2 2 5 3" xfId="6248" xr:uid="{00000000-0005-0000-0000-0000F4060000}"/>
    <cellStyle name="40% - Accent6 2 2 2 5 3 2" xfId="14698" xr:uid="{9C72B8AA-9FD9-42A5-9568-2EFCCFF02902}"/>
    <cellStyle name="40% - Accent6 2 2 2 5 3 3" xfId="23145" xr:uid="{9A65B69D-529D-42C1-9F3A-C057FAA5C386}"/>
    <cellStyle name="40% - Accent6 2 2 2 5 3 4" xfId="31592" xr:uid="{FF319425-C974-488F-961B-D84E47F1AE16}"/>
    <cellStyle name="40% - Accent6 2 2 2 5 4" xfId="10480" xr:uid="{559230D6-59FA-4E93-BAFB-2C2CAFCBA2B7}"/>
    <cellStyle name="40% - Accent6 2 2 2 5 5" xfId="18928" xr:uid="{B2443B2B-637D-447A-89AD-DC0665C676E3}"/>
    <cellStyle name="40% - Accent6 2 2 2 5 6" xfId="27375" xr:uid="{9C826873-1368-4E8D-9471-CA1FF90B5F42}"/>
    <cellStyle name="40% - Accent6 2 2 2 6" xfId="2355" xr:uid="{00000000-0005-0000-0000-0000F5060000}"/>
    <cellStyle name="40% - Accent6 2 2 2 6 2" xfId="6661" xr:uid="{00000000-0005-0000-0000-0000F6060000}"/>
    <cellStyle name="40% - Accent6 2 2 2 6 2 2" xfId="15111" xr:uid="{463B6FB3-DDC4-4A62-9C07-78AD89D0ACC2}"/>
    <cellStyle name="40% - Accent6 2 2 2 6 2 3" xfId="23558" xr:uid="{612CAE1A-743B-412B-9A3C-40D9802839AA}"/>
    <cellStyle name="40% - Accent6 2 2 2 6 2 4" xfId="32005" xr:uid="{60DA14DD-42CF-4123-97FC-2019A52EB2A3}"/>
    <cellStyle name="40% - Accent6 2 2 2 6 3" xfId="10893" xr:uid="{37EEBF12-D1F3-43F9-BD1B-DC3C6E83FAC3}"/>
    <cellStyle name="40% - Accent6 2 2 2 6 4" xfId="19341" xr:uid="{F7D379DF-8856-4C71-8CF1-B5FC921A5736}"/>
    <cellStyle name="40% - Accent6 2 2 2 6 5" xfId="27788" xr:uid="{B9086D2D-825F-4DE3-941A-299F5EDECCFA}"/>
    <cellStyle name="40% - Accent6 2 2 2 7" xfId="4595" xr:uid="{00000000-0005-0000-0000-0000F7060000}"/>
    <cellStyle name="40% - Accent6 2 2 2 7 2" xfId="13045" xr:uid="{997F34F6-20F1-40E2-AA7B-081F92076BC4}"/>
    <cellStyle name="40% - Accent6 2 2 2 7 3" xfId="21492" xr:uid="{306E23FF-287C-47F3-9FE8-63A1E107D88A}"/>
    <cellStyle name="40% - Accent6 2 2 2 7 4" xfId="29939" xr:uid="{D0F1BDB8-D29F-4331-9F06-8DC8C03C63D7}"/>
    <cellStyle name="40% - Accent6 2 2 2 8" xfId="8827" xr:uid="{89FA5857-1EB2-47E5-BBF4-11D5E60A5E2B}"/>
    <cellStyle name="40% - Accent6 2 2 2 9" xfId="17275" xr:uid="{A26970D6-948F-4AF0-9241-7A4B2382BE27}"/>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D0041871-1538-4AAD-ACAC-6FB4CEA0D886}"/>
    <cellStyle name="40% - Accent6 2 2 3 2 2 3" xfId="24050" xr:uid="{22E5901E-BBBB-4F10-B137-FD94644FC80F}"/>
    <cellStyle name="40% - Accent6 2 2 3 2 2 4" xfId="32497" xr:uid="{C33B3766-786D-4132-BF91-95D8C001F990}"/>
    <cellStyle name="40% - Accent6 2 2 3 2 3" xfId="11385" xr:uid="{08143B7B-3E84-479B-977E-44273951B902}"/>
    <cellStyle name="40% - Accent6 2 2 3 2 4" xfId="19833" xr:uid="{9995B71B-AB44-496E-8791-022E5DFDE32D}"/>
    <cellStyle name="40% - Accent6 2 2 3 2 5" xfId="28280" xr:uid="{35110463-1130-494C-8D57-6E06F4FF2D7D}"/>
    <cellStyle name="40% - Accent6 2 2 3 3" xfId="5008" xr:uid="{00000000-0005-0000-0000-0000FB060000}"/>
    <cellStyle name="40% - Accent6 2 2 3 3 2" xfId="13458" xr:uid="{B4119922-B5A3-4E9E-8375-35853975B1CC}"/>
    <cellStyle name="40% - Accent6 2 2 3 3 3" xfId="21905" xr:uid="{F051B414-FD59-4B0F-BCC2-7F808ECF469F}"/>
    <cellStyle name="40% - Accent6 2 2 3 3 4" xfId="30352" xr:uid="{CBC38E89-4077-43FF-8B48-43EE54D004EA}"/>
    <cellStyle name="40% - Accent6 2 2 3 4" xfId="9240" xr:uid="{58E8F340-16B1-4F1C-A18E-CBA9551F6482}"/>
    <cellStyle name="40% - Accent6 2 2 3 5" xfId="17688" xr:uid="{B77C979B-E8C6-4752-B5DB-A33D5EC187FB}"/>
    <cellStyle name="40% - Accent6 2 2 3 6" xfId="26135" xr:uid="{8B56DA1E-B0BF-45D7-A41C-369DF3582C5F}"/>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AFB30060-407E-481A-BC4A-E185259B7D9C}"/>
    <cellStyle name="40% - Accent6 2 2 4 2 2 3" xfId="24463" xr:uid="{060CDD51-5037-4128-9F25-7E00AD237AEC}"/>
    <cellStyle name="40% - Accent6 2 2 4 2 2 4" xfId="32910" xr:uid="{0A76E038-2E66-4A24-B047-908FDDCBFF31}"/>
    <cellStyle name="40% - Accent6 2 2 4 2 3" xfId="11798" xr:uid="{69087102-7AF5-46D4-950D-10FF297A695B}"/>
    <cellStyle name="40% - Accent6 2 2 4 2 4" xfId="20246" xr:uid="{56C80FFD-1CDD-4497-AC95-0C1758C0DD40}"/>
    <cellStyle name="40% - Accent6 2 2 4 2 5" xfId="28693" xr:uid="{800B4D39-C166-4032-8DA2-E41640690EB2}"/>
    <cellStyle name="40% - Accent6 2 2 4 3" xfId="5421" xr:uid="{00000000-0005-0000-0000-0000FF060000}"/>
    <cellStyle name="40% - Accent6 2 2 4 3 2" xfId="13871" xr:uid="{5C75E5CA-AC17-4D1B-A5E8-7E1B17C821ED}"/>
    <cellStyle name="40% - Accent6 2 2 4 3 3" xfId="22318" xr:uid="{522E7858-23FB-4B8F-9177-1AD92965DE8C}"/>
    <cellStyle name="40% - Accent6 2 2 4 3 4" xfId="30765" xr:uid="{60F07116-7494-41FE-9358-091876098BF6}"/>
    <cellStyle name="40% - Accent6 2 2 4 4" xfId="9653" xr:uid="{AF04945D-30D9-4CE2-BC49-085A6B227ADE}"/>
    <cellStyle name="40% - Accent6 2 2 4 5" xfId="18101" xr:uid="{977CD035-B351-490B-8D8C-C295F15D4A9B}"/>
    <cellStyle name="40% - Accent6 2 2 4 6" xfId="26548" xr:uid="{CE50C7C6-259D-4D77-A3DC-ACD6EB75AC65}"/>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09380C0A-41FF-4374-85A5-C1D984145A1B}"/>
    <cellStyle name="40% - Accent6 2 2 5 2 2 3" xfId="24876" xr:uid="{DD306231-B17B-4913-9B0A-1066CC76C0A6}"/>
    <cellStyle name="40% - Accent6 2 2 5 2 2 4" xfId="33323" xr:uid="{D6741266-5BD9-4D06-B3A9-A36CDBD24B73}"/>
    <cellStyle name="40% - Accent6 2 2 5 2 3" xfId="12211" xr:uid="{ABC2CF7A-7779-4C9C-88C5-C131F5E9C50E}"/>
    <cellStyle name="40% - Accent6 2 2 5 2 4" xfId="20659" xr:uid="{6BC9EEFD-57CC-4C33-872F-EDAF226545EC}"/>
    <cellStyle name="40% - Accent6 2 2 5 2 5" xfId="29106" xr:uid="{784053E7-1C8D-4E74-8D73-786636A4C1F4}"/>
    <cellStyle name="40% - Accent6 2 2 5 3" xfId="5834" xr:uid="{00000000-0005-0000-0000-000003070000}"/>
    <cellStyle name="40% - Accent6 2 2 5 3 2" xfId="14284" xr:uid="{06748A4A-D189-46C7-9417-EB4F8F4D59BC}"/>
    <cellStyle name="40% - Accent6 2 2 5 3 3" xfId="22731" xr:uid="{7E16B24D-6964-4F82-9BA4-82A8D50B332F}"/>
    <cellStyle name="40% - Accent6 2 2 5 3 4" xfId="31178" xr:uid="{42C917D6-A323-45FF-B6B0-C082CBBC53DC}"/>
    <cellStyle name="40% - Accent6 2 2 5 4" xfId="10066" xr:uid="{856F718F-77F3-47BE-BBFC-F8FADCBF1382}"/>
    <cellStyle name="40% - Accent6 2 2 5 5" xfId="18514" xr:uid="{F1CB38FF-9A5E-44FA-84E0-C793DED8EEDC}"/>
    <cellStyle name="40% - Accent6 2 2 5 6" xfId="26961" xr:uid="{2735A975-84E8-41D0-9276-EE13C27ED870}"/>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B4A4B34F-80A2-45A5-A11D-80FE924748C8}"/>
    <cellStyle name="40% - Accent6 2 2 6 2 2 3" xfId="25289" xr:uid="{01277B4F-5F01-4F38-AF12-417083D9825D}"/>
    <cellStyle name="40% - Accent6 2 2 6 2 2 4" xfId="33736" xr:uid="{4E1F448A-5266-4C77-9B8C-9DE0F862870F}"/>
    <cellStyle name="40% - Accent6 2 2 6 2 3" xfId="12624" xr:uid="{0C4C63AF-9149-4F4C-B779-E2E23B0F8195}"/>
    <cellStyle name="40% - Accent6 2 2 6 2 4" xfId="21072" xr:uid="{01B521DA-29EF-4A19-B78D-D82B819EDAD7}"/>
    <cellStyle name="40% - Accent6 2 2 6 2 5" xfId="29519" xr:uid="{43984050-C8C7-47E9-B011-8B35BB99CBDD}"/>
    <cellStyle name="40% - Accent6 2 2 6 3" xfId="6247" xr:uid="{00000000-0005-0000-0000-000007070000}"/>
    <cellStyle name="40% - Accent6 2 2 6 3 2" xfId="14697" xr:uid="{BF8EDC4D-F58E-4C28-9DC7-BBACB617E4E5}"/>
    <cellStyle name="40% - Accent6 2 2 6 3 3" xfId="23144" xr:uid="{54A50B0F-6FC7-4B86-B349-33C6FD2047A8}"/>
    <cellStyle name="40% - Accent6 2 2 6 3 4" xfId="31591" xr:uid="{BA5D26DB-D5A8-40E0-9F59-C6C64C578B1A}"/>
    <cellStyle name="40% - Accent6 2 2 6 4" xfId="10479" xr:uid="{C4EA6388-D751-48DC-A2D3-2C2C394B8F00}"/>
    <cellStyle name="40% - Accent6 2 2 6 5" xfId="18927" xr:uid="{7962F9A6-B03D-4B25-8847-7EDFB9171F33}"/>
    <cellStyle name="40% - Accent6 2 2 6 6" xfId="27374" xr:uid="{466A5406-01B0-4BDB-A9CE-0F0F27226855}"/>
    <cellStyle name="40% - Accent6 2 2 7" xfId="2354" xr:uid="{00000000-0005-0000-0000-000008070000}"/>
    <cellStyle name="40% - Accent6 2 2 7 2" xfId="6660" xr:uid="{00000000-0005-0000-0000-000009070000}"/>
    <cellStyle name="40% - Accent6 2 2 7 2 2" xfId="15110" xr:uid="{004EBC74-13EC-4D9E-A7C1-5AA26BD87149}"/>
    <cellStyle name="40% - Accent6 2 2 7 2 3" xfId="23557" xr:uid="{44DDC107-622C-43BC-B286-17C6DF591100}"/>
    <cellStyle name="40% - Accent6 2 2 7 2 4" xfId="32004" xr:uid="{76CA3D49-E8BD-4910-9AB8-4986363EE175}"/>
    <cellStyle name="40% - Accent6 2 2 7 3" xfId="10892" xr:uid="{006807F9-2D21-4E80-A7B5-6B2C452A835E}"/>
    <cellStyle name="40% - Accent6 2 2 7 4" xfId="19340" xr:uid="{074B1C60-C449-4F95-92EC-05381A491D0F}"/>
    <cellStyle name="40% - Accent6 2 2 7 5" xfId="27787" xr:uid="{CCF09806-33A1-4730-9770-AEE78BCBBBED}"/>
    <cellStyle name="40% - Accent6 2 2 8" xfId="4594" xr:uid="{00000000-0005-0000-0000-00000A070000}"/>
    <cellStyle name="40% - Accent6 2 2 8 2" xfId="13044" xr:uid="{4152CF65-35FC-42C4-932E-FBA3B05C73A9}"/>
    <cellStyle name="40% - Accent6 2 2 8 3" xfId="21491" xr:uid="{EE88C0BF-DA34-4A99-9C38-761154ACC192}"/>
    <cellStyle name="40% - Accent6 2 2 8 4" xfId="29938" xr:uid="{590B9ABC-31DB-47B6-9ACC-EDD97AEC51C0}"/>
    <cellStyle name="40% - Accent6 2 2 9" xfId="8826" xr:uid="{A3CFB71F-4008-4558-ABF2-7C2AC2EC60CF}"/>
    <cellStyle name="40% - Accent6 2 3" xfId="93" xr:uid="{00000000-0005-0000-0000-00000B070000}"/>
    <cellStyle name="40% - Accent6 2 3 10" xfId="25723" xr:uid="{EA014CCC-7465-4D3E-96FC-4D70002E7D34}"/>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C8049FF3-9466-4620-B24F-AE0632F2AC6E}"/>
    <cellStyle name="40% - Accent6 2 3 2 2 2 3" xfId="24052" xr:uid="{8760875F-BB78-489A-A89D-D17C337B13B4}"/>
    <cellStyle name="40% - Accent6 2 3 2 2 2 4" xfId="32499" xr:uid="{A0F33D4D-B9AE-4403-9B45-99B844634B98}"/>
    <cellStyle name="40% - Accent6 2 3 2 2 3" xfId="11387" xr:uid="{EAA42773-23ED-40D7-A471-2C0FDB560729}"/>
    <cellStyle name="40% - Accent6 2 3 2 2 4" xfId="19835" xr:uid="{91B49F30-580A-44C5-B2F5-15FC88DD6873}"/>
    <cellStyle name="40% - Accent6 2 3 2 2 5" xfId="28282" xr:uid="{B5AC1010-FC28-4868-8AAB-01FD69570C6D}"/>
    <cellStyle name="40% - Accent6 2 3 2 3" xfId="5010" xr:uid="{00000000-0005-0000-0000-00000F070000}"/>
    <cellStyle name="40% - Accent6 2 3 2 3 2" xfId="13460" xr:uid="{0B9E0050-EEF7-4B93-85BB-3F01B448FA29}"/>
    <cellStyle name="40% - Accent6 2 3 2 3 3" xfId="21907" xr:uid="{B0D1A43C-0297-410D-BBCC-B95C8A5ED1D0}"/>
    <cellStyle name="40% - Accent6 2 3 2 3 4" xfId="30354" xr:uid="{36362E59-E8F1-4641-BEA5-A27303061483}"/>
    <cellStyle name="40% - Accent6 2 3 2 4" xfId="9242" xr:uid="{6F903105-2177-492D-9C3E-E6F1829B969B}"/>
    <cellStyle name="40% - Accent6 2 3 2 5" xfId="17690" xr:uid="{A0E41CB7-2256-4ACB-A95C-57A8F6184FDB}"/>
    <cellStyle name="40% - Accent6 2 3 2 6" xfId="26137" xr:uid="{9131996F-CD89-4B65-9FE1-222D8F2F90D5}"/>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F1547C23-B26B-440D-B516-948549ABBE39}"/>
    <cellStyle name="40% - Accent6 2 3 3 2 2 3" xfId="24465" xr:uid="{026BABD4-E8D0-46B9-B572-2143432C0752}"/>
    <cellStyle name="40% - Accent6 2 3 3 2 2 4" xfId="32912" xr:uid="{9BA4092C-607A-4801-B269-2910288FC126}"/>
    <cellStyle name="40% - Accent6 2 3 3 2 3" xfId="11800" xr:uid="{F680EAE0-BAA8-4A61-A287-07EBA2A9A94A}"/>
    <cellStyle name="40% - Accent6 2 3 3 2 4" xfId="20248" xr:uid="{A37D4D25-F731-4ADB-95C4-83AD4724C23B}"/>
    <cellStyle name="40% - Accent6 2 3 3 2 5" xfId="28695" xr:uid="{CEEFE190-60BE-4B27-A49B-2DC19CB69C33}"/>
    <cellStyle name="40% - Accent6 2 3 3 3" xfId="5423" xr:uid="{00000000-0005-0000-0000-000013070000}"/>
    <cellStyle name="40% - Accent6 2 3 3 3 2" xfId="13873" xr:uid="{6E761607-D5EF-49B8-8123-75578F79762B}"/>
    <cellStyle name="40% - Accent6 2 3 3 3 3" xfId="22320" xr:uid="{158DD755-5740-4033-B218-07C222AC7B76}"/>
    <cellStyle name="40% - Accent6 2 3 3 3 4" xfId="30767" xr:uid="{27B6446C-E9A5-426F-80EF-B603E1F8A721}"/>
    <cellStyle name="40% - Accent6 2 3 3 4" xfId="9655" xr:uid="{DDA3D6AF-6E57-446C-80D6-0EB2EE755613}"/>
    <cellStyle name="40% - Accent6 2 3 3 5" xfId="18103" xr:uid="{90AC1002-CB24-469D-8664-1996532EEA20}"/>
    <cellStyle name="40% - Accent6 2 3 3 6" xfId="26550" xr:uid="{B9A1853B-02E7-47D3-8491-FA78A87F17E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02C36277-A242-47F3-AB27-1E81631677DD}"/>
    <cellStyle name="40% - Accent6 2 3 4 2 2 3" xfId="24878" xr:uid="{B5EB2FEE-2953-42D9-BAA0-F11305C2A86B}"/>
    <cellStyle name="40% - Accent6 2 3 4 2 2 4" xfId="33325" xr:uid="{8177AD3E-2564-40BD-9D7D-54A646A6967D}"/>
    <cellStyle name="40% - Accent6 2 3 4 2 3" xfId="12213" xr:uid="{6DF9273C-D3EB-42F9-8ED7-6DB5CB299FD5}"/>
    <cellStyle name="40% - Accent6 2 3 4 2 4" xfId="20661" xr:uid="{6384A481-7340-4121-A19D-56D03C9CC5FB}"/>
    <cellStyle name="40% - Accent6 2 3 4 2 5" xfId="29108" xr:uid="{C75125F6-8467-4515-A185-1C378198FEEC}"/>
    <cellStyle name="40% - Accent6 2 3 4 3" xfId="5836" xr:uid="{00000000-0005-0000-0000-000017070000}"/>
    <cellStyle name="40% - Accent6 2 3 4 3 2" xfId="14286" xr:uid="{9FD5F401-5663-4F76-AFDC-F51A5B15052D}"/>
    <cellStyle name="40% - Accent6 2 3 4 3 3" xfId="22733" xr:uid="{725D36E5-7A32-450C-B678-F22E6595CEE9}"/>
    <cellStyle name="40% - Accent6 2 3 4 3 4" xfId="31180" xr:uid="{E9898FC8-872C-4215-8A1D-206FB1264779}"/>
    <cellStyle name="40% - Accent6 2 3 4 4" xfId="10068" xr:uid="{6D5F0955-9912-4931-9002-25688B3B396D}"/>
    <cellStyle name="40% - Accent6 2 3 4 5" xfId="18516" xr:uid="{FCDB9564-2D00-4EEC-82A0-91C71D3A7DD0}"/>
    <cellStyle name="40% - Accent6 2 3 4 6" xfId="26963" xr:uid="{426B419B-84EB-416F-8D84-4514FC125DBF}"/>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CB6972A2-0606-4983-B207-94B2695686C5}"/>
    <cellStyle name="40% - Accent6 2 3 5 2 2 3" xfId="25291" xr:uid="{96A6F628-0D22-4025-B618-68BE81CFBFD0}"/>
    <cellStyle name="40% - Accent6 2 3 5 2 2 4" xfId="33738" xr:uid="{1DF62EA9-6D78-4923-A1F9-612EC39F4B25}"/>
    <cellStyle name="40% - Accent6 2 3 5 2 3" xfId="12626" xr:uid="{8A03610C-2415-4EA7-870D-0D5D11B22DA3}"/>
    <cellStyle name="40% - Accent6 2 3 5 2 4" xfId="21074" xr:uid="{93D95058-2B19-4B64-A354-D17A1A5EB678}"/>
    <cellStyle name="40% - Accent6 2 3 5 2 5" xfId="29521" xr:uid="{054A1C0E-0992-4CF6-B07E-AF0D2E1B33ED}"/>
    <cellStyle name="40% - Accent6 2 3 5 3" xfId="6249" xr:uid="{00000000-0005-0000-0000-00001B070000}"/>
    <cellStyle name="40% - Accent6 2 3 5 3 2" xfId="14699" xr:uid="{51D2152F-F345-415E-B67A-C8879B357DA2}"/>
    <cellStyle name="40% - Accent6 2 3 5 3 3" xfId="23146" xr:uid="{EF5C2360-C0E8-4A1B-B821-A91B1E2D947F}"/>
    <cellStyle name="40% - Accent6 2 3 5 3 4" xfId="31593" xr:uid="{A6985D63-1B85-4DE2-B105-3D062D087D98}"/>
    <cellStyle name="40% - Accent6 2 3 5 4" xfId="10481" xr:uid="{4A6C27E1-E66B-4D4B-9AEA-ECEDC2422F15}"/>
    <cellStyle name="40% - Accent6 2 3 5 5" xfId="18929" xr:uid="{49CF3C1C-F332-4908-AF3C-0D11D64288BC}"/>
    <cellStyle name="40% - Accent6 2 3 5 6" xfId="27376" xr:uid="{0D0163E4-2A8A-442C-9AAA-B14ADD29772A}"/>
    <cellStyle name="40% - Accent6 2 3 6" xfId="2356" xr:uid="{00000000-0005-0000-0000-00001C070000}"/>
    <cellStyle name="40% - Accent6 2 3 6 2" xfId="6662" xr:uid="{00000000-0005-0000-0000-00001D070000}"/>
    <cellStyle name="40% - Accent6 2 3 6 2 2" xfId="15112" xr:uid="{473D80E1-0BDA-4186-996A-161909CA2246}"/>
    <cellStyle name="40% - Accent6 2 3 6 2 3" xfId="23559" xr:uid="{CACF90BF-0D12-4220-885A-550755276E05}"/>
    <cellStyle name="40% - Accent6 2 3 6 2 4" xfId="32006" xr:uid="{6BAED684-A776-42B6-BDE5-6A857DDBED88}"/>
    <cellStyle name="40% - Accent6 2 3 6 3" xfId="10894" xr:uid="{3168D4C7-7156-4FBA-954C-A3F478F5135E}"/>
    <cellStyle name="40% - Accent6 2 3 6 4" xfId="19342" xr:uid="{3B2F9F53-F99D-4CD6-A3A0-8E39F369CF4B}"/>
    <cellStyle name="40% - Accent6 2 3 6 5" xfId="27789" xr:uid="{A170DE7F-406B-4D0E-ACC8-C58F52F14554}"/>
    <cellStyle name="40% - Accent6 2 3 7" xfId="4596" xr:uid="{00000000-0005-0000-0000-00001E070000}"/>
    <cellStyle name="40% - Accent6 2 3 7 2" xfId="13046" xr:uid="{F957AD33-2E98-4B34-AAF0-5339810612AB}"/>
    <cellStyle name="40% - Accent6 2 3 7 3" xfId="21493" xr:uid="{19A61FEC-967D-4D11-A2A4-6B12F2D8C3AC}"/>
    <cellStyle name="40% - Accent6 2 3 7 4" xfId="29940" xr:uid="{A8587DCF-0EBA-4D3B-BB73-ADD468B403EA}"/>
    <cellStyle name="40% - Accent6 2 3 8" xfId="8828" xr:uid="{631963E9-E062-4AFE-9271-807BA11D1820}"/>
    <cellStyle name="40% - Accent6 2 3 9" xfId="17276" xr:uid="{E94E00E6-2122-49FF-8913-71C8067DD3AE}"/>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8D8C3646-708B-4AC1-A4CD-CD0929FF56E7}"/>
    <cellStyle name="40% - Accent6 2 4 2 2 3" xfId="24049" xr:uid="{F85652D8-D541-47D0-8FF1-4D6086CB256C}"/>
    <cellStyle name="40% - Accent6 2 4 2 2 4" xfId="32496" xr:uid="{28667B7A-4735-4991-8DED-559BB107E755}"/>
    <cellStyle name="40% - Accent6 2 4 2 3" xfId="11384" xr:uid="{2CF0A1E4-192B-41BA-A808-789A040404C2}"/>
    <cellStyle name="40% - Accent6 2 4 2 4" xfId="19832" xr:uid="{3C75873F-0B28-4DC7-AD8B-90931F8DF546}"/>
    <cellStyle name="40% - Accent6 2 4 2 5" xfId="28279" xr:uid="{25D88CF8-15FA-4FBF-B489-F3D45FA9F892}"/>
    <cellStyle name="40% - Accent6 2 4 3" xfId="5007" xr:uid="{00000000-0005-0000-0000-000022070000}"/>
    <cellStyle name="40% - Accent6 2 4 3 2" xfId="13457" xr:uid="{FD106C84-F1D9-4CB6-A918-664918E596AE}"/>
    <cellStyle name="40% - Accent6 2 4 3 3" xfId="21904" xr:uid="{586145EB-16A8-4A51-BAC4-BE2371C7CA3C}"/>
    <cellStyle name="40% - Accent6 2 4 3 4" xfId="30351" xr:uid="{FB82E887-4A60-44E3-81DB-31C23CD63A20}"/>
    <cellStyle name="40% - Accent6 2 4 4" xfId="9239" xr:uid="{4D7EDC06-E556-4C69-B3E1-93472D34E71B}"/>
    <cellStyle name="40% - Accent6 2 4 5" xfId="17687" xr:uid="{C06AB9BC-1113-4D9E-8996-A2196AB99C2A}"/>
    <cellStyle name="40% - Accent6 2 4 6" xfId="26134" xr:uid="{EECC346F-13D0-4898-B553-E2EFE96F96EE}"/>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7090BA54-638A-4849-A145-4D0470754479}"/>
    <cellStyle name="40% - Accent6 2 5 2 2 3" xfId="24462" xr:uid="{E10D07C6-FE5B-4DD6-8CC2-7DBA6B3E44D6}"/>
    <cellStyle name="40% - Accent6 2 5 2 2 4" xfId="32909" xr:uid="{88138AAC-DBF9-49C9-9360-553B1173FA23}"/>
    <cellStyle name="40% - Accent6 2 5 2 3" xfId="11797" xr:uid="{126F5F45-7607-4537-9F57-377B6B61FFD5}"/>
    <cellStyle name="40% - Accent6 2 5 2 4" xfId="20245" xr:uid="{10D4A887-FD63-44BF-8CA3-976F22A278C9}"/>
    <cellStyle name="40% - Accent6 2 5 2 5" xfId="28692" xr:uid="{704B36C7-245B-4115-B300-0F3973FF94E8}"/>
    <cellStyle name="40% - Accent6 2 5 3" xfId="5420" xr:uid="{00000000-0005-0000-0000-000026070000}"/>
    <cellStyle name="40% - Accent6 2 5 3 2" xfId="13870" xr:uid="{3CE5CE1F-ED84-452D-8A9B-4FF0EAEBC760}"/>
    <cellStyle name="40% - Accent6 2 5 3 3" xfId="22317" xr:uid="{4C281CEE-8611-4E53-8942-EA227F0F1F59}"/>
    <cellStyle name="40% - Accent6 2 5 3 4" xfId="30764" xr:uid="{852E3C35-524A-4842-B89E-C78DF41782D3}"/>
    <cellStyle name="40% - Accent6 2 5 4" xfId="9652" xr:uid="{44B0B1F6-1ED0-40B9-8BF5-43F74597001B}"/>
    <cellStyle name="40% - Accent6 2 5 5" xfId="18100" xr:uid="{A237A7ED-D1D2-4E16-9BB7-FF0EF503F869}"/>
    <cellStyle name="40% - Accent6 2 5 6" xfId="26547" xr:uid="{495AEAFB-D77A-404D-99E9-2020B5142449}"/>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9C1AB4F6-8CBA-4104-A910-7C66C53A6185}"/>
    <cellStyle name="40% - Accent6 2 6 2 2 3" xfId="24875" xr:uid="{8DAB8561-8CF9-4637-A2B3-34F881581900}"/>
    <cellStyle name="40% - Accent6 2 6 2 2 4" xfId="33322" xr:uid="{D05DE7BF-6678-4F27-9023-43E210138FD3}"/>
    <cellStyle name="40% - Accent6 2 6 2 3" xfId="12210" xr:uid="{E4C81310-2DC3-4727-9389-E20662624670}"/>
    <cellStyle name="40% - Accent6 2 6 2 4" xfId="20658" xr:uid="{1055982F-B8DE-4116-8962-D381E1A675B6}"/>
    <cellStyle name="40% - Accent6 2 6 2 5" xfId="29105" xr:uid="{4BE58E31-645F-4699-A677-3189940EFA5C}"/>
    <cellStyle name="40% - Accent6 2 6 3" xfId="5833" xr:uid="{00000000-0005-0000-0000-00002A070000}"/>
    <cellStyle name="40% - Accent6 2 6 3 2" xfId="14283" xr:uid="{1CB19A17-A8F6-41C8-8692-CBE795F71AE7}"/>
    <cellStyle name="40% - Accent6 2 6 3 3" xfId="22730" xr:uid="{0572772F-1DE4-47D7-8FA0-3E2202D15256}"/>
    <cellStyle name="40% - Accent6 2 6 3 4" xfId="31177" xr:uid="{9421D8CA-90A5-4BD8-BDB4-E507F2DD60B7}"/>
    <cellStyle name="40% - Accent6 2 6 4" xfId="10065" xr:uid="{074BE8C0-C8C1-4B66-A0A2-94BC547A84B3}"/>
    <cellStyle name="40% - Accent6 2 6 5" xfId="18513" xr:uid="{0FF959F8-BDFB-44DC-8B47-9774C777C062}"/>
    <cellStyle name="40% - Accent6 2 6 6" xfId="26960" xr:uid="{0BBE4110-5022-41CF-8447-AED5F3148413}"/>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86943A82-6C90-44E3-A951-E7B982DA6AFF}"/>
    <cellStyle name="40% - Accent6 2 7 2 2 3" xfId="25288" xr:uid="{D892F6A1-64A8-4572-9FDA-9A49B0A028BE}"/>
    <cellStyle name="40% - Accent6 2 7 2 2 4" xfId="33735" xr:uid="{D7B469FE-2A68-4F17-BB2C-F664529C082B}"/>
    <cellStyle name="40% - Accent6 2 7 2 3" xfId="12623" xr:uid="{3D6A48BB-7BC6-48D9-8DE2-62B59D7E2BFA}"/>
    <cellStyle name="40% - Accent6 2 7 2 4" xfId="21071" xr:uid="{D0C6B99B-5424-4EB2-AA66-33AA920A0B32}"/>
    <cellStyle name="40% - Accent6 2 7 2 5" xfId="29518" xr:uid="{EA1C9351-5A19-4D39-801C-AE5B082B24EA}"/>
    <cellStyle name="40% - Accent6 2 7 3" xfId="6246" xr:uid="{00000000-0005-0000-0000-00002E070000}"/>
    <cellStyle name="40% - Accent6 2 7 3 2" xfId="14696" xr:uid="{AD717C3B-F1B1-4D40-95D7-BC340544E680}"/>
    <cellStyle name="40% - Accent6 2 7 3 3" xfId="23143" xr:uid="{96950E0A-C140-48DE-9A85-5F90E8DBAD5C}"/>
    <cellStyle name="40% - Accent6 2 7 3 4" xfId="31590" xr:uid="{170D43EC-A1F1-4DE2-A23A-0B83E38A5CD7}"/>
    <cellStyle name="40% - Accent6 2 7 4" xfId="10478" xr:uid="{D5F20B2C-D563-481F-90E1-EB5E0487C90E}"/>
    <cellStyle name="40% - Accent6 2 7 5" xfId="18926" xr:uid="{B06AF5E7-A57F-4031-90E5-01F8AEA51BFE}"/>
    <cellStyle name="40% - Accent6 2 7 6" xfId="27373" xr:uid="{41DD4A7C-1276-4A78-B453-B51F4E24BFDD}"/>
    <cellStyle name="40% - Accent6 2 8" xfId="2353" xr:uid="{00000000-0005-0000-0000-00002F070000}"/>
    <cellStyle name="40% - Accent6 2 8 2" xfId="6659" xr:uid="{00000000-0005-0000-0000-000030070000}"/>
    <cellStyle name="40% - Accent6 2 8 2 2" xfId="15109" xr:uid="{DCC20EB1-C651-4C7E-975E-EEE00FDC85E1}"/>
    <cellStyle name="40% - Accent6 2 8 2 3" xfId="23556" xr:uid="{8FF148EF-FBA3-4C09-9D6A-FC1856C79CB2}"/>
    <cellStyle name="40% - Accent6 2 8 2 4" xfId="32003" xr:uid="{754260DF-72B8-4852-9C37-0A6AECF93A3E}"/>
    <cellStyle name="40% - Accent6 2 8 3" xfId="10891" xr:uid="{FB010A14-6722-4EA4-B512-9F703E561494}"/>
    <cellStyle name="40% - Accent6 2 8 4" xfId="19339" xr:uid="{454F5D60-0EC5-4F9F-8547-1707755EBBE5}"/>
    <cellStyle name="40% - Accent6 2 8 5" xfId="27786" xr:uid="{E7701984-8BFC-4169-A613-D2B0596FA2E0}"/>
    <cellStyle name="40% - Accent6 2 9" xfId="4593" xr:uid="{00000000-0005-0000-0000-000031070000}"/>
    <cellStyle name="40% - Accent6 2 9 2" xfId="13043" xr:uid="{C3573F18-6C49-48F5-AAC4-073A8C95A9E2}"/>
    <cellStyle name="40% - Accent6 2 9 3" xfId="21490" xr:uid="{48545A06-0505-4A0D-A2A5-0454788C1041}"/>
    <cellStyle name="40% - Accent6 2 9 4" xfId="29937" xr:uid="{AF2AF583-11A4-4637-A6FD-C7196B3DF2A1}"/>
    <cellStyle name="40% - Accent6 3" xfId="94" xr:uid="{00000000-0005-0000-0000-000032070000}"/>
    <cellStyle name="40% - Accent6 3 10" xfId="17277" xr:uid="{7F12D069-3527-442C-925F-28E1F156B4B1}"/>
    <cellStyle name="40% - Accent6 3 11" xfId="25724" xr:uid="{73A5CAF2-8380-4701-B9C2-1C708F79A292}"/>
    <cellStyle name="40% - Accent6 3 2" xfId="95" xr:uid="{00000000-0005-0000-0000-000033070000}"/>
    <cellStyle name="40% - Accent6 3 2 10" xfId="25725" xr:uid="{79736A54-0A3F-4470-B30B-C48CA48A86EC}"/>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EB0CF210-09C6-4D96-B2D5-4A17547BD1A6}"/>
    <cellStyle name="40% - Accent6 3 2 2 2 2 3" xfId="24054" xr:uid="{FC2EF2E9-EF4D-4358-B76B-7DA0C45FCF76}"/>
    <cellStyle name="40% - Accent6 3 2 2 2 2 4" xfId="32501" xr:uid="{A5950B38-9EEC-462D-A4AA-5FB69655E9C3}"/>
    <cellStyle name="40% - Accent6 3 2 2 2 3" xfId="11389" xr:uid="{75BC2294-7B7D-4134-B60F-C02FE75E384F}"/>
    <cellStyle name="40% - Accent6 3 2 2 2 4" xfId="19837" xr:uid="{6AD51394-5528-4A67-99EE-20B60283407E}"/>
    <cellStyle name="40% - Accent6 3 2 2 2 5" xfId="28284" xr:uid="{0F3E032A-2EB9-4350-98E4-863D43196E68}"/>
    <cellStyle name="40% - Accent6 3 2 2 3" xfId="5012" xr:uid="{00000000-0005-0000-0000-000037070000}"/>
    <cellStyle name="40% - Accent6 3 2 2 3 2" xfId="13462" xr:uid="{9AD2A533-471C-4765-B9AB-525326F20167}"/>
    <cellStyle name="40% - Accent6 3 2 2 3 3" xfId="21909" xr:uid="{4A750FB1-C336-491B-95E1-D5397DB12217}"/>
    <cellStyle name="40% - Accent6 3 2 2 3 4" xfId="30356" xr:uid="{5813BB49-2AD0-409D-B2EC-63CB0A567A92}"/>
    <cellStyle name="40% - Accent6 3 2 2 4" xfId="9244" xr:uid="{C846292F-EFE6-48EA-8AE0-53CE2B07C9E9}"/>
    <cellStyle name="40% - Accent6 3 2 2 5" xfId="17692" xr:uid="{B7E07961-6E19-44CA-8AF6-132E65B014C9}"/>
    <cellStyle name="40% - Accent6 3 2 2 6" xfId="26139" xr:uid="{30E2E96B-06B8-4FAC-9179-D894699C150C}"/>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DC6C0986-5FA8-4EE9-A6D8-20CEDF688C33}"/>
    <cellStyle name="40% - Accent6 3 2 3 2 2 3" xfId="24467" xr:uid="{2216217D-2CF3-438F-AEAA-08F67F45228D}"/>
    <cellStyle name="40% - Accent6 3 2 3 2 2 4" xfId="32914" xr:uid="{69EACD34-08F3-4A75-8235-F85CB4199A5D}"/>
    <cellStyle name="40% - Accent6 3 2 3 2 3" xfId="11802" xr:uid="{64DD6857-EC9F-47C3-97A5-ADE0A6030AAE}"/>
    <cellStyle name="40% - Accent6 3 2 3 2 4" xfId="20250" xr:uid="{C21D5ACB-18C9-4A70-85B8-FE10C6D3599E}"/>
    <cellStyle name="40% - Accent6 3 2 3 2 5" xfId="28697" xr:uid="{48C4B01D-EA12-4687-B682-D7B884F103BC}"/>
    <cellStyle name="40% - Accent6 3 2 3 3" xfId="5425" xr:uid="{00000000-0005-0000-0000-00003B070000}"/>
    <cellStyle name="40% - Accent6 3 2 3 3 2" xfId="13875" xr:uid="{CEB7FC29-BF2C-4A0E-B394-8A0BB544B5DC}"/>
    <cellStyle name="40% - Accent6 3 2 3 3 3" xfId="22322" xr:uid="{4ABB5329-6BD7-4305-92E2-B8586540E0CC}"/>
    <cellStyle name="40% - Accent6 3 2 3 3 4" xfId="30769" xr:uid="{31046847-80FF-4EF0-AC99-8D822CE3E720}"/>
    <cellStyle name="40% - Accent6 3 2 3 4" xfId="9657" xr:uid="{EE886DFB-2FBA-4CA6-928D-81ED46F3FA00}"/>
    <cellStyle name="40% - Accent6 3 2 3 5" xfId="18105" xr:uid="{0A75AC6B-C3A7-44E9-9C8D-26547EB8ED3B}"/>
    <cellStyle name="40% - Accent6 3 2 3 6" xfId="26552" xr:uid="{CE0B327A-A4BD-47F8-8654-58AC80B0639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7510D84C-B88D-4659-BD51-C98F0750EF1A}"/>
    <cellStyle name="40% - Accent6 3 2 4 2 2 3" xfId="24880" xr:uid="{8DC7EC23-37F5-49DE-B56D-78C70542CA46}"/>
    <cellStyle name="40% - Accent6 3 2 4 2 2 4" xfId="33327" xr:uid="{C793925A-2AB2-4A5D-9124-C5927C3B91C5}"/>
    <cellStyle name="40% - Accent6 3 2 4 2 3" xfId="12215" xr:uid="{5D87B0B4-9F64-48C2-B9A6-989D9E0F1A85}"/>
    <cellStyle name="40% - Accent6 3 2 4 2 4" xfId="20663" xr:uid="{62A4DDDB-152D-4F24-8AFB-55CE3EC57FA7}"/>
    <cellStyle name="40% - Accent6 3 2 4 2 5" xfId="29110" xr:uid="{74F6A85B-7D70-4A4D-89BD-4E58FB68A42C}"/>
    <cellStyle name="40% - Accent6 3 2 4 3" xfId="5838" xr:uid="{00000000-0005-0000-0000-00003F070000}"/>
    <cellStyle name="40% - Accent6 3 2 4 3 2" xfId="14288" xr:uid="{CE38CE48-D503-4F60-9E43-6F49BB6506FF}"/>
    <cellStyle name="40% - Accent6 3 2 4 3 3" xfId="22735" xr:uid="{E895A697-20BD-4720-AD83-66666C91B531}"/>
    <cellStyle name="40% - Accent6 3 2 4 3 4" xfId="31182" xr:uid="{5D2E6D42-042C-4557-8C3D-3FF247630B9D}"/>
    <cellStyle name="40% - Accent6 3 2 4 4" xfId="10070" xr:uid="{4793221D-62F0-4D81-884A-1783439E3EF9}"/>
    <cellStyle name="40% - Accent6 3 2 4 5" xfId="18518" xr:uid="{74F7570E-9EA7-4249-A521-8D900482867C}"/>
    <cellStyle name="40% - Accent6 3 2 4 6" xfId="26965" xr:uid="{3B59FE70-0516-4385-8A43-892A7BDEEDD6}"/>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9023A4FE-79B9-4461-AD42-37DD5FD600FF}"/>
    <cellStyle name="40% - Accent6 3 2 5 2 2 3" xfId="25293" xr:uid="{6A713F45-B87B-4E40-9CA5-1D12048EF1E3}"/>
    <cellStyle name="40% - Accent6 3 2 5 2 2 4" xfId="33740" xr:uid="{E7FCFAC2-58F8-4D8D-B43E-31A47EEDBE37}"/>
    <cellStyle name="40% - Accent6 3 2 5 2 3" xfId="12628" xr:uid="{88F0FCBC-32A6-43E3-B74A-F7FC6BB51A4B}"/>
    <cellStyle name="40% - Accent6 3 2 5 2 4" xfId="21076" xr:uid="{1BFCE126-C28A-4B48-BDAA-205C3A6D5550}"/>
    <cellStyle name="40% - Accent6 3 2 5 2 5" xfId="29523" xr:uid="{9B695375-51F8-4CEB-A685-805A777638E6}"/>
    <cellStyle name="40% - Accent6 3 2 5 3" xfId="6251" xr:uid="{00000000-0005-0000-0000-000043070000}"/>
    <cellStyle name="40% - Accent6 3 2 5 3 2" xfId="14701" xr:uid="{55948495-2DFC-461A-8546-7CA4E2A08207}"/>
    <cellStyle name="40% - Accent6 3 2 5 3 3" xfId="23148" xr:uid="{C233C53C-4813-47B0-AE0C-09A564EE4274}"/>
    <cellStyle name="40% - Accent6 3 2 5 3 4" xfId="31595" xr:uid="{D09A22D1-5F61-4A57-9E37-646D82E90DEC}"/>
    <cellStyle name="40% - Accent6 3 2 5 4" xfId="10483" xr:uid="{04611DFF-8DEF-424F-9686-E42DB9590D46}"/>
    <cellStyle name="40% - Accent6 3 2 5 5" xfId="18931" xr:uid="{780C70D5-813F-4F6D-8D7D-4E71B90D7F24}"/>
    <cellStyle name="40% - Accent6 3 2 5 6" xfId="27378" xr:uid="{FA8BB7EC-964E-450D-B799-35051D7F2C09}"/>
    <cellStyle name="40% - Accent6 3 2 6" xfId="2358" xr:uid="{00000000-0005-0000-0000-000044070000}"/>
    <cellStyle name="40% - Accent6 3 2 6 2" xfId="6664" xr:uid="{00000000-0005-0000-0000-000045070000}"/>
    <cellStyle name="40% - Accent6 3 2 6 2 2" xfId="15114" xr:uid="{9CF198B8-B885-4AD9-B160-F6F8C41AB326}"/>
    <cellStyle name="40% - Accent6 3 2 6 2 3" xfId="23561" xr:uid="{E52BD4E1-CAB7-448C-87BD-E3F9B802ED0F}"/>
    <cellStyle name="40% - Accent6 3 2 6 2 4" xfId="32008" xr:uid="{389883A3-EFF5-4C0B-BD73-EF1D69BE2B33}"/>
    <cellStyle name="40% - Accent6 3 2 6 3" xfId="10896" xr:uid="{16B7EC1A-8942-46DF-86B3-20FF9CE62C5F}"/>
    <cellStyle name="40% - Accent6 3 2 6 4" xfId="19344" xr:uid="{08D7200C-1F57-447C-9DA8-50A321FF3D55}"/>
    <cellStyle name="40% - Accent6 3 2 6 5" xfId="27791" xr:uid="{F3FCF992-B189-4873-AEF5-51F1ADAAE21F}"/>
    <cellStyle name="40% - Accent6 3 2 7" xfId="4598" xr:uid="{00000000-0005-0000-0000-000046070000}"/>
    <cellStyle name="40% - Accent6 3 2 7 2" xfId="13048" xr:uid="{7D2970C6-2531-48C3-BB20-708C99521F18}"/>
    <cellStyle name="40% - Accent6 3 2 7 3" xfId="21495" xr:uid="{145D6195-932E-45D2-9E1D-75663AE6DEFD}"/>
    <cellStyle name="40% - Accent6 3 2 7 4" xfId="29942" xr:uid="{6E8CD02E-8586-4C85-A3AF-AE66BD35C906}"/>
    <cellStyle name="40% - Accent6 3 2 8" xfId="8830" xr:uid="{0C5007EC-10DA-4372-ABF7-940F2EC0E666}"/>
    <cellStyle name="40% - Accent6 3 2 9" xfId="17278" xr:uid="{053DDC77-19B8-4A90-87FD-566998CC23CC}"/>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4E58D888-190F-41F1-B3DB-F400826A0A35}"/>
    <cellStyle name="40% - Accent6 3 3 2 2 3" xfId="24053" xr:uid="{270F9726-35CB-4133-8C1F-72442967FE6D}"/>
    <cellStyle name="40% - Accent6 3 3 2 2 4" xfId="32500" xr:uid="{D8019394-BC6F-48D7-A1BA-7A07A44B10C4}"/>
    <cellStyle name="40% - Accent6 3 3 2 3" xfId="11388" xr:uid="{07A7D77D-4A6F-4E97-A6CF-83EECCF11320}"/>
    <cellStyle name="40% - Accent6 3 3 2 4" xfId="19836" xr:uid="{11CA8ECC-7E2B-423B-AC75-C539CBCB030C}"/>
    <cellStyle name="40% - Accent6 3 3 2 5" xfId="28283" xr:uid="{DAEC1A0A-0822-4784-919C-99FCA3E5C380}"/>
    <cellStyle name="40% - Accent6 3 3 3" xfId="5011" xr:uid="{00000000-0005-0000-0000-00004A070000}"/>
    <cellStyle name="40% - Accent6 3 3 3 2" xfId="13461" xr:uid="{B5B82B83-539C-4500-BD3B-D0EEF7641067}"/>
    <cellStyle name="40% - Accent6 3 3 3 3" xfId="21908" xr:uid="{E7BA83D7-F14A-444A-AD1D-2EAF8A2E4879}"/>
    <cellStyle name="40% - Accent6 3 3 3 4" xfId="30355" xr:uid="{DEA6C499-EDCB-4288-A146-D7E4B33C9660}"/>
    <cellStyle name="40% - Accent6 3 3 4" xfId="9243" xr:uid="{D60AEE58-0D89-4960-9D0F-C3557CEE2F73}"/>
    <cellStyle name="40% - Accent6 3 3 5" xfId="17691" xr:uid="{AA42ECBA-CD99-4F6F-80B9-1D93BAB3F094}"/>
    <cellStyle name="40% - Accent6 3 3 6" xfId="26138" xr:uid="{DE76A6B0-69E1-4C40-B6AE-7635EC61E7C4}"/>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8BB84143-D468-4C42-B989-F08F8E23382C}"/>
    <cellStyle name="40% - Accent6 3 4 2 2 3" xfId="24466" xr:uid="{3BBE9DF1-F32C-4686-B109-CA6EA31B2677}"/>
    <cellStyle name="40% - Accent6 3 4 2 2 4" xfId="32913" xr:uid="{810DF10F-BA4B-4274-95C6-EE1E1BE4C28B}"/>
    <cellStyle name="40% - Accent6 3 4 2 3" xfId="11801" xr:uid="{57673C2E-3CFC-4A48-8DDD-90B0087E54EB}"/>
    <cellStyle name="40% - Accent6 3 4 2 4" xfId="20249" xr:uid="{56AC1288-54C6-4DA3-B172-35344A771C7C}"/>
    <cellStyle name="40% - Accent6 3 4 2 5" xfId="28696" xr:uid="{DD277066-66EE-4A27-B44E-0AAC9FC9FCA0}"/>
    <cellStyle name="40% - Accent6 3 4 3" xfId="5424" xr:uid="{00000000-0005-0000-0000-00004E070000}"/>
    <cellStyle name="40% - Accent6 3 4 3 2" xfId="13874" xr:uid="{967D852E-D65F-4292-B794-4EF325D6A5DD}"/>
    <cellStyle name="40% - Accent6 3 4 3 3" xfId="22321" xr:uid="{7D54B530-C906-4F58-BA69-C5566EEFA67D}"/>
    <cellStyle name="40% - Accent6 3 4 3 4" xfId="30768" xr:uid="{49E27A28-AAC4-4EDA-A79F-5773A04D1ABA}"/>
    <cellStyle name="40% - Accent6 3 4 4" xfId="9656" xr:uid="{75C01DBA-620B-47EE-8FB8-21B555B0AE4F}"/>
    <cellStyle name="40% - Accent6 3 4 5" xfId="18104" xr:uid="{4017546E-A9B7-48AF-8A8A-666EF7B73E6D}"/>
    <cellStyle name="40% - Accent6 3 4 6" xfId="26551" xr:uid="{6FD64FCA-413D-45BD-9B40-77F0E8C123A9}"/>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4EA62177-BB73-4336-BF45-B593D2AF13AF}"/>
    <cellStyle name="40% - Accent6 3 5 2 2 3" xfId="24879" xr:uid="{BA983097-E327-4763-9388-79EC7F63C0BD}"/>
    <cellStyle name="40% - Accent6 3 5 2 2 4" xfId="33326" xr:uid="{C65D5659-4CF9-4675-9F6A-97546B4FA577}"/>
    <cellStyle name="40% - Accent6 3 5 2 3" xfId="12214" xr:uid="{B0106520-BD68-4488-A796-357E6C6C486B}"/>
    <cellStyle name="40% - Accent6 3 5 2 4" xfId="20662" xr:uid="{3A398449-6C7A-4C5C-99F2-7DC986D2E2CC}"/>
    <cellStyle name="40% - Accent6 3 5 2 5" xfId="29109" xr:uid="{DAAD8A5E-9C6D-4255-A11A-4C918C005CD8}"/>
    <cellStyle name="40% - Accent6 3 5 3" xfId="5837" xr:uid="{00000000-0005-0000-0000-000052070000}"/>
    <cellStyle name="40% - Accent6 3 5 3 2" xfId="14287" xr:uid="{AD049509-4534-4B86-B804-4B211E5CF575}"/>
    <cellStyle name="40% - Accent6 3 5 3 3" xfId="22734" xr:uid="{BD740741-49BE-427D-9D69-4736F743B4F7}"/>
    <cellStyle name="40% - Accent6 3 5 3 4" xfId="31181" xr:uid="{64DF8CAD-3F43-4E9D-960C-3865CDB9B31B}"/>
    <cellStyle name="40% - Accent6 3 5 4" xfId="10069" xr:uid="{42EB3D7A-57D0-4CBC-80BF-AD7E7042329D}"/>
    <cellStyle name="40% - Accent6 3 5 5" xfId="18517" xr:uid="{87915BBD-F047-4F32-B64A-81D16542802D}"/>
    <cellStyle name="40% - Accent6 3 5 6" xfId="26964" xr:uid="{175D1D0C-CEE5-4838-8AEC-D58F83639179}"/>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D024BEDF-5382-48AD-BAB4-194E8AEBBE5E}"/>
    <cellStyle name="40% - Accent6 3 6 2 2 3" xfId="25292" xr:uid="{8275F277-ADED-41AC-B048-4542B1CDA145}"/>
    <cellStyle name="40% - Accent6 3 6 2 2 4" xfId="33739" xr:uid="{C4D86AE1-74D4-4270-B283-4FBF99ED6F3E}"/>
    <cellStyle name="40% - Accent6 3 6 2 3" xfId="12627" xr:uid="{C94F75BF-E97B-4924-BA08-F6F646B35430}"/>
    <cellStyle name="40% - Accent6 3 6 2 4" xfId="21075" xr:uid="{2725787C-5CFF-4145-8634-FAC7596987F5}"/>
    <cellStyle name="40% - Accent6 3 6 2 5" xfId="29522" xr:uid="{FC7A9FFC-AFF2-4ADB-9B01-D8CAD8F94245}"/>
    <cellStyle name="40% - Accent6 3 6 3" xfId="6250" xr:uid="{00000000-0005-0000-0000-000056070000}"/>
    <cellStyle name="40% - Accent6 3 6 3 2" xfId="14700" xr:uid="{5D2C937D-D315-4A9F-8326-0CDDD8050F78}"/>
    <cellStyle name="40% - Accent6 3 6 3 3" xfId="23147" xr:uid="{E7E2D512-7C9B-48EA-B542-217201257762}"/>
    <cellStyle name="40% - Accent6 3 6 3 4" xfId="31594" xr:uid="{0DE15E23-BD78-4CEF-A7C1-7CD2C1A6BA8E}"/>
    <cellStyle name="40% - Accent6 3 6 4" xfId="10482" xr:uid="{EA96E8C2-0A4D-441E-945C-172332A9EB3E}"/>
    <cellStyle name="40% - Accent6 3 6 5" xfId="18930" xr:uid="{7EA4088E-B80C-4484-98CF-6100FD8DA343}"/>
    <cellStyle name="40% - Accent6 3 6 6" xfId="27377" xr:uid="{E7141AB6-E4A8-4CEB-954C-C4FA3F057CFF}"/>
    <cellStyle name="40% - Accent6 3 7" xfId="2357" xr:uid="{00000000-0005-0000-0000-000057070000}"/>
    <cellStyle name="40% - Accent6 3 7 2" xfId="6663" xr:uid="{00000000-0005-0000-0000-000058070000}"/>
    <cellStyle name="40% - Accent6 3 7 2 2" xfId="15113" xr:uid="{DE9C1289-3375-4AD4-9706-DC4D8F247C34}"/>
    <cellStyle name="40% - Accent6 3 7 2 3" xfId="23560" xr:uid="{44772E1F-3485-4A16-8986-A455F9DD09BF}"/>
    <cellStyle name="40% - Accent6 3 7 2 4" xfId="32007" xr:uid="{ED66E221-D0EE-4864-9B3C-39640C5D4321}"/>
    <cellStyle name="40% - Accent6 3 7 3" xfId="10895" xr:uid="{96878A27-2F2D-47B0-A64F-37E7863EEF3D}"/>
    <cellStyle name="40% - Accent6 3 7 4" xfId="19343" xr:uid="{81A8AE9F-CB20-48C3-8EA5-CA89D772565F}"/>
    <cellStyle name="40% - Accent6 3 7 5" xfId="27790" xr:uid="{4EBB6575-96D9-461C-88D1-6EA4A3605F0A}"/>
    <cellStyle name="40% - Accent6 3 8" xfId="4597" xr:uid="{00000000-0005-0000-0000-000059070000}"/>
    <cellStyle name="40% - Accent6 3 8 2" xfId="13047" xr:uid="{B4D9DDB1-BA0B-4597-BB21-AF8C3925C322}"/>
    <cellStyle name="40% - Accent6 3 8 3" xfId="21494" xr:uid="{02D28649-C1D1-4391-AB87-D9437DCC03F5}"/>
    <cellStyle name="40% - Accent6 3 8 4" xfId="29941" xr:uid="{3DB8CC1E-33F1-4E20-93EB-0C535D7CC33E}"/>
    <cellStyle name="40% - Accent6 3 9" xfId="8829" xr:uid="{DD3B80A7-7AB5-4451-B89C-AA973B1F592B}"/>
    <cellStyle name="40% - Accent6 4" xfId="96" xr:uid="{00000000-0005-0000-0000-00005A070000}"/>
    <cellStyle name="40% - Accent6 4 10" xfId="25726" xr:uid="{B62D4FA1-6D0B-48E5-8B86-A952D55036F7}"/>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7EDBF098-4D18-4821-96E6-A90FC669EB8C}"/>
    <cellStyle name="40% - Accent6 4 2 2 2 3" xfId="24055" xr:uid="{C2C1EF37-05D8-42B3-AFD8-A15428D6FAD2}"/>
    <cellStyle name="40% - Accent6 4 2 2 2 4" xfId="32502" xr:uid="{8B70B0EB-FC53-4963-90B8-F52B9D786E41}"/>
    <cellStyle name="40% - Accent6 4 2 2 3" xfId="11390" xr:uid="{FDA23610-B870-48C6-8722-25CE376DDD53}"/>
    <cellStyle name="40% - Accent6 4 2 2 4" xfId="19838" xr:uid="{D43DF124-145C-4367-BE53-8AC74D1F041A}"/>
    <cellStyle name="40% - Accent6 4 2 2 5" xfId="28285" xr:uid="{AD5A48C8-64B7-4E1A-BFE1-A8955FD80A85}"/>
    <cellStyle name="40% - Accent6 4 2 3" xfId="5013" xr:uid="{00000000-0005-0000-0000-00005E070000}"/>
    <cellStyle name="40% - Accent6 4 2 3 2" xfId="13463" xr:uid="{7FD24708-CEE4-4916-85EA-A72CC60D6F65}"/>
    <cellStyle name="40% - Accent6 4 2 3 3" xfId="21910" xr:uid="{430E68C6-139E-4531-A98D-2E3F35C5BE0D}"/>
    <cellStyle name="40% - Accent6 4 2 3 4" xfId="30357" xr:uid="{0A485469-C934-4C29-975C-E665E1853BA8}"/>
    <cellStyle name="40% - Accent6 4 2 4" xfId="9245" xr:uid="{90809113-9E18-40F4-841A-0E52753E880B}"/>
    <cellStyle name="40% - Accent6 4 2 5" xfId="17693" xr:uid="{B1D67559-DB44-492C-88E4-098778E8291F}"/>
    <cellStyle name="40% - Accent6 4 2 6" xfId="26140" xr:uid="{D5B81EA8-7EA2-441F-A65D-65701293ADDD}"/>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9ADFC17F-BE59-4B7D-8A23-3A8F2F690A6F}"/>
    <cellStyle name="40% - Accent6 4 3 2 2 3" xfId="24468" xr:uid="{80734346-DC99-4565-93A6-0FE30AD797B6}"/>
    <cellStyle name="40% - Accent6 4 3 2 2 4" xfId="32915" xr:uid="{FFCBE0BE-E6FE-4250-A094-7052812B86A2}"/>
    <cellStyle name="40% - Accent6 4 3 2 3" xfId="11803" xr:uid="{CBF2886D-F0C9-47C2-AFBB-660FFB45053C}"/>
    <cellStyle name="40% - Accent6 4 3 2 4" xfId="20251" xr:uid="{C61D5DFC-DA0F-4BAA-A7A2-7D1FD0FE6337}"/>
    <cellStyle name="40% - Accent6 4 3 2 5" xfId="28698" xr:uid="{93E386CA-D472-4661-B74F-5EA01FA0CD5F}"/>
    <cellStyle name="40% - Accent6 4 3 3" xfId="5426" xr:uid="{00000000-0005-0000-0000-000062070000}"/>
    <cellStyle name="40% - Accent6 4 3 3 2" xfId="13876" xr:uid="{EE54C900-633E-4CBD-856C-3CD53B7E2BEF}"/>
    <cellStyle name="40% - Accent6 4 3 3 3" xfId="22323" xr:uid="{1466F660-46FA-423A-9A07-7DD62C26D119}"/>
    <cellStyle name="40% - Accent6 4 3 3 4" xfId="30770" xr:uid="{A6E1275E-4582-4BD5-A57F-3D3C2A497CE5}"/>
    <cellStyle name="40% - Accent6 4 3 4" xfId="9658" xr:uid="{86E1A907-B8D9-476A-AB68-8296FA6235EB}"/>
    <cellStyle name="40% - Accent6 4 3 5" xfId="18106" xr:uid="{635426CC-1101-4CCC-A760-450BE87058ED}"/>
    <cellStyle name="40% - Accent6 4 3 6" xfId="26553" xr:uid="{B6D54EBB-B3D3-46F8-96BA-06C4D46FEDA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380DE4E0-4EA7-4CA2-87E9-57FF687DF3CD}"/>
    <cellStyle name="40% - Accent6 4 4 2 2 3" xfId="24881" xr:uid="{7DFE5621-B776-4617-8A7D-3D632C3D45FE}"/>
    <cellStyle name="40% - Accent6 4 4 2 2 4" xfId="33328" xr:uid="{EF8378C1-CA24-4FB8-83B5-08485D3BB6C9}"/>
    <cellStyle name="40% - Accent6 4 4 2 3" xfId="12216" xr:uid="{B1FB6941-F3B3-4995-89A3-4E5E84880F75}"/>
    <cellStyle name="40% - Accent6 4 4 2 4" xfId="20664" xr:uid="{9D839339-802E-46FE-93C3-A03582494D7A}"/>
    <cellStyle name="40% - Accent6 4 4 2 5" xfId="29111" xr:uid="{782FDB4C-42B9-490A-A3F0-981EC97AA983}"/>
    <cellStyle name="40% - Accent6 4 4 3" xfId="5839" xr:uid="{00000000-0005-0000-0000-000066070000}"/>
    <cellStyle name="40% - Accent6 4 4 3 2" xfId="14289" xr:uid="{1D7F8D5D-A08E-4ADE-8844-684AFE2D17FD}"/>
    <cellStyle name="40% - Accent6 4 4 3 3" xfId="22736" xr:uid="{5D92F27C-DF88-4A06-AD91-DE847E2CBF6D}"/>
    <cellStyle name="40% - Accent6 4 4 3 4" xfId="31183" xr:uid="{4D922DE8-E081-4A12-A0B9-3000240017DC}"/>
    <cellStyle name="40% - Accent6 4 4 4" xfId="10071" xr:uid="{6C045440-8325-4F85-B5D1-9534F600EA4F}"/>
    <cellStyle name="40% - Accent6 4 4 5" xfId="18519" xr:uid="{E801468E-8CC6-4611-9D0A-98CEB6FC2CAC}"/>
    <cellStyle name="40% - Accent6 4 4 6" xfId="26966" xr:uid="{6C5E029C-6AAC-4906-9F7A-57F604C3587F}"/>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72582CCE-0489-4AD9-A775-EA25522183D4}"/>
    <cellStyle name="40% - Accent6 4 5 2 2 3" xfId="25294" xr:uid="{07BF3C52-3688-4A06-907E-5C7949EEA9E9}"/>
    <cellStyle name="40% - Accent6 4 5 2 2 4" xfId="33741" xr:uid="{C91A9710-EC0D-4381-9E54-0162C1132A44}"/>
    <cellStyle name="40% - Accent6 4 5 2 3" xfId="12629" xr:uid="{C4574C96-BFBB-45E9-80A5-14BBD977F6D9}"/>
    <cellStyle name="40% - Accent6 4 5 2 4" xfId="21077" xr:uid="{08E9A7A1-2BE6-4024-90FE-FAABCFEF564B}"/>
    <cellStyle name="40% - Accent6 4 5 2 5" xfId="29524" xr:uid="{0C5E2C83-D86F-49C5-BF98-C00E725DB11F}"/>
    <cellStyle name="40% - Accent6 4 5 3" xfId="6252" xr:uid="{00000000-0005-0000-0000-00006A070000}"/>
    <cellStyle name="40% - Accent6 4 5 3 2" xfId="14702" xr:uid="{6C1D2FC8-A468-48A6-B250-92184645DC90}"/>
    <cellStyle name="40% - Accent6 4 5 3 3" xfId="23149" xr:uid="{0827058C-9989-4EAD-B78E-1C80DFB4769E}"/>
    <cellStyle name="40% - Accent6 4 5 3 4" xfId="31596" xr:uid="{FEBAE408-31F4-4DC7-B4C3-B34B6B9FCEF9}"/>
    <cellStyle name="40% - Accent6 4 5 4" xfId="10484" xr:uid="{86A7E26D-9FE1-4F1F-828A-745CE4BD6F6C}"/>
    <cellStyle name="40% - Accent6 4 5 5" xfId="18932" xr:uid="{9CCDFE92-6FB5-4785-B99A-3B3D22E544C7}"/>
    <cellStyle name="40% - Accent6 4 5 6" xfId="27379" xr:uid="{9B0D2371-5D73-43E0-B064-AEFE072B2745}"/>
    <cellStyle name="40% - Accent6 4 6" xfId="2359" xr:uid="{00000000-0005-0000-0000-00006B070000}"/>
    <cellStyle name="40% - Accent6 4 6 2" xfId="6665" xr:uid="{00000000-0005-0000-0000-00006C070000}"/>
    <cellStyle name="40% - Accent6 4 6 2 2" xfId="15115" xr:uid="{F624058F-9F07-4BC8-AAA0-C04327617EBF}"/>
    <cellStyle name="40% - Accent6 4 6 2 3" xfId="23562" xr:uid="{95F9A965-4CFB-4737-800C-2455E48D8E44}"/>
    <cellStyle name="40% - Accent6 4 6 2 4" xfId="32009" xr:uid="{C08F0544-C360-408C-B878-F006DC0166EE}"/>
    <cellStyle name="40% - Accent6 4 6 3" xfId="10897" xr:uid="{F23AEE01-D622-49EC-A65D-61BFDE66E6C5}"/>
    <cellStyle name="40% - Accent6 4 6 4" xfId="19345" xr:uid="{6CF5CB73-6B3C-4803-9783-2B667844D6C3}"/>
    <cellStyle name="40% - Accent6 4 6 5" xfId="27792" xr:uid="{2EDE8FE0-E25B-48A7-9E7A-E8C71701B519}"/>
    <cellStyle name="40% - Accent6 4 7" xfId="4599" xr:uid="{00000000-0005-0000-0000-00006D070000}"/>
    <cellStyle name="40% - Accent6 4 7 2" xfId="13049" xr:uid="{2D737A39-3311-427B-8446-D8AAADFF0B6A}"/>
    <cellStyle name="40% - Accent6 4 7 3" xfId="21496" xr:uid="{B8E91A7C-9FC2-4061-B6EE-E164714CFFA2}"/>
    <cellStyle name="40% - Accent6 4 7 4" xfId="29943" xr:uid="{0DA5B723-546F-46A0-ADD7-CEF2B2401FD8}"/>
    <cellStyle name="40% - Accent6 4 8" xfId="8831" xr:uid="{B5ECD990-9791-44E5-8EEE-CD1095E42081}"/>
    <cellStyle name="40% - Accent6 4 9" xfId="17279" xr:uid="{8D99B87C-4C57-4673-8859-FD13D169DF2C}"/>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06D32585-EAD1-494D-9143-F078F04973B7}"/>
    <cellStyle name="40% - Accent6 5 2 2 3" xfId="24048" xr:uid="{C287B63F-0D6E-4AE3-8800-3E31142F6CBE}"/>
    <cellStyle name="40% - Accent6 5 2 2 4" xfId="32495" xr:uid="{EFD66D2C-4ECD-44BA-B24A-9C8D40A9E995}"/>
    <cellStyle name="40% - Accent6 5 2 3" xfId="11383" xr:uid="{421105ED-1222-439B-B0C3-485405064626}"/>
    <cellStyle name="40% - Accent6 5 2 4" xfId="19831" xr:uid="{A9039FE1-D5FA-439A-BF51-24F7BE10B706}"/>
    <cellStyle name="40% - Accent6 5 2 5" xfId="28278" xr:uid="{147BCF0B-8C24-4A90-BE62-ABBD0E80DC00}"/>
    <cellStyle name="40% - Accent6 5 3" xfId="5006" xr:uid="{00000000-0005-0000-0000-000071070000}"/>
    <cellStyle name="40% - Accent6 5 3 2" xfId="13456" xr:uid="{71131B7C-7825-4070-B7CD-052156379446}"/>
    <cellStyle name="40% - Accent6 5 3 3" xfId="21903" xr:uid="{6C97DBEC-61C7-4BC6-8F27-B41C10A6C2C9}"/>
    <cellStyle name="40% - Accent6 5 3 4" xfId="30350" xr:uid="{69A56944-D671-4C8C-BE34-D3F939696F9F}"/>
    <cellStyle name="40% - Accent6 5 4" xfId="9238" xr:uid="{C370513D-7D29-47BD-8F89-387C325C943A}"/>
    <cellStyle name="40% - Accent6 5 5" xfId="17686" xr:uid="{EB68376C-7B1B-461D-8721-A0493BB38C49}"/>
    <cellStyle name="40% - Accent6 5 6" xfId="26133" xr:uid="{614F7210-2230-4B09-83FD-898519E4CD38}"/>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FEF67746-2528-4897-A7F5-0E762976338D}"/>
    <cellStyle name="40% - Accent6 6 2 2 3" xfId="24461" xr:uid="{C3958637-5E44-436F-9970-1C50B6FB9CD1}"/>
    <cellStyle name="40% - Accent6 6 2 2 4" xfId="32908" xr:uid="{532500C7-7A77-4C76-9B9B-F21B7BB78C5E}"/>
    <cellStyle name="40% - Accent6 6 2 3" xfId="11796" xr:uid="{7C4A3883-0640-42BA-BB09-AC704E299563}"/>
    <cellStyle name="40% - Accent6 6 2 4" xfId="20244" xr:uid="{7DA6FD69-B752-4EDF-9E86-5460EB6D86BA}"/>
    <cellStyle name="40% - Accent6 6 2 5" xfId="28691" xr:uid="{68392749-1B3F-4CDD-B3C7-03A51FC0C070}"/>
    <cellStyle name="40% - Accent6 6 3" xfId="5419" xr:uid="{00000000-0005-0000-0000-000075070000}"/>
    <cellStyle name="40% - Accent6 6 3 2" xfId="13869" xr:uid="{3D55D7A5-AF2A-45D5-A568-A534B1B5997A}"/>
    <cellStyle name="40% - Accent6 6 3 3" xfId="22316" xr:uid="{A4FCB3D7-5D56-40FC-A3A2-B431997106C6}"/>
    <cellStyle name="40% - Accent6 6 3 4" xfId="30763" xr:uid="{5C8C7548-24D5-44E3-8007-92C2747F8C3F}"/>
    <cellStyle name="40% - Accent6 6 4" xfId="9651" xr:uid="{58A8196C-85EF-48FB-B1DF-33E0944F787C}"/>
    <cellStyle name="40% - Accent6 6 5" xfId="18099" xr:uid="{9AEFEFE9-DC0B-46A4-874B-DA9D405DDDD0}"/>
    <cellStyle name="40% - Accent6 6 6" xfId="26546" xr:uid="{83360C00-956B-448C-B853-C1CB21BE6266}"/>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9A15BC0E-98DC-486B-99AE-A676CA9FEEF1}"/>
    <cellStyle name="40% - Accent6 7 2 2 3" xfId="24874" xr:uid="{6754E1C5-DAD2-4FE4-861F-1F966C7192A0}"/>
    <cellStyle name="40% - Accent6 7 2 2 4" xfId="33321" xr:uid="{94B37F4B-6828-454B-A9FA-508BEF6F6437}"/>
    <cellStyle name="40% - Accent6 7 2 3" xfId="12209" xr:uid="{AC0CFC9A-4391-4EFB-9A4F-9F7985C70649}"/>
    <cellStyle name="40% - Accent6 7 2 4" xfId="20657" xr:uid="{5FF8686E-2C30-46F6-9F10-542867F5884A}"/>
    <cellStyle name="40% - Accent6 7 2 5" xfId="29104" xr:uid="{FEF41205-FF3D-4172-8B7C-819819120130}"/>
    <cellStyle name="40% - Accent6 7 3" xfId="5832" xr:uid="{00000000-0005-0000-0000-000079070000}"/>
    <cellStyle name="40% - Accent6 7 3 2" xfId="14282" xr:uid="{BAFA8B64-8DBA-46CC-9459-0D44BD275AA5}"/>
    <cellStyle name="40% - Accent6 7 3 3" xfId="22729" xr:uid="{3EFE52F1-51A4-498B-9298-42D8A1484031}"/>
    <cellStyle name="40% - Accent6 7 3 4" xfId="31176" xr:uid="{3CF448BE-3EFE-4D74-8757-ED7A695F84ED}"/>
    <cellStyle name="40% - Accent6 7 4" xfId="10064" xr:uid="{BDDE3072-984D-4D54-9138-9B5C728685A1}"/>
    <cellStyle name="40% - Accent6 7 5" xfId="18512" xr:uid="{8C31155A-1B0D-4ADB-93BC-7154951B9F60}"/>
    <cellStyle name="40% - Accent6 7 6" xfId="26959" xr:uid="{89D42FA8-8FE1-43D4-8F2A-2ACB51771248}"/>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999F6BEA-D201-40F3-8B83-E05CA642FB6A}"/>
    <cellStyle name="40% - Accent6 8 2 2 3" xfId="25287" xr:uid="{80196869-5F1C-4EE9-9416-FA86F7C4E7A5}"/>
    <cellStyle name="40% - Accent6 8 2 2 4" xfId="33734" xr:uid="{A20426C5-7184-4750-8046-F2F6FA527FC4}"/>
    <cellStyle name="40% - Accent6 8 2 3" xfId="12622" xr:uid="{935BE7D4-254E-42A0-9402-091034A7BE06}"/>
    <cellStyle name="40% - Accent6 8 2 4" xfId="21070" xr:uid="{57DEF4C4-BA00-4563-A65C-9E9929F74D16}"/>
    <cellStyle name="40% - Accent6 8 2 5" xfId="29517" xr:uid="{E28DCB4F-95C0-41FC-8083-89D5B81DF81C}"/>
    <cellStyle name="40% - Accent6 8 3" xfId="6245" xr:uid="{00000000-0005-0000-0000-00007D070000}"/>
    <cellStyle name="40% - Accent6 8 3 2" xfId="14695" xr:uid="{1A3B59A5-60BB-45F2-9170-85DBCF5A50CF}"/>
    <cellStyle name="40% - Accent6 8 3 3" xfId="23142" xr:uid="{9B02B81A-E544-4A7E-9242-0FC23886E501}"/>
    <cellStyle name="40% - Accent6 8 3 4" xfId="31589" xr:uid="{9CD71DDC-8E12-4887-915B-DD54655A3A9E}"/>
    <cellStyle name="40% - Accent6 8 4" xfId="10477" xr:uid="{6DB8C386-8C4A-4029-BB30-0DF784392538}"/>
    <cellStyle name="40% - Accent6 8 5" xfId="18925" xr:uid="{D8751297-07BD-4AF0-9685-4B689A9E009A}"/>
    <cellStyle name="40% - Accent6 8 6" xfId="27372" xr:uid="{1863289D-A14A-472E-9BA2-F1B84EE4C476}"/>
    <cellStyle name="40% - Accent6 9" xfId="2352" xr:uid="{00000000-0005-0000-0000-00007E070000}"/>
    <cellStyle name="40% - Accent6 9 2" xfId="6658" xr:uid="{00000000-0005-0000-0000-00007F070000}"/>
    <cellStyle name="40% - Accent6 9 2 2" xfId="15108" xr:uid="{8DD4516E-6AEF-4127-A241-090A8EBB97DD}"/>
    <cellStyle name="40% - Accent6 9 2 3" xfId="23555" xr:uid="{4C709447-DB7E-488B-A234-5CC2A4BBFF70}"/>
    <cellStyle name="40% - Accent6 9 2 4" xfId="32002" xr:uid="{E71EE501-F24B-4A4C-938A-45EC69EB6CCB}"/>
    <cellStyle name="40% - Accent6 9 3" xfId="10890" xr:uid="{30FF9E90-2C9A-497E-A1FF-D480CF05082A}"/>
    <cellStyle name="40% - Accent6 9 4" xfId="19338" xr:uid="{34E2403D-9D5B-474C-8A0E-62006F2F468B}"/>
    <cellStyle name="40% - Accent6 9 5" xfId="27785" xr:uid="{7F651BDE-2B24-4A69-A6AA-492DDEC4585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9F14D5DF-D89E-4A11-9B90-7B043C098544}"/>
    <cellStyle name="Comma 4 2 2 2 10 2 3" xfId="23880" xr:uid="{1DB882B4-BA48-4E57-9AB2-E704B6A06DAA}"/>
    <cellStyle name="Comma 4 2 2 2 10 2 4" xfId="32327" xr:uid="{3E2FE80C-7F85-4E9E-BD90-36911F82DB09}"/>
    <cellStyle name="Comma 4 2 2 2 10 3" xfId="11215" xr:uid="{D720DA11-4AFF-4977-AC65-E7A70BEB7046}"/>
    <cellStyle name="Comma 4 2 2 2 10 4" xfId="19663" xr:uid="{C90D361D-0D7A-4EA8-A16E-BC661C691AAE}"/>
    <cellStyle name="Comma 4 2 2 2 10 5" xfId="28110" xr:uid="{BE64DE36-7208-483C-B74A-2A8C7C474BEC}"/>
    <cellStyle name="Comma 4 2 2 2 11" xfId="4600" xr:uid="{00000000-0005-0000-0000-0000A3070000}"/>
    <cellStyle name="Comma 4 2 2 2 11 2" xfId="13050" xr:uid="{C7B663AF-594C-44B0-9DB2-23D29B978E46}"/>
    <cellStyle name="Comma 4 2 2 2 11 3" xfId="21497" xr:uid="{F729009F-B684-47EA-ABB5-BD14F15A9F89}"/>
    <cellStyle name="Comma 4 2 2 2 11 4" xfId="29944" xr:uid="{1D0CDA59-0115-4F12-AA31-03959E5A7F1F}"/>
    <cellStyle name="Comma 4 2 2 2 12" xfId="8832" xr:uid="{7EE20E9B-B536-4FBE-BBFB-CA5DCD254409}"/>
    <cellStyle name="Comma 4 2 2 2 13" xfId="17280" xr:uid="{B0F486B7-AD86-47C1-9FAF-0E79A33B1617}"/>
    <cellStyle name="Comma 4 2 2 2 14" xfId="25727" xr:uid="{76CEA18B-7319-4991-BBD1-6ACA4F294479}"/>
    <cellStyle name="Comma 4 2 2 2 2" xfId="129" xr:uid="{00000000-0005-0000-0000-0000A4070000}"/>
    <cellStyle name="Comma 4 2 2 2 2 10" xfId="4601" xr:uid="{00000000-0005-0000-0000-0000A5070000}"/>
    <cellStyle name="Comma 4 2 2 2 2 10 2" xfId="13051" xr:uid="{F19E4012-C7F1-4166-A5CB-BBEDA684F429}"/>
    <cellStyle name="Comma 4 2 2 2 2 10 3" xfId="21498" xr:uid="{1B38DFA9-030D-42ED-81BD-D13AF47BAC43}"/>
    <cellStyle name="Comma 4 2 2 2 2 10 4" xfId="29945" xr:uid="{7D40A383-82E0-4F45-968A-782A78006CCF}"/>
    <cellStyle name="Comma 4 2 2 2 2 11" xfId="8833" xr:uid="{30A9DFB8-4BCA-4B7F-9296-A1C6BEF3E285}"/>
    <cellStyle name="Comma 4 2 2 2 2 12" xfId="17281" xr:uid="{0FEDE5E1-3BB4-4452-9F15-07EDE0B12188}"/>
    <cellStyle name="Comma 4 2 2 2 2 13" xfId="25728" xr:uid="{E3A23BFC-AC37-4E3D-94E6-CE450E29284B}"/>
    <cellStyle name="Comma 4 2 2 2 2 2" xfId="130" xr:uid="{00000000-0005-0000-0000-0000A6070000}"/>
    <cellStyle name="Comma 4 2 2 2 2 2 10" xfId="8834" xr:uid="{C38705F6-7742-4325-9C0E-B5CFD8AB1FAD}"/>
    <cellStyle name="Comma 4 2 2 2 2 2 11" xfId="17282" xr:uid="{252B0D7E-A54B-456A-BC36-81657994EC1D}"/>
    <cellStyle name="Comma 4 2 2 2 2 2 12" xfId="25729" xr:uid="{7A93DF55-0111-43A5-BADC-C9F873E30F17}"/>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61E02C7F-8E75-42F3-AA94-7AEAAC378E23}"/>
    <cellStyle name="Comma 4 2 2 2 2 2 2 2 2 3" xfId="24058" xr:uid="{530C761F-2F89-427B-A6B2-B551186BBD47}"/>
    <cellStyle name="Comma 4 2 2 2 2 2 2 2 2 4" xfId="32505" xr:uid="{96960756-07FA-480D-90DE-FBA720086C03}"/>
    <cellStyle name="Comma 4 2 2 2 2 2 2 2 3" xfId="11393" xr:uid="{2459B752-E5AA-4498-84CA-C6544B132079}"/>
    <cellStyle name="Comma 4 2 2 2 2 2 2 2 4" xfId="19841" xr:uid="{DC4B5520-AA07-4EF2-8B71-7254C16697D0}"/>
    <cellStyle name="Comma 4 2 2 2 2 2 2 2 5" xfId="28288" xr:uid="{A28DEE1D-6DBC-4658-85F0-459DD9F9CA4F}"/>
    <cellStyle name="Comma 4 2 2 2 2 2 2 3" xfId="5016" xr:uid="{00000000-0005-0000-0000-0000AA070000}"/>
    <cellStyle name="Comma 4 2 2 2 2 2 2 3 2" xfId="13466" xr:uid="{4B0BA37D-487C-4390-B180-9B4484BB80E1}"/>
    <cellStyle name="Comma 4 2 2 2 2 2 2 3 3" xfId="21913" xr:uid="{97125393-C594-4CF8-86F3-97DF122A44D2}"/>
    <cellStyle name="Comma 4 2 2 2 2 2 2 3 4" xfId="30360" xr:uid="{E5FD85F4-B5A5-4B54-A43D-68868E999291}"/>
    <cellStyle name="Comma 4 2 2 2 2 2 2 4" xfId="9248" xr:uid="{0F624064-5364-4CA5-A8DE-ADCD60904DB1}"/>
    <cellStyle name="Comma 4 2 2 2 2 2 2 5" xfId="17696" xr:uid="{B5B6CA29-9BCF-453C-AD6D-83357F0B6220}"/>
    <cellStyle name="Comma 4 2 2 2 2 2 2 6" xfId="26143" xr:uid="{BEB4C785-66D8-477D-B979-68079E93E6BD}"/>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DB0D5C4D-FB8F-4450-8220-8A607FB43ADB}"/>
    <cellStyle name="Comma 4 2 2 2 2 2 3 2 2 3" xfId="24471" xr:uid="{FE90138A-54EF-4503-A0DA-AA3F25DC9C1C}"/>
    <cellStyle name="Comma 4 2 2 2 2 2 3 2 2 4" xfId="32918" xr:uid="{991B23D4-18E9-4276-A0E2-050A58D2256B}"/>
    <cellStyle name="Comma 4 2 2 2 2 2 3 2 3" xfId="11806" xr:uid="{B5AEC274-2E91-4D51-AC81-3FEFC9E6C5CE}"/>
    <cellStyle name="Comma 4 2 2 2 2 2 3 2 4" xfId="20254" xr:uid="{5885E4BC-18DD-42CC-B2B6-F1F19BA8213F}"/>
    <cellStyle name="Comma 4 2 2 2 2 2 3 2 5" xfId="28701" xr:uid="{D45B9698-C946-4A2C-AD12-3397F905F6D7}"/>
    <cellStyle name="Comma 4 2 2 2 2 2 3 3" xfId="5429" xr:uid="{00000000-0005-0000-0000-0000AE070000}"/>
    <cellStyle name="Comma 4 2 2 2 2 2 3 3 2" xfId="13879" xr:uid="{CD32E1A5-B88C-45B8-9C8A-1AFC40F2754D}"/>
    <cellStyle name="Comma 4 2 2 2 2 2 3 3 3" xfId="22326" xr:uid="{DA2F3A5E-6BC5-4E0F-BDE4-65FF3F39A926}"/>
    <cellStyle name="Comma 4 2 2 2 2 2 3 3 4" xfId="30773" xr:uid="{1B1E52ED-1660-41B2-A906-CF40C19F928F}"/>
    <cellStyle name="Comma 4 2 2 2 2 2 3 4" xfId="9661" xr:uid="{3DBAB318-D72F-4013-A6B2-1604D44ABA25}"/>
    <cellStyle name="Comma 4 2 2 2 2 2 3 5" xfId="18109" xr:uid="{DBF83BE5-82EE-4417-9B97-332022C2CAEB}"/>
    <cellStyle name="Comma 4 2 2 2 2 2 3 6" xfId="26556" xr:uid="{03B5EE62-E091-4FF9-A87A-58091C9012FC}"/>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90AF21A9-F1CD-4EDE-9739-60A25F893171}"/>
    <cellStyle name="Comma 4 2 2 2 2 2 4 2 2 3" xfId="24884" xr:uid="{D99FA927-3866-48E4-906E-B5B24A75CADD}"/>
    <cellStyle name="Comma 4 2 2 2 2 2 4 2 2 4" xfId="33331" xr:uid="{6FB3FD83-EE8F-4B58-B711-F2118B8CB2BC}"/>
    <cellStyle name="Comma 4 2 2 2 2 2 4 2 3" xfId="12219" xr:uid="{2CB7F9B7-9369-48DA-B1B1-FEA3E839638D}"/>
    <cellStyle name="Comma 4 2 2 2 2 2 4 2 4" xfId="20667" xr:uid="{3850091F-00B5-48CB-AD31-3D2E4705B301}"/>
    <cellStyle name="Comma 4 2 2 2 2 2 4 2 5" xfId="29114" xr:uid="{374559BC-264D-47A7-8C4C-6AD0176E9F2F}"/>
    <cellStyle name="Comma 4 2 2 2 2 2 4 3" xfId="5842" xr:uid="{00000000-0005-0000-0000-0000B2070000}"/>
    <cellStyle name="Comma 4 2 2 2 2 2 4 3 2" xfId="14292" xr:uid="{CD7B01B3-427A-4B3A-A2AF-31B9FD241674}"/>
    <cellStyle name="Comma 4 2 2 2 2 2 4 3 3" xfId="22739" xr:uid="{3564B6BB-8657-4ECC-B9D4-1562CECF6682}"/>
    <cellStyle name="Comma 4 2 2 2 2 2 4 3 4" xfId="31186" xr:uid="{339B3787-C610-4A0D-9275-82854C167EBC}"/>
    <cellStyle name="Comma 4 2 2 2 2 2 4 4" xfId="10074" xr:uid="{52EBAD56-D775-446C-AB62-0EAB1B2F3C69}"/>
    <cellStyle name="Comma 4 2 2 2 2 2 4 5" xfId="18522" xr:uid="{85664B8E-1310-4BD7-A7D9-19047D8C0F3B}"/>
    <cellStyle name="Comma 4 2 2 2 2 2 4 6" xfId="26969" xr:uid="{889251FD-5BB9-4809-B8D2-E6E29F2D0095}"/>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D4506593-8224-44C8-91E2-3710C05CCC8D}"/>
    <cellStyle name="Comma 4 2 2 2 2 2 5 2 2 3" xfId="25297" xr:uid="{7611819A-AAE2-4B5E-9F5E-FC7570BB9AA3}"/>
    <cellStyle name="Comma 4 2 2 2 2 2 5 2 2 4" xfId="33744" xr:uid="{BD644E84-4B0F-41DC-BBA7-22524ED41BAC}"/>
    <cellStyle name="Comma 4 2 2 2 2 2 5 2 3" xfId="12632" xr:uid="{17222596-090D-4324-AB34-DC0BE7C87BB2}"/>
    <cellStyle name="Comma 4 2 2 2 2 2 5 2 4" xfId="21080" xr:uid="{7029BC62-F801-4E5B-BBB2-3A172457BA7F}"/>
    <cellStyle name="Comma 4 2 2 2 2 2 5 2 5" xfId="29527" xr:uid="{6195252B-3108-4055-BF42-82CD081003D5}"/>
    <cellStyle name="Comma 4 2 2 2 2 2 5 3" xfId="6255" xr:uid="{00000000-0005-0000-0000-0000B6070000}"/>
    <cellStyle name="Comma 4 2 2 2 2 2 5 3 2" xfId="14705" xr:uid="{6A044282-6752-480E-B80D-F7A33346C5F8}"/>
    <cellStyle name="Comma 4 2 2 2 2 2 5 3 3" xfId="23152" xr:uid="{154A5080-E387-452A-B691-941CB2C80D75}"/>
    <cellStyle name="Comma 4 2 2 2 2 2 5 3 4" xfId="31599" xr:uid="{F6D0A165-D566-43F8-8E56-E64E21B96801}"/>
    <cellStyle name="Comma 4 2 2 2 2 2 5 4" xfId="10487" xr:uid="{DE376427-0302-4BE6-B84C-3D367F5642A8}"/>
    <cellStyle name="Comma 4 2 2 2 2 2 5 5" xfId="18935" xr:uid="{98F08E03-B34D-43C1-884C-D1690EEB7C7C}"/>
    <cellStyle name="Comma 4 2 2 2 2 2 5 6" xfId="27382" xr:uid="{40D34F1B-69F9-4CDD-A52A-A6D7D0C05ED8}"/>
    <cellStyle name="Comma 4 2 2 2 2 2 6" xfId="2384" xr:uid="{00000000-0005-0000-0000-0000B7070000}"/>
    <cellStyle name="Comma 4 2 2 2 2 2 6 2" xfId="6668" xr:uid="{00000000-0005-0000-0000-0000B8070000}"/>
    <cellStyle name="Comma 4 2 2 2 2 2 6 2 2" xfId="15118" xr:uid="{B3442731-2384-451E-BFB6-08CB240243AA}"/>
    <cellStyle name="Comma 4 2 2 2 2 2 6 2 3" xfId="23565" xr:uid="{A4B7DCDD-9799-4328-A423-92F8C449B6E2}"/>
    <cellStyle name="Comma 4 2 2 2 2 2 6 2 4" xfId="32012" xr:uid="{FC61E31C-C199-440F-8319-8D193F4C7082}"/>
    <cellStyle name="Comma 4 2 2 2 2 2 6 3" xfId="10900" xr:uid="{0E2238A0-F481-4F4E-B457-B83A14140D86}"/>
    <cellStyle name="Comma 4 2 2 2 2 2 6 4" xfId="19348" xr:uid="{258453D3-7DFA-440D-AEEF-CAB5E0444DC1}"/>
    <cellStyle name="Comma 4 2 2 2 2 2 6 5" xfId="27795" xr:uid="{9FEDB5FE-6CB0-4413-86C9-CCC362F87EC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FF4A4499-90D2-4343-8DF7-BD722A55D5F0}"/>
    <cellStyle name="Comma 4 2 2 2 2 2 8 2 3" xfId="23882" xr:uid="{C0130503-4B1F-4DFC-882D-FE94B6F7F189}"/>
    <cellStyle name="Comma 4 2 2 2 2 2 8 2 4" xfId="32329" xr:uid="{ABD86DF6-79D4-40BF-B189-150250FC147B}"/>
    <cellStyle name="Comma 4 2 2 2 2 2 8 3" xfId="11217" xr:uid="{BFAEDE50-894E-42C2-B4A6-AE6F02E94CBA}"/>
    <cellStyle name="Comma 4 2 2 2 2 2 8 4" xfId="19665" xr:uid="{C5339FB8-0EB2-44B8-A0F4-9ABACC836ED2}"/>
    <cellStyle name="Comma 4 2 2 2 2 2 8 5" xfId="28112" xr:uid="{D75F9210-FCBB-438F-BF2F-9E113A9746F1}"/>
    <cellStyle name="Comma 4 2 2 2 2 2 9" xfId="4602" xr:uid="{00000000-0005-0000-0000-0000BC070000}"/>
    <cellStyle name="Comma 4 2 2 2 2 2 9 2" xfId="13052" xr:uid="{3BA23CD6-9BEB-4B8D-B3B5-39F59B9CDC3B}"/>
    <cellStyle name="Comma 4 2 2 2 2 2 9 3" xfId="21499" xr:uid="{06328152-88EE-49B3-880F-A37C19E56E6A}"/>
    <cellStyle name="Comma 4 2 2 2 2 2 9 4" xfId="29946" xr:uid="{A8755BB6-981C-4214-B556-B220B60F5B1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D4867BC0-CF1D-4C36-9B3A-30E682B6EC01}"/>
    <cellStyle name="Comma 4 2 2 2 2 3 2 2 3" xfId="24057" xr:uid="{B795869B-D6B6-4E83-860C-AA5412857021}"/>
    <cellStyle name="Comma 4 2 2 2 2 3 2 2 4" xfId="32504" xr:uid="{A8B5B5A5-CE58-4F0B-B113-81187B72C807}"/>
    <cellStyle name="Comma 4 2 2 2 2 3 2 3" xfId="11392" xr:uid="{EC857F4E-59B1-40F5-9C71-9BB020FA02B2}"/>
    <cellStyle name="Comma 4 2 2 2 2 3 2 4" xfId="19840" xr:uid="{FB371159-DD5A-45D6-B994-1EB688DC2043}"/>
    <cellStyle name="Comma 4 2 2 2 2 3 2 5" xfId="28287" xr:uid="{8055E73A-C7CD-4119-B22B-9B139C99D9DF}"/>
    <cellStyle name="Comma 4 2 2 2 2 3 3" xfId="5015" xr:uid="{00000000-0005-0000-0000-0000C0070000}"/>
    <cellStyle name="Comma 4 2 2 2 2 3 3 2" xfId="13465" xr:uid="{9D3074E1-469C-4E05-BBBA-C419EA5223F1}"/>
    <cellStyle name="Comma 4 2 2 2 2 3 3 3" xfId="21912" xr:uid="{D928C279-C53B-4CBA-90EC-567336C46ACB}"/>
    <cellStyle name="Comma 4 2 2 2 2 3 3 4" xfId="30359" xr:uid="{E0AF81F8-03D9-44CD-AFAD-015FA1AFA8EB}"/>
    <cellStyle name="Comma 4 2 2 2 2 3 4" xfId="9247" xr:uid="{1CCE53D2-CC0A-475F-B88A-333310EA733D}"/>
    <cellStyle name="Comma 4 2 2 2 2 3 5" xfId="17695" xr:uid="{3876F43E-9AAE-4E1F-92FF-4F1A8ABED794}"/>
    <cellStyle name="Comma 4 2 2 2 2 3 6" xfId="26142" xr:uid="{528EFD56-BDA7-496B-9B6F-0812428D1125}"/>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59382F59-73C9-4746-A469-1898B06D806F}"/>
    <cellStyle name="Comma 4 2 2 2 2 4 2 2 3" xfId="24470" xr:uid="{2B78CB49-F375-4EBF-B549-68C5539497AD}"/>
    <cellStyle name="Comma 4 2 2 2 2 4 2 2 4" xfId="32917" xr:uid="{061834FA-03C4-426E-889A-4E55E8EE7E04}"/>
    <cellStyle name="Comma 4 2 2 2 2 4 2 3" xfId="11805" xr:uid="{FAA7F72E-BA86-40DD-8843-46B68ADEA4EF}"/>
    <cellStyle name="Comma 4 2 2 2 2 4 2 4" xfId="20253" xr:uid="{236CB36A-5E2E-454A-85F5-493EFCD23A86}"/>
    <cellStyle name="Comma 4 2 2 2 2 4 2 5" xfId="28700" xr:uid="{E88D6356-6FA4-4412-BA16-A33883E85480}"/>
    <cellStyle name="Comma 4 2 2 2 2 4 3" xfId="5428" xr:uid="{00000000-0005-0000-0000-0000C4070000}"/>
    <cellStyle name="Comma 4 2 2 2 2 4 3 2" xfId="13878" xr:uid="{2B51363D-A82B-4C61-AA23-61243BBAAA53}"/>
    <cellStyle name="Comma 4 2 2 2 2 4 3 3" xfId="22325" xr:uid="{81D37778-6233-4065-B5C9-FADC08D5EAAE}"/>
    <cellStyle name="Comma 4 2 2 2 2 4 3 4" xfId="30772" xr:uid="{C4908549-C20B-460F-B4E9-3BC54C5D80A9}"/>
    <cellStyle name="Comma 4 2 2 2 2 4 4" xfId="9660" xr:uid="{279851DB-999F-4CCA-998A-F337094A7E8A}"/>
    <cellStyle name="Comma 4 2 2 2 2 4 5" xfId="18108" xr:uid="{3EA5469B-945C-405D-8FE0-039BB8A3E3C9}"/>
    <cellStyle name="Comma 4 2 2 2 2 4 6" xfId="26555" xr:uid="{3F64FD11-98F0-46BE-998C-05105E6C080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9402844A-5662-4E6C-B86C-837A33C3169D}"/>
    <cellStyle name="Comma 4 2 2 2 2 5 2 2 3" xfId="24883" xr:uid="{55A20D51-1AB1-4145-80D6-FD9618D6B148}"/>
    <cellStyle name="Comma 4 2 2 2 2 5 2 2 4" xfId="33330" xr:uid="{713C5AB1-ABCC-465D-AC95-01946E90D8CD}"/>
    <cellStyle name="Comma 4 2 2 2 2 5 2 3" xfId="12218" xr:uid="{6773450A-1B10-4B72-B71F-CADEAE12E011}"/>
    <cellStyle name="Comma 4 2 2 2 2 5 2 4" xfId="20666" xr:uid="{B19F12D0-C11D-4384-ABBE-7EA97FE4CB70}"/>
    <cellStyle name="Comma 4 2 2 2 2 5 2 5" xfId="29113" xr:uid="{CDC0AAE4-DEF6-4927-B807-8E5C53133B04}"/>
    <cellStyle name="Comma 4 2 2 2 2 5 3" xfId="5841" xr:uid="{00000000-0005-0000-0000-0000C8070000}"/>
    <cellStyle name="Comma 4 2 2 2 2 5 3 2" xfId="14291" xr:uid="{1DEFE5EB-96F7-4DDC-8842-A6B05E1AEBDD}"/>
    <cellStyle name="Comma 4 2 2 2 2 5 3 3" xfId="22738" xr:uid="{0C39ACF9-C33A-4054-B44A-49D81514C42B}"/>
    <cellStyle name="Comma 4 2 2 2 2 5 3 4" xfId="31185" xr:uid="{516F6810-6C80-442E-89E3-7E5747D78627}"/>
    <cellStyle name="Comma 4 2 2 2 2 5 4" xfId="10073" xr:uid="{40E6FD1A-A93B-4922-B378-BE5C11308794}"/>
    <cellStyle name="Comma 4 2 2 2 2 5 5" xfId="18521" xr:uid="{4AE81DAF-3A06-4206-A1B1-5ED87F9695D9}"/>
    <cellStyle name="Comma 4 2 2 2 2 5 6" xfId="26968" xr:uid="{B2F161D3-5753-46C2-A8B5-B463EB56CF71}"/>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A320690B-5EC8-455F-8B58-BB6277429DC2}"/>
    <cellStyle name="Comma 4 2 2 2 2 6 2 2 3" xfId="25296" xr:uid="{8209C174-221E-4B2E-A343-46FAC7DA539E}"/>
    <cellStyle name="Comma 4 2 2 2 2 6 2 2 4" xfId="33743" xr:uid="{D946B975-E8B2-4953-9693-51BB3872936F}"/>
    <cellStyle name="Comma 4 2 2 2 2 6 2 3" xfId="12631" xr:uid="{29B104BD-4187-46D7-9A5E-43C3C661C7B8}"/>
    <cellStyle name="Comma 4 2 2 2 2 6 2 4" xfId="21079" xr:uid="{C9F7C026-F8F2-476F-93E0-0E49C9C96F11}"/>
    <cellStyle name="Comma 4 2 2 2 2 6 2 5" xfId="29526" xr:uid="{33DFAB1E-C1DD-488D-9E9B-1D992FA1022E}"/>
    <cellStyle name="Comma 4 2 2 2 2 6 3" xfId="6254" xr:uid="{00000000-0005-0000-0000-0000CC070000}"/>
    <cellStyle name="Comma 4 2 2 2 2 6 3 2" xfId="14704" xr:uid="{A85015D1-7359-4D27-8B52-67A1630A2EED}"/>
    <cellStyle name="Comma 4 2 2 2 2 6 3 3" xfId="23151" xr:uid="{9BC6BC70-A4A5-4E16-9922-D6D9DE9491DE}"/>
    <cellStyle name="Comma 4 2 2 2 2 6 3 4" xfId="31598" xr:uid="{E93F1356-F737-4868-9069-C71AEDF5818C}"/>
    <cellStyle name="Comma 4 2 2 2 2 6 4" xfId="10486" xr:uid="{E0E75A42-E3FD-413D-ABD2-3585D17D20A8}"/>
    <cellStyle name="Comma 4 2 2 2 2 6 5" xfId="18934" xr:uid="{C2413A55-1172-4A00-8D4B-44F0B3C9C8C3}"/>
    <cellStyle name="Comma 4 2 2 2 2 6 6" xfId="27381" xr:uid="{C9A184F6-1CB2-449C-B2B9-DAF997941CB3}"/>
    <cellStyle name="Comma 4 2 2 2 2 7" xfId="2383" xr:uid="{00000000-0005-0000-0000-0000CD070000}"/>
    <cellStyle name="Comma 4 2 2 2 2 7 2" xfId="6667" xr:uid="{00000000-0005-0000-0000-0000CE070000}"/>
    <cellStyle name="Comma 4 2 2 2 2 7 2 2" xfId="15117" xr:uid="{B16FE1D7-1910-40F3-867F-F50E3F6A8226}"/>
    <cellStyle name="Comma 4 2 2 2 2 7 2 3" xfId="23564" xr:uid="{78488739-23AA-42FF-B4C2-7C7593C97F0D}"/>
    <cellStyle name="Comma 4 2 2 2 2 7 2 4" xfId="32011" xr:uid="{2669410C-4028-4B1F-908A-ECC5EBB215D1}"/>
    <cellStyle name="Comma 4 2 2 2 2 7 3" xfId="10899" xr:uid="{33EA10AD-489A-4F12-8803-0E1527756393}"/>
    <cellStyle name="Comma 4 2 2 2 2 7 4" xfId="19347" xr:uid="{8CE6ACC9-B207-40EB-96DF-9DC7A2F51466}"/>
    <cellStyle name="Comma 4 2 2 2 2 7 5" xfId="27794" xr:uid="{1E4BC877-BD37-45C8-8387-FDD052983A7E}"/>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2012C2EE-8ADA-4091-909E-7F5182CADBF4}"/>
    <cellStyle name="Comma 4 2 2 2 2 9 2 3" xfId="23881" xr:uid="{5F0F4D73-1A31-4F15-BC84-420D76C0583E}"/>
    <cellStyle name="Comma 4 2 2 2 2 9 2 4" xfId="32328" xr:uid="{758F1CFD-2627-4590-B1CE-8413E67C96B3}"/>
    <cellStyle name="Comma 4 2 2 2 2 9 3" xfId="11216" xr:uid="{D499E521-46CB-4B2E-8BCC-E93589AD6430}"/>
    <cellStyle name="Comma 4 2 2 2 2 9 4" xfId="19664" xr:uid="{E15F1EE8-84A1-47CB-BCBF-55E73E5FCBBC}"/>
    <cellStyle name="Comma 4 2 2 2 2 9 5" xfId="28111" xr:uid="{86A79FBE-40C6-4CA0-BFBB-6E5B0F2049E7}"/>
    <cellStyle name="Comma 4 2 2 2 3" xfId="131" xr:uid="{00000000-0005-0000-0000-0000D2070000}"/>
    <cellStyle name="Comma 4 2 2 2 3 10" xfId="8835" xr:uid="{8E4B3AC4-5343-4530-AE2D-CB92347B6274}"/>
    <cellStyle name="Comma 4 2 2 2 3 11" xfId="17283" xr:uid="{DDA632A6-6CCF-48C8-B7C4-86E782354A2D}"/>
    <cellStyle name="Comma 4 2 2 2 3 12" xfId="25730" xr:uid="{FA02D490-EB16-4A01-9C72-D8C7A32DA842}"/>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C0718FFE-38D7-47B8-A085-6D03F9DE619D}"/>
    <cellStyle name="Comma 4 2 2 2 3 2 2 2 3" xfId="24059" xr:uid="{23A8C1CB-3396-4150-89CD-0EDCCE973C70}"/>
    <cellStyle name="Comma 4 2 2 2 3 2 2 2 4" xfId="32506" xr:uid="{B5CC2728-20E3-47F6-B28D-31ECCEE5D6CD}"/>
    <cellStyle name="Comma 4 2 2 2 3 2 2 3" xfId="11394" xr:uid="{45378FB1-5E28-4FBB-A990-8761442C23D7}"/>
    <cellStyle name="Comma 4 2 2 2 3 2 2 4" xfId="19842" xr:uid="{AF71C1FD-D187-4B82-952B-DFCBDE515CF9}"/>
    <cellStyle name="Comma 4 2 2 2 3 2 2 5" xfId="28289" xr:uid="{5ED7424D-CA2F-4315-AA99-8E496478CF17}"/>
    <cellStyle name="Comma 4 2 2 2 3 2 3" xfId="5017" xr:uid="{00000000-0005-0000-0000-0000D6070000}"/>
    <cellStyle name="Comma 4 2 2 2 3 2 3 2" xfId="13467" xr:uid="{7F837EB5-07DC-49A2-8295-B104258618D9}"/>
    <cellStyle name="Comma 4 2 2 2 3 2 3 3" xfId="21914" xr:uid="{1D0C5A6E-9651-43E5-9E0A-27C4A58107B2}"/>
    <cellStyle name="Comma 4 2 2 2 3 2 3 4" xfId="30361" xr:uid="{C381027D-34B6-4080-B05E-03AE6BF8A981}"/>
    <cellStyle name="Comma 4 2 2 2 3 2 4" xfId="9249" xr:uid="{D454F656-5CF4-4F79-B9A1-739F39810FBA}"/>
    <cellStyle name="Comma 4 2 2 2 3 2 5" xfId="17697" xr:uid="{E438B6D1-CDE1-4C35-AF06-10DCA364CC49}"/>
    <cellStyle name="Comma 4 2 2 2 3 2 6" xfId="26144" xr:uid="{887FFFB9-6A1A-4781-B370-072BE6F3B3E0}"/>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0A9B1B5B-0237-49F8-B76D-7E5BDAD52ACF}"/>
    <cellStyle name="Comma 4 2 2 2 3 3 2 2 3" xfId="24472" xr:uid="{9DAAF218-3337-4D50-97F4-1F235AF9DAA9}"/>
    <cellStyle name="Comma 4 2 2 2 3 3 2 2 4" xfId="32919" xr:uid="{E1372F58-9FB1-4F24-A245-2CAB08E2CE78}"/>
    <cellStyle name="Comma 4 2 2 2 3 3 2 3" xfId="11807" xr:uid="{97B7F3F5-9939-4FE9-98FF-FD6779EF3D69}"/>
    <cellStyle name="Comma 4 2 2 2 3 3 2 4" xfId="20255" xr:uid="{3114DED9-BF9D-452E-9999-6F5487CEFD23}"/>
    <cellStyle name="Comma 4 2 2 2 3 3 2 5" xfId="28702" xr:uid="{F39883C6-57C4-4455-B187-F746794069BE}"/>
    <cellStyle name="Comma 4 2 2 2 3 3 3" xfId="5430" xr:uid="{00000000-0005-0000-0000-0000DA070000}"/>
    <cellStyle name="Comma 4 2 2 2 3 3 3 2" xfId="13880" xr:uid="{3E9DA9C0-E4CE-4784-B808-74CD05E7E8B4}"/>
    <cellStyle name="Comma 4 2 2 2 3 3 3 3" xfId="22327" xr:uid="{5CA5F98B-6CD3-4693-ADFA-BC099011FEB8}"/>
    <cellStyle name="Comma 4 2 2 2 3 3 3 4" xfId="30774" xr:uid="{E1FF6CCD-E481-4D68-87A5-50A75E013DAB}"/>
    <cellStyle name="Comma 4 2 2 2 3 3 4" xfId="9662" xr:uid="{C52C0FED-8F12-4FD5-B6A5-2F38DD8104DD}"/>
    <cellStyle name="Comma 4 2 2 2 3 3 5" xfId="18110" xr:uid="{0095999D-970D-4F4C-A4FA-F13B8110692A}"/>
    <cellStyle name="Comma 4 2 2 2 3 3 6" xfId="26557" xr:uid="{100BE5C7-AD33-419B-9A66-7B077F052D83}"/>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79335AFC-918E-4409-AD4A-F77E16F0BFFE}"/>
    <cellStyle name="Comma 4 2 2 2 3 4 2 2 3" xfId="24885" xr:uid="{521D9FFB-650E-423B-9E7B-E93532C0297D}"/>
    <cellStyle name="Comma 4 2 2 2 3 4 2 2 4" xfId="33332" xr:uid="{024449F6-E1A4-4515-B33A-30C2731C6276}"/>
    <cellStyle name="Comma 4 2 2 2 3 4 2 3" xfId="12220" xr:uid="{09011B0E-B4BA-440B-8380-BA649DC92E45}"/>
    <cellStyle name="Comma 4 2 2 2 3 4 2 4" xfId="20668" xr:uid="{65FD7544-837D-4000-ABA3-630683AA6DC7}"/>
    <cellStyle name="Comma 4 2 2 2 3 4 2 5" xfId="29115" xr:uid="{E5E35596-140E-4592-8004-5D8864E5032A}"/>
    <cellStyle name="Comma 4 2 2 2 3 4 3" xfId="5843" xr:uid="{00000000-0005-0000-0000-0000DE070000}"/>
    <cellStyle name="Comma 4 2 2 2 3 4 3 2" xfId="14293" xr:uid="{36FC8B28-C89F-4089-BFBA-E81F389C7AFD}"/>
    <cellStyle name="Comma 4 2 2 2 3 4 3 3" xfId="22740" xr:uid="{7799CDBE-D55B-4B05-AF80-C263CDF49E71}"/>
    <cellStyle name="Comma 4 2 2 2 3 4 3 4" xfId="31187" xr:uid="{17D50B6D-853A-4BEC-B311-0DA904DA2111}"/>
    <cellStyle name="Comma 4 2 2 2 3 4 4" xfId="10075" xr:uid="{0CB334C4-B89F-4A6F-9C22-075023012D04}"/>
    <cellStyle name="Comma 4 2 2 2 3 4 5" xfId="18523" xr:uid="{CB709876-1CB6-42F7-ADEE-98F9F5806652}"/>
    <cellStyle name="Comma 4 2 2 2 3 4 6" xfId="26970" xr:uid="{A8A173E3-5A83-4E49-8208-98049F2EDD98}"/>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C5830336-0152-4490-9E26-DFD1BE823231}"/>
    <cellStyle name="Comma 4 2 2 2 3 5 2 2 3" xfId="25298" xr:uid="{5D9FFBCE-FAE6-4A15-9D8F-CDA2D99E1608}"/>
    <cellStyle name="Comma 4 2 2 2 3 5 2 2 4" xfId="33745" xr:uid="{A994A767-FB1B-4AC0-96E8-DA24998B5E79}"/>
    <cellStyle name="Comma 4 2 2 2 3 5 2 3" xfId="12633" xr:uid="{AD5B4B11-0842-4DE4-94D6-37823F7B6ED3}"/>
    <cellStyle name="Comma 4 2 2 2 3 5 2 4" xfId="21081" xr:uid="{817655EB-2014-494D-8942-692C12336BFC}"/>
    <cellStyle name="Comma 4 2 2 2 3 5 2 5" xfId="29528" xr:uid="{686D53A4-87D2-48FF-AE12-02B1FB0DE40E}"/>
    <cellStyle name="Comma 4 2 2 2 3 5 3" xfId="6256" xr:uid="{00000000-0005-0000-0000-0000E2070000}"/>
    <cellStyle name="Comma 4 2 2 2 3 5 3 2" xfId="14706" xr:uid="{20CB6C6F-A657-45D6-88D6-B052D41CA8A1}"/>
    <cellStyle name="Comma 4 2 2 2 3 5 3 3" xfId="23153" xr:uid="{94EFD036-A127-4E26-A605-BD5BDBB502D8}"/>
    <cellStyle name="Comma 4 2 2 2 3 5 3 4" xfId="31600" xr:uid="{2CAC7C5F-970C-436A-9422-89191EE0A7D8}"/>
    <cellStyle name="Comma 4 2 2 2 3 5 4" xfId="10488" xr:uid="{5992D643-5856-422C-933A-9F820900115F}"/>
    <cellStyle name="Comma 4 2 2 2 3 5 5" xfId="18936" xr:uid="{9AB81352-2CA1-44FF-BDAD-78D034596120}"/>
    <cellStyle name="Comma 4 2 2 2 3 5 6" xfId="27383" xr:uid="{AB36EC05-C40E-4323-97BB-BCB4562853ED}"/>
    <cellStyle name="Comma 4 2 2 2 3 6" xfId="2385" xr:uid="{00000000-0005-0000-0000-0000E3070000}"/>
    <cellStyle name="Comma 4 2 2 2 3 6 2" xfId="6669" xr:uid="{00000000-0005-0000-0000-0000E4070000}"/>
    <cellStyle name="Comma 4 2 2 2 3 6 2 2" xfId="15119" xr:uid="{D4053285-C6A0-4390-B335-226DF102F3E0}"/>
    <cellStyle name="Comma 4 2 2 2 3 6 2 3" xfId="23566" xr:uid="{7C52D1D8-40EC-490E-BBF6-5F7FB5004F40}"/>
    <cellStyle name="Comma 4 2 2 2 3 6 2 4" xfId="32013" xr:uid="{33B57860-9C9C-4CFC-AF4C-59947C20D97D}"/>
    <cellStyle name="Comma 4 2 2 2 3 6 3" xfId="10901" xr:uid="{7004FDDE-C2C8-4ED6-B140-AECD83641143}"/>
    <cellStyle name="Comma 4 2 2 2 3 6 4" xfId="19349" xr:uid="{CFB7CD21-0870-40FF-A615-9F54D22EF3E3}"/>
    <cellStyle name="Comma 4 2 2 2 3 6 5" xfId="27796" xr:uid="{9B27D734-0669-4758-9671-B46004524190}"/>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57914B4C-D9AF-4689-96E7-A4148BF2DF74}"/>
    <cellStyle name="Comma 4 2 2 2 3 8 2 3" xfId="23883" xr:uid="{2DC27D84-A7F0-49DB-917F-EFCF7B21A18E}"/>
    <cellStyle name="Comma 4 2 2 2 3 8 2 4" xfId="32330" xr:uid="{E6A02288-DCD2-4BBA-9138-9C5E4C21DEFA}"/>
    <cellStyle name="Comma 4 2 2 2 3 8 3" xfId="11218" xr:uid="{A098E2CA-1E14-4BFC-B05C-00AE0073CCCA}"/>
    <cellStyle name="Comma 4 2 2 2 3 8 4" xfId="19666" xr:uid="{3FD02793-FA76-492A-8607-15D23760AC33}"/>
    <cellStyle name="Comma 4 2 2 2 3 8 5" xfId="28113" xr:uid="{A17E4AC4-A4E7-4190-9E59-17F4C2CCB59F}"/>
    <cellStyle name="Comma 4 2 2 2 3 9" xfId="4603" xr:uid="{00000000-0005-0000-0000-0000E8070000}"/>
    <cellStyle name="Comma 4 2 2 2 3 9 2" xfId="13053" xr:uid="{63929FC2-A0DC-4C30-86F4-C716A4F94960}"/>
    <cellStyle name="Comma 4 2 2 2 3 9 3" xfId="21500" xr:uid="{B97FA4BD-13D2-4865-80EF-53E21B8E31DD}"/>
    <cellStyle name="Comma 4 2 2 2 3 9 4" xfId="29947" xr:uid="{63DDB203-E8A8-4CCB-8F27-86194EB523C9}"/>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A56D67FD-1E22-40E1-947B-FFCD76986CC0}"/>
    <cellStyle name="Comma 4 2 2 2 4 2 2 3" xfId="24056" xr:uid="{6557CA87-097F-4B49-8C11-5B6DE9A9ACA7}"/>
    <cellStyle name="Comma 4 2 2 2 4 2 2 4" xfId="32503" xr:uid="{251D3B5F-38C6-44A1-8F05-5A7789000AC9}"/>
    <cellStyle name="Comma 4 2 2 2 4 2 3" xfId="11391" xr:uid="{401817F4-5D1E-4700-A85F-F90D515A4160}"/>
    <cellStyle name="Comma 4 2 2 2 4 2 4" xfId="19839" xr:uid="{1C426D60-3637-4B2D-8B4E-82214163D63E}"/>
    <cellStyle name="Comma 4 2 2 2 4 2 5" xfId="28286" xr:uid="{9FC4B86F-E353-44EF-8E4F-13A4C5A18E9D}"/>
    <cellStyle name="Comma 4 2 2 2 4 3" xfId="5014" xr:uid="{00000000-0005-0000-0000-0000EC070000}"/>
    <cellStyle name="Comma 4 2 2 2 4 3 2" xfId="13464" xr:uid="{B6F63019-8930-46C4-B36A-B9CED3305AC0}"/>
    <cellStyle name="Comma 4 2 2 2 4 3 3" xfId="21911" xr:uid="{B37425DB-00E7-44C5-A62A-90B16EC1B279}"/>
    <cellStyle name="Comma 4 2 2 2 4 3 4" xfId="30358" xr:uid="{03D17B83-7E1E-47A1-BB9D-4E76365048A3}"/>
    <cellStyle name="Comma 4 2 2 2 4 4" xfId="9246" xr:uid="{9FA42E22-549B-4238-98AB-CF4FA6EF1402}"/>
    <cellStyle name="Comma 4 2 2 2 4 5" xfId="17694" xr:uid="{9097508C-62A4-4C86-B197-49820AEE3721}"/>
    <cellStyle name="Comma 4 2 2 2 4 6" xfId="26141" xr:uid="{989289CE-578B-425F-B229-60479359F0D7}"/>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5DFDD705-8CA0-4F9E-BCE1-D3F3550A3176}"/>
    <cellStyle name="Comma 4 2 2 2 5 2 2 3" xfId="24469" xr:uid="{366DF177-59CF-4FBA-B9ED-C2EBDE5B4736}"/>
    <cellStyle name="Comma 4 2 2 2 5 2 2 4" xfId="32916" xr:uid="{4C596E6F-783C-4B66-98EE-003B0AC54E4A}"/>
    <cellStyle name="Comma 4 2 2 2 5 2 3" xfId="11804" xr:uid="{07C7DA0C-DC5A-43B4-AFDE-F8740B5AC2F1}"/>
    <cellStyle name="Comma 4 2 2 2 5 2 4" xfId="20252" xr:uid="{3262C47E-6175-48E5-94E2-F17261DA7A77}"/>
    <cellStyle name="Comma 4 2 2 2 5 2 5" xfId="28699" xr:uid="{3CA06BB0-E2ED-4EDB-B1F4-347BEC472463}"/>
    <cellStyle name="Comma 4 2 2 2 5 3" xfId="5427" xr:uid="{00000000-0005-0000-0000-0000F0070000}"/>
    <cellStyle name="Comma 4 2 2 2 5 3 2" xfId="13877" xr:uid="{D869307B-B5E2-4C49-91EE-B4A9167C76DD}"/>
    <cellStyle name="Comma 4 2 2 2 5 3 3" xfId="22324" xr:uid="{9479AD26-4F0F-476F-8DDE-2DF35A46906E}"/>
    <cellStyle name="Comma 4 2 2 2 5 3 4" xfId="30771" xr:uid="{E361A74E-749C-419E-A554-6C63E98256C7}"/>
    <cellStyle name="Comma 4 2 2 2 5 4" xfId="9659" xr:uid="{8A940379-AC88-46C6-97DC-B13FBA7D7C7A}"/>
    <cellStyle name="Comma 4 2 2 2 5 5" xfId="18107" xr:uid="{F95B1E16-3B66-4D4B-A458-FD5DD8EB80F6}"/>
    <cellStyle name="Comma 4 2 2 2 5 6" xfId="26554" xr:uid="{808B3A25-83A8-432B-B7E4-9EB9DB8ABB1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16C2A60E-AFFF-4475-893B-936B446D7C27}"/>
    <cellStyle name="Comma 4 2 2 2 6 2 2 3" xfId="24882" xr:uid="{10673735-6C88-4BC7-8ACF-D8F4DDDDCBEB}"/>
    <cellStyle name="Comma 4 2 2 2 6 2 2 4" xfId="33329" xr:uid="{398328F3-13DC-401F-8DA1-7B7756044EEA}"/>
    <cellStyle name="Comma 4 2 2 2 6 2 3" xfId="12217" xr:uid="{DAE6A9DC-A299-431A-8D46-660540C0BB3A}"/>
    <cellStyle name="Comma 4 2 2 2 6 2 4" xfId="20665" xr:uid="{F914ACB8-F37C-4D06-B706-191DF11F6E70}"/>
    <cellStyle name="Comma 4 2 2 2 6 2 5" xfId="29112" xr:uid="{DFF2AFC5-2306-4570-A25F-B6031BEE0C41}"/>
    <cellStyle name="Comma 4 2 2 2 6 3" xfId="5840" xr:uid="{00000000-0005-0000-0000-0000F4070000}"/>
    <cellStyle name="Comma 4 2 2 2 6 3 2" xfId="14290" xr:uid="{659EC47A-9C73-4EFC-AEA1-D1EFDF5B6E41}"/>
    <cellStyle name="Comma 4 2 2 2 6 3 3" xfId="22737" xr:uid="{FCFBDD89-F541-40C4-9CEB-A189D0D880D0}"/>
    <cellStyle name="Comma 4 2 2 2 6 3 4" xfId="31184" xr:uid="{8D34D9CE-0C88-440D-98FE-DF10DCEA622B}"/>
    <cellStyle name="Comma 4 2 2 2 6 4" xfId="10072" xr:uid="{B0E82FE9-8D0D-4466-A43D-36621EB5E846}"/>
    <cellStyle name="Comma 4 2 2 2 6 5" xfId="18520" xr:uid="{D34AA4D7-872B-451B-80E7-906D32A28C5A}"/>
    <cellStyle name="Comma 4 2 2 2 6 6" xfId="26967" xr:uid="{BC191015-5419-4DA3-92E8-1CD9A8466FDA}"/>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371A2579-9250-435F-8516-7E80F23AEACA}"/>
    <cellStyle name="Comma 4 2 2 2 7 2 2 3" xfId="25295" xr:uid="{402217E2-F287-4954-A232-4360D9FF1DE0}"/>
    <cellStyle name="Comma 4 2 2 2 7 2 2 4" xfId="33742" xr:uid="{EB4EC0D0-24BF-4D57-BF2D-A6EB42DD1C11}"/>
    <cellStyle name="Comma 4 2 2 2 7 2 3" xfId="12630" xr:uid="{58F4487E-FC83-438B-B5CB-635715B75DD4}"/>
    <cellStyle name="Comma 4 2 2 2 7 2 4" xfId="21078" xr:uid="{4D08D5FB-5715-43BF-B023-494EF4E6A1C3}"/>
    <cellStyle name="Comma 4 2 2 2 7 2 5" xfId="29525" xr:uid="{C292C578-E942-4F46-8477-E3806696D992}"/>
    <cellStyle name="Comma 4 2 2 2 7 3" xfId="6253" xr:uid="{00000000-0005-0000-0000-0000F8070000}"/>
    <cellStyle name="Comma 4 2 2 2 7 3 2" xfId="14703" xr:uid="{58ABA094-E089-4DF8-B1D4-95A25181FBBA}"/>
    <cellStyle name="Comma 4 2 2 2 7 3 3" xfId="23150" xr:uid="{E7D05260-123E-498E-AD44-DE04A98BD7BB}"/>
    <cellStyle name="Comma 4 2 2 2 7 3 4" xfId="31597" xr:uid="{A64EBB21-6081-458E-B866-2FC8C5BF7E01}"/>
    <cellStyle name="Comma 4 2 2 2 7 4" xfId="10485" xr:uid="{66BB25DC-1E7E-4C0B-AE91-9D9C8C42B4CA}"/>
    <cellStyle name="Comma 4 2 2 2 7 5" xfId="18933" xr:uid="{39227DB7-B149-406F-82B3-75A9E65B2AC1}"/>
    <cellStyle name="Comma 4 2 2 2 7 6" xfId="27380" xr:uid="{9E009712-2C0F-4141-99E4-45ED11386A11}"/>
    <cellStyle name="Comma 4 2 2 2 8" xfId="2382" xr:uid="{00000000-0005-0000-0000-0000F9070000}"/>
    <cellStyle name="Comma 4 2 2 2 8 2" xfId="6666" xr:uid="{00000000-0005-0000-0000-0000FA070000}"/>
    <cellStyle name="Comma 4 2 2 2 8 2 2" xfId="15116" xr:uid="{1ED8F0FC-4FBE-4689-81A3-8F86609D67A4}"/>
    <cellStyle name="Comma 4 2 2 2 8 2 3" xfId="23563" xr:uid="{60FCE712-CEC3-4BA1-BDB0-3A857A1AD9CE}"/>
    <cellStyle name="Comma 4 2 2 2 8 2 4" xfId="32010" xr:uid="{1E1448E1-614C-4EBA-B68D-8DE4C1ED32BD}"/>
    <cellStyle name="Comma 4 2 2 2 8 3" xfId="10898" xr:uid="{9B4F260A-6715-49F2-AB93-2BDDB150BA37}"/>
    <cellStyle name="Comma 4 2 2 2 8 4" xfId="19346" xr:uid="{9C756D90-9D2F-478C-AE48-88012003EDBB}"/>
    <cellStyle name="Comma 4 2 2 2 8 5" xfId="27793" xr:uid="{1D0E5E1C-396C-4B73-B76B-0337B4F126CE}"/>
    <cellStyle name="Comma 4 2 2 2 9" xfId="2381" xr:uid="{00000000-0005-0000-0000-0000FB070000}"/>
    <cellStyle name="Comma 4 2 2 3" xfId="132" xr:uid="{00000000-0005-0000-0000-0000FC070000}"/>
    <cellStyle name="Comma 4 2 2 3 10" xfId="4604" xr:uid="{00000000-0005-0000-0000-0000FD070000}"/>
    <cellStyle name="Comma 4 2 2 3 10 2" xfId="13054" xr:uid="{7FD59D04-DD1A-45A4-BA23-FA8D7A2F6800}"/>
    <cellStyle name="Comma 4 2 2 3 10 3" xfId="21501" xr:uid="{4882C64A-7173-4F9A-889F-0788A1A725E9}"/>
    <cellStyle name="Comma 4 2 2 3 10 4" xfId="29948" xr:uid="{13AD309D-268D-4470-B37C-8EB88B3CC588}"/>
    <cellStyle name="Comma 4 2 2 3 11" xfId="8836" xr:uid="{511BAF17-F1BC-45B6-8BDE-077F492F23DD}"/>
    <cellStyle name="Comma 4 2 2 3 12" xfId="17284" xr:uid="{BD19CC65-2CEE-41E0-BE6B-47C6277A28FE}"/>
    <cellStyle name="Comma 4 2 2 3 13" xfId="25731" xr:uid="{0A29D29F-D57F-40DF-9EA7-865517319FCB}"/>
    <cellStyle name="Comma 4 2 2 3 2" xfId="133" xr:uid="{00000000-0005-0000-0000-0000FE070000}"/>
    <cellStyle name="Comma 4 2 2 3 2 10" xfId="8837" xr:uid="{6E85B387-38C6-40AA-AFBE-643E823FF21F}"/>
    <cellStyle name="Comma 4 2 2 3 2 11" xfId="17285" xr:uid="{C14F6922-FB15-407E-A25F-A0B7CE7C7EB7}"/>
    <cellStyle name="Comma 4 2 2 3 2 12" xfId="25732" xr:uid="{EF227EA5-61FF-4284-AD48-0D3E9BED2BB4}"/>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9B500909-5EA9-4DED-B1C7-9B4BB4D5ABED}"/>
    <cellStyle name="Comma 4 2 2 3 2 2 2 2 3" xfId="24061" xr:uid="{FE3A015D-3B96-4734-80E8-FDAFACEAAF28}"/>
    <cellStyle name="Comma 4 2 2 3 2 2 2 2 4" xfId="32508" xr:uid="{58711C5D-D128-4FF0-A1A5-A71DD45FAC29}"/>
    <cellStyle name="Comma 4 2 2 3 2 2 2 3" xfId="11396" xr:uid="{8B48D5B8-F5DA-44DF-8285-A2C9A2185DD6}"/>
    <cellStyle name="Comma 4 2 2 3 2 2 2 4" xfId="19844" xr:uid="{AAC89A22-552A-4573-9F07-64640AB11DCA}"/>
    <cellStyle name="Comma 4 2 2 3 2 2 2 5" xfId="28291" xr:uid="{AC9EA724-96EE-452C-8937-C291D2D4E03D}"/>
    <cellStyle name="Comma 4 2 2 3 2 2 3" xfId="5019" xr:uid="{00000000-0005-0000-0000-000002080000}"/>
    <cellStyle name="Comma 4 2 2 3 2 2 3 2" xfId="13469" xr:uid="{5B434C3D-781A-4CC8-B199-DD527D81AD72}"/>
    <cellStyle name="Comma 4 2 2 3 2 2 3 3" xfId="21916" xr:uid="{D3AD738C-1606-4A07-9890-04EB73527685}"/>
    <cellStyle name="Comma 4 2 2 3 2 2 3 4" xfId="30363" xr:uid="{B867DFAA-BCAE-406A-A532-DAAC0B87221A}"/>
    <cellStyle name="Comma 4 2 2 3 2 2 4" xfId="9251" xr:uid="{F32E9C3C-D1AE-49A1-B141-156A59FEDFF2}"/>
    <cellStyle name="Comma 4 2 2 3 2 2 5" xfId="17699" xr:uid="{38C34FCC-280A-41BC-BAF7-8C1829566B17}"/>
    <cellStyle name="Comma 4 2 2 3 2 2 6" xfId="26146" xr:uid="{E66B856D-A51E-4A46-A3D6-B2DDE397776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C9BBAAF0-CF4E-4F01-A4FC-A4B27EA93339}"/>
    <cellStyle name="Comma 4 2 2 3 2 3 2 2 3" xfId="24474" xr:uid="{6721D204-DC74-4879-BEA7-EB6AF53BF78E}"/>
    <cellStyle name="Comma 4 2 2 3 2 3 2 2 4" xfId="32921" xr:uid="{412D7C97-33BB-4427-8A1A-DE3CBEFF187D}"/>
    <cellStyle name="Comma 4 2 2 3 2 3 2 3" xfId="11809" xr:uid="{C42159E0-115A-404E-A778-BAB15B97E65A}"/>
    <cellStyle name="Comma 4 2 2 3 2 3 2 4" xfId="20257" xr:uid="{7B29F01A-8ACD-4A6C-9BAE-B452DE67E766}"/>
    <cellStyle name="Comma 4 2 2 3 2 3 2 5" xfId="28704" xr:uid="{7FB324ED-68BE-462E-BD24-D6CB3D5C3B65}"/>
    <cellStyle name="Comma 4 2 2 3 2 3 3" xfId="5432" xr:uid="{00000000-0005-0000-0000-000006080000}"/>
    <cellStyle name="Comma 4 2 2 3 2 3 3 2" xfId="13882" xr:uid="{DDBB3C27-9EE3-4253-8688-1CC4FF84F940}"/>
    <cellStyle name="Comma 4 2 2 3 2 3 3 3" xfId="22329" xr:uid="{2CE7F2F5-6307-4CCD-BBC8-6EFF441D16C1}"/>
    <cellStyle name="Comma 4 2 2 3 2 3 3 4" xfId="30776" xr:uid="{94A2724C-9928-4705-8C0F-AD514475F07C}"/>
    <cellStyle name="Comma 4 2 2 3 2 3 4" xfId="9664" xr:uid="{72B41549-F43F-4214-8959-C317125B2D55}"/>
    <cellStyle name="Comma 4 2 2 3 2 3 5" xfId="18112" xr:uid="{0964E266-35E5-4791-A417-FBD1D963434D}"/>
    <cellStyle name="Comma 4 2 2 3 2 3 6" xfId="26559" xr:uid="{88656E70-29B6-4FA9-99CC-8B2A329504A4}"/>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AA524305-DD95-42CE-B2A1-557E057B1939}"/>
    <cellStyle name="Comma 4 2 2 3 2 4 2 2 3" xfId="24887" xr:uid="{23D2DF63-7FB4-4BF8-8F9B-7F087C62A029}"/>
    <cellStyle name="Comma 4 2 2 3 2 4 2 2 4" xfId="33334" xr:uid="{E211342C-F663-4ACB-83B5-3CE8160A8885}"/>
    <cellStyle name="Comma 4 2 2 3 2 4 2 3" xfId="12222" xr:uid="{61E175DB-3B8E-4CB8-A19E-94E2A0B05B24}"/>
    <cellStyle name="Comma 4 2 2 3 2 4 2 4" xfId="20670" xr:uid="{558156E2-4007-48F0-A589-9D24EF5F5AD9}"/>
    <cellStyle name="Comma 4 2 2 3 2 4 2 5" xfId="29117" xr:uid="{1A94A764-7EF5-445A-8308-2E1CDEFF71E2}"/>
    <cellStyle name="Comma 4 2 2 3 2 4 3" xfId="5845" xr:uid="{00000000-0005-0000-0000-00000A080000}"/>
    <cellStyle name="Comma 4 2 2 3 2 4 3 2" xfId="14295" xr:uid="{F3FA3F4A-D587-4687-A319-5FCEDA3C319F}"/>
    <cellStyle name="Comma 4 2 2 3 2 4 3 3" xfId="22742" xr:uid="{04ABDC19-328A-4368-B281-9CDB74F72817}"/>
    <cellStyle name="Comma 4 2 2 3 2 4 3 4" xfId="31189" xr:uid="{969C7D0E-F6A4-491A-BB30-6B178B7B5370}"/>
    <cellStyle name="Comma 4 2 2 3 2 4 4" xfId="10077" xr:uid="{AA31F060-21A5-434B-B518-AD4EAAAB02B9}"/>
    <cellStyle name="Comma 4 2 2 3 2 4 5" xfId="18525" xr:uid="{D91231E1-71E6-4A89-9CEC-8CC3F778113E}"/>
    <cellStyle name="Comma 4 2 2 3 2 4 6" xfId="26972" xr:uid="{AE71A941-C60B-4828-B041-20C65630458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66ABD89D-EB35-4FB6-BBC8-5BE3B380119A}"/>
    <cellStyle name="Comma 4 2 2 3 2 5 2 2 3" xfId="25300" xr:uid="{72F32161-0A46-496B-98E9-086CC3BF5755}"/>
    <cellStyle name="Comma 4 2 2 3 2 5 2 2 4" xfId="33747" xr:uid="{C93B9D48-C1B5-4CE8-8D28-37BE7C29EA9A}"/>
    <cellStyle name="Comma 4 2 2 3 2 5 2 3" xfId="12635" xr:uid="{F28A7256-DCCF-4022-B77D-66BB2F7C8920}"/>
    <cellStyle name="Comma 4 2 2 3 2 5 2 4" xfId="21083" xr:uid="{4B90544A-A0A3-4191-AE10-65F145FC4C9D}"/>
    <cellStyle name="Comma 4 2 2 3 2 5 2 5" xfId="29530" xr:uid="{D417E951-5F01-49F6-B93F-7EC7FA99AB7F}"/>
    <cellStyle name="Comma 4 2 2 3 2 5 3" xfId="6258" xr:uid="{00000000-0005-0000-0000-00000E080000}"/>
    <cellStyle name="Comma 4 2 2 3 2 5 3 2" xfId="14708" xr:uid="{DF26478C-E911-4AD9-94EC-87EC7D626433}"/>
    <cellStyle name="Comma 4 2 2 3 2 5 3 3" xfId="23155" xr:uid="{9B46551D-8017-4AD8-9FFC-EBC0CD71125F}"/>
    <cellStyle name="Comma 4 2 2 3 2 5 3 4" xfId="31602" xr:uid="{31C57C45-A1C8-4DBD-B0E0-CB6EA412655D}"/>
    <cellStyle name="Comma 4 2 2 3 2 5 4" xfId="10490" xr:uid="{D795CA53-FFBE-4EE9-A2DF-E3B385EBC855}"/>
    <cellStyle name="Comma 4 2 2 3 2 5 5" xfId="18938" xr:uid="{901D2E10-D03C-4078-B569-E3E467EACB29}"/>
    <cellStyle name="Comma 4 2 2 3 2 5 6" xfId="27385" xr:uid="{C192BC80-0322-4FEA-BD57-5D30E8B2095C}"/>
    <cellStyle name="Comma 4 2 2 3 2 6" xfId="2387" xr:uid="{00000000-0005-0000-0000-00000F080000}"/>
    <cellStyle name="Comma 4 2 2 3 2 6 2" xfId="6671" xr:uid="{00000000-0005-0000-0000-000010080000}"/>
    <cellStyle name="Comma 4 2 2 3 2 6 2 2" xfId="15121" xr:uid="{85A3F117-1165-4C14-84E6-EADC616F2C39}"/>
    <cellStyle name="Comma 4 2 2 3 2 6 2 3" xfId="23568" xr:uid="{5A3E6473-48E4-4487-852C-CA3E785F3426}"/>
    <cellStyle name="Comma 4 2 2 3 2 6 2 4" xfId="32015" xr:uid="{80A3AEE7-4F8C-4FF9-8C36-DEE1FD4940B1}"/>
    <cellStyle name="Comma 4 2 2 3 2 6 3" xfId="10903" xr:uid="{120C6D0C-74E0-49EE-9570-29DB36600488}"/>
    <cellStyle name="Comma 4 2 2 3 2 6 4" xfId="19351" xr:uid="{1D9B2E43-B03C-4948-9365-A174AC52AA6A}"/>
    <cellStyle name="Comma 4 2 2 3 2 6 5" xfId="27798" xr:uid="{7142E816-0755-49A2-A049-E39B14B5C5D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8187076E-0C0C-4FCB-AA08-A13A0F0D0163}"/>
    <cellStyle name="Comma 4 2 2 3 2 8 2 3" xfId="23885" xr:uid="{979B1275-CA20-4E18-93BB-F6910DED01F6}"/>
    <cellStyle name="Comma 4 2 2 3 2 8 2 4" xfId="32332" xr:uid="{6E5C5F30-4791-456F-A26B-FC290AC19789}"/>
    <cellStyle name="Comma 4 2 2 3 2 8 3" xfId="11220" xr:uid="{3E259155-BAAC-4CCF-A048-004683D6A835}"/>
    <cellStyle name="Comma 4 2 2 3 2 8 4" xfId="19668" xr:uid="{8E0240AD-86F8-4CDA-8A9E-0C73E6E0D085}"/>
    <cellStyle name="Comma 4 2 2 3 2 8 5" xfId="28115" xr:uid="{84E55FDA-DA43-4EF6-B222-A4EE78A744CB}"/>
    <cellStyle name="Comma 4 2 2 3 2 9" xfId="4605" xr:uid="{00000000-0005-0000-0000-000014080000}"/>
    <cellStyle name="Comma 4 2 2 3 2 9 2" xfId="13055" xr:uid="{F159F258-079A-4C25-9B6E-64EDE663C849}"/>
    <cellStyle name="Comma 4 2 2 3 2 9 3" xfId="21502" xr:uid="{D4ECAECC-001A-4597-A8F4-DBCC37459ACB}"/>
    <cellStyle name="Comma 4 2 2 3 2 9 4" xfId="29949" xr:uid="{38661262-FB24-4EDE-B66E-1E6F8C816B28}"/>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8D918A98-A0B5-4715-B8A0-0659E5ACB5CA}"/>
    <cellStyle name="Comma 4 2 2 3 3 2 2 3" xfId="24060" xr:uid="{A4A005D6-1904-47ED-BFE3-C9C1102A9FE8}"/>
    <cellStyle name="Comma 4 2 2 3 3 2 2 4" xfId="32507" xr:uid="{E449A163-6E5B-4B6F-AAA2-724D21BDCEA2}"/>
    <cellStyle name="Comma 4 2 2 3 3 2 3" xfId="11395" xr:uid="{B087B246-11A8-4565-BC34-52D52EC39478}"/>
    <cellStyle name="Comma 4 2 2 3 3 2 4" xfId="19843" xr:uid="{516A63C9-78A4-43DE-9D98-F8C1B09886D7}"/>
    <cellStyle name="Comma 4 2 2 3 3 2 5" xfId="28290" xr:uid="{BEFC23A5-0A9F-409F-9B3A-28A1F4521DDC}"/>
    <cellStyle name="Comma 4 2 2 3 3 3" xfId="5018" xr:uid="{00000000-0005-0000-0000-000018080000}"/>
    <cellStyle name="Comma 4 2 2 3 3 3 2" xfId="13468" xr:uid="{494F7815-1F99-4E2A-AB36-CC9A6C1F4CE5}"/>
    <cellStyle name="Comma 4 2 2 3 3 3 3" xfId="21915" xr:uid="{4A64F6DA-F731-4FCE-97DB-8292C99C7BB6}"/>
    <cellStyle name="Comma 4 2 2 3 3 3 4" xfId="30362" xr:uid="{A7ABAB14-1AA6-4305-83DE-360C44ACCCAE}"/>
    <cellStyle name="Comma 4 2 2 3 3 4" xfId="9250" xr:uid="{FAD5AB0D-61A0-4236-9E4D-04FA4FAD4905}"/>
    <cellStyle name="Comma 4 2 2 3 3 5" xfId="17698" xr:uid="{F6D1A24A-C488-44BC-9C72-92249BFBBB78}"/>
    <cellStyle name="Comma 4 2 2 3 3 6" xfId="26145" xr:uid="{1B173D69-8437-4500-A740-B3C4E42B776A}"/>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08682B13-9FF8-4FDF-94EE-FDC9668119AC}"/>
    <cellStyle name="Comma 4 2 2 3 4 2 2 3" xfId="24473" xr:uid="{905AE3F2-1584-4895-B1B2-72A7C4157E92}"/>
    <cellStyle name="Comma 4 2 2 3 4 2 2 4" xfId="32920" xr:uid="{3A154797-8A1A-4C6E-A02F-FB74A6046A7B}"/>
    <cellStyle name="Comma 4 2 2 3 4 2 3" xfId="11808" xr:uid="{A7A8118F-504F-4859-9F97-34D949E71827}"/>
    <cellStyle name="Comma 4 2 2 3 4 2 4" xfId="20256" xr:uid="{EF0F4DF1-5FA8-4A3E-8325-85054258CCC3}"/>
    <cellStyle name="Comma 4 2 2 3 4 2 5" xfId="28703" xr:uid="{1601B41C-EF72-4BE1-9304-E568FDE7B4A8}"/>
    <cellStyle name="Comma 4 2 2 3 4 3" xfId="5431" xr:uid="{00000000-0005-0000-0000-00001C080000}"/>
    <cellStyle name="Comma 4 2 2 3 4 3 2" xfId="13881" xr:uid="{5C286B2D-E7F3-49F5-B6B1-AF0A518B2102}"/>
    <cellStyle name="Comma 4 2 2 3 4 3 3" xfId="22328" xr:uid="{79BF34E1-C6B4-4B77-9761-ABF5BF641248}"/>
    <cellStyle name="Comma 4 2 2 3 4 3 4" xfId="30775" xr:uid="{C929CC6F-F28A-45BD-8753-3D9FEEABCC85}"/>
    <cellStyle name="Comma 4 2 2 3 4 4" xfId="9663" xr:uid="{4995B529-2264-4AF0-8D66-9F8736528492}"/>
    <cellStyle name="Comma 4 2 2 3 4 5" xfId="18111" xr:uid="{570C29A5-FCBE-4205-881E-676C70D758F7}"/>
    <cellStyle name="Comma 4 2 2 3 4 6" xfId="26558" xr:uid="{24B12389-F209-4D31-BCA2-FE9A86E25413}"/>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AA36688A-8E1E-4160-BC63-E0E41180F820}"/>
    <cellStyle name="Comma 4 2 2 3 5 2 2 3" xfId="24886" xr:uid="{01F458D4-E6D2-4E15-9764-A2A45948948A}"/>
    <cellStyle name="Comma 4 2 2 3 5 2 2 4" xfId="33333" xr:uid="{DB482F7C-3EE8-4A48-ADC6-A0A04F550DDB}"/>
    <cellStyle name="Comma 4 2 2 3 5 2 3" xfId="12221" xr:uid="{071C0A5B-0C88-4A4C-8908-E8FE407D8751}"/>
    <cellStyle name="Comma 4 2 2 3 5 2 4" xfId="20669" xr:uid="{88CB1A96-D11C-44BA-B412-5C7CB78EC27D}"/>
    <cellStyle name="Comma 4 2 2 3 5 2 5" xfId="29116" xr:uid="{2BA44EBF-C086-4C35-B49E-9CA8D4BE501F}"/>
    <cellStyle name="Comma 4 2 2 3 5 3" xfId="5844" xr:uid="{00000000-0005-0000-0000-000020080000}"/>
    <cellStyle name="Comma 4 2 2 3 5 3 2" xfId="14294" xr:uid="{16E106D6-A7F6-4AAF-9EF1-4FC0177F35F4}"/>
    <cellStyle name="Comma 4 2 2 3 5 3 3" xfId="22741" xr:uid="{BF1E67D3-4E3A-4C95-B02B-5D106DD234CB}"/>
    <cellStyle name="Comma 4 2 2 3 5 3 4" xfId="31188" xr:uid="{388F8BA3-F352-44A4-B552-A02833D1A744}"/>
    <cellStyle name="Comma 4 2 2 3 5 4" xfId="10076" xr:uid="{B8CBF169-D53E-46AD-8F31-111C97E423EC}"/>
    <cellStyle name="Comma 4 2 2 3 5 5" xfId="18524" xr:uid="{F5612EB9-2269-466E-AF41-7CC13CD62B88}"/>
    <cellStyle name="Comma 4 2 2 3 5 6" xfId="26971" xr:uid="{41592BB3-5C88-4402-B1E8-C0CB493E1BB7}"/>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ECDA8F3B-9042-4174-A264-AB78077785C8}"/>
    <cellStyle name="Comma 4 2 2 3 6 2 2 3" xfId="25299" xr:uid="{55E23C02-E0AB-4FD1-8E6F-BA1D5113BA3F}"/>
    <cellStyle name="Comma 4 2 2 3 6 2 2 4" xfId="33746" xr:uid="{A3E8D874-E184-4AF2-855F-B9C5D21696D0}"/>
    <cellStyle name="Comma 4 2 2 3 6 2 3" xfId="12634" xr:uid="{7E4510AD-0489-42F5-AF51-54AED9B381F6}"/>
    <cellStyle name="Comma 4 2 2 3 6 2 4" xfId="21082" xr:uid="{19789704-4BDC-4825-A7F1-1A428EE6B957}"/>
    <cellStyle name="Comma 4 2 2 3 6 2 5" xfId="29529" xr:uid="{58440B50-FB8F-4808-926F-B768398BC1B6}"/>
    <cellStyle name="Comma 4 2 2 3 6 3" xfId="6257" xr:uid="{00000000-0005-0000-0000-000024080000}"/>
    <cellStyle name="Comma 4 2 2 3 6 3 2" xfId="14707" xr:uid="{80B0B47E-683A-4A08-9184-6F42479B2DB7}"/>
    <cellStyle name="Comma 4 2 2 3 6 3 3" xfId="23154" xr:uid="{D163F2CB-4E40-430C-A655-B58CDE6BE209}"/>
    <cellStyle name="Comma 4 2 2 3 6 3 4" xfId="31601" xr:uid="{9C956627-AADF-4D5F-AD26-9F17BB4B801E}"/>
    <cellStyle name="Comma 4 2 2 3 6 4" xfId="10489" xr:uid="{E2E97FDA-A72B-4E3E-8CD7-F86D921B4F78}"/>
    <cellStyle name="Comma 4 2 2 3 6 5" xfId="18937" xr:uid="{939E5B97-0B47-43AC-B92E-EB0C11DC1E65}"/>
    <cellStyle name="Comma 4 2 2 3 6 6" xfId="27384" xr:uid="{EA17D1BD-F0B2-466C-A4A4-9BC9896E1630}"/>
    <cellStyle name="Comma 4 2 2 3 7" xfId="2386" xr:uid="{00000000-0005-0000-0000-000025080000}"/>
    <cellStyle name="Comma 4 2 2 3 7 2" xfId="6670" xr:uid="{00000000-0005-0000-0000-000026080000}"/>
    <cellStyle name="Comma 4 2 2 3 7 2 2" xfId="15120" xr:uid="{CF429A57-5A78-4971-B66D-BA5677A4AC78}"/>
    <cellStyle name="Comma 4 2 2 3 7 2 3" xfId="23567" xr:uid="{3C4A80BB-9041-4023-AE77-EE933636B30B}"/>
    <cellStyle name="Comma 4 2 2 3 7 2 4" xfId="32014" xr:uid="{0651455D-0F34-4996-A5F5-5C22893644E1}"/>
    <cellStyle name="Comma 4 2 2 3 7 3" xfId="10902" xr:uid="{3356C1CE-349A-4236-BC13-660E302E0A19}"/>
    <cellStyle name="Comma 4 2 2 3 7 4" xfId="19350" xr:uid="{681DFA49-9A4A-425F-BE3F-3B6A344FC5E8}"/>
    <cellStyle name="Comma 4 2 2 3 7 5" xfId="27797" xr:uid="{FA2B246E-DC88-4F2A-AE4F-9F81EEDF8806}"/>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CE9EC9B8-9F1E-495D-A05A-ED8977028FA6}"/>
    <cellStyle name="Comma 4 2 2 3 9 2 3" xfId="23884" xr:uid="{F1BD2E2D-C2C9-4154-9A59-886886F12094}"/>
    <cellStyle name="Comma 4 2 2 3 9 2 4" xfId="32331" xr:uid="{C520C17E-ECC6-423F-8299-A328303BC2E5}"/>
    <cellStyle name="Comma 4 2 2 3 9 3" xfId="11219" xr:uid="{2E7AE2AF-D6AC-40BE-8754-8920CD571004}"/>
    <cellStyle name="Comma 4 2 2 3 9 4" xfId="19667" xr:uid="{5EE2EC2D-D585-4D1D-8711-504EF5C2944A}"/>
    <cellStyle name="Comma 4 2 2 3 9 5" xfId="28114" xr:uid="{1A551D33-73D5-473E-B9D9-785A82625B45}"/>
    <cellStyle name="Comma 4 2 2 4" xfId="134" xr:uid="{00000000-0005-0000-0000-00002A080000}"/>
    <cellStyle name="Comma 4 2 2 4 10" xfId="8838" xr:uid="{FFC46FA0-9492-4768-BF55-9CC3FB304154}"/>
    <cellStyle name="Comma 4 2 2 4 11" xfId="17286" xr:uid="{19CD85A1-61EA-4C39-BCD4-F03BF78182CD}"/>
    <cellStyle name="Comma 4 2 2 4 12" xfId="25733" xr:uid="{F4C023CA-473F-4CED-B1CA-12EA3778D3F3}"/>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F9626100-E86D-47F3-AD61-16A5D30A0653}"/>
    <cellStyle name="Comma 4 2 2 4 2 2 2 3" xfId="24062" xr:uid="{26DE1342-DE95-41E1-9A9D-2689922D7BA9}"/>
    <cellStyle name="Comma 4 2 2 4 2 2 2 4" xfId="32509" xr:uid="{94B53288-5732-4F39-9FD6-012C48A867AA}"/>
    <cellStyle name="Comma 4 2 2 4 2 2 3" xfId="11397" xr:uid="{4A809862-C21E-4773-97A9-CC6849E33177}"/>
    <cellStyle name="Comma 4 2 2 4 2 2 4" xfId="19845" xr:uid="{15162C44-874C-4AA6-9E3F-A69566D8A3C2}"/>
    <cellStyle name="Comma 4 2 2 4 2 2 5" xfId="28292" xr:uid="{131FBA3A-E257-4246-BAD1-215D9A591647}"/>
    <cellStyle name="Comma 4 2 2 4 2 3" xfId="5020" xr:uid="{00000000-0005-0000-0000-00002E080000}"/>
    <cellStyle name="Comma 4 2 2 4 2 3 2" xfId="13470" xr:uid="{466E554A-10FA-4241-9F56-AF8AD2846075}"/>
    <cellStyle name="Comma 4 2 2 4 2 3 3" xfId="21917" xr:uid="{419BDDCB-36F6-4D6B-97B6-53A126B9EE38}"/>
    <cellStyle name="Comma 4 2 2 4 2 3 4" xfId="30364" xr:uid="{42C05E01-BBA4-4325-81C2-B9EAE12F7F18}"/>
    <cellStyle name="Comma 4 2 2 4 2 4" xfId="9252" xr:uid="{8CFFA70F-8258-4C2C-8B46-F4041FA1FE86}"/>
    <cellStyle name="Comma 4 2 2 4 2 5" xfId="17700" xr:uid="{A2322A2D-41FC-40FB-999B-AA8ED022B3BB}"/>
    <cellStyle name="Comma 4 2 2 4 2 6" xfId="26147" xr:uid="{7EB4D04D-7A3A-4EAB-B9CD-3AB1ABC94780}"/>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78F76454-2D7A-4B52-904D-2853A7FFB70A}"/>
    <cellStyle name="Comma 4 2 2 4 3 2 2 3" xfId="24475" xr:uid="{BD5A95AB-6F11-4EA1-953B-1682B4CDCE1B}"/>
    <cellStyle name="Comma 4 2 2 4 3 2 2 4" xfId="32922" xr:uid="{7E284550-3C61-4C88-8912-81E82F7ADED4}"/>
    <cellStyle name="Comma 4 2 2 4 3 2 3" xfId="11810" xr:uid="{A9C01B25-AE5D-4FF6-8677-16EFE6963E5A}"/>
    <cellStyle name="Comma 4 2 2 4 3 2 4" xfId="20258" xr:uid="{34388A8F-70EE-4CBB-9A0C-91F516CB3CA9}"/>
    <cellStyle name="Comma 4 2 2 4 3 2 5" xfId="28705" xr:uid="{F1092E76-D775-41F6-BBA2-66BB10A2E67E}"/>
    <cellStyle name="Comma 4 2 2 4 3 3" xfId="5433" xr:uid="{00000000-0005-0000-0000-000032080000}"/>
    <cellStyle name="Comma 4 2 2 4 3 3 2" xfId="13883" xr:uid="{C61A8F53-9B24-401E-A0F8-7C87B2E8F039}"/>
    <cellStyle name="Comma 4 2 2 4 3 3 3" xfId="22330" xr:uid="{5A9913FE-972A-4630-8593-CEF57E54D811}"/>
    <cellStyle name="Comma 4 2 2 4 3 3 4" xfId="30777" xr:uid="{7DD72785-AA2B-4B9C-A8C7-433D30EF2050}"/>
    <cellStyle name="Comma 4 2 2 4 3 4" xfId="9665" xr:uid="{4BFE2F5B-6C99-47AC-A702-D811233143CF}"/>
    <cellStyle name="Comma 4 2 2 4 3 5" xfId="18113" xr:uid="{84B133E1-7926-4D4A-9CA4-9E2779447999}"/>
    <cellStyle name="Comma 4 2 2 4 3 6" xfId="26560" xr:uid="{46C4EF2B-D179-479A-AE7D-F4E69466E298}"/>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7DC09EF1-C9C6-4E11-B1CB-0F19C9DF5B9F}"/>
    <cellStyle name="Comma 4 2 2 4 4 2 2 3" xfId="24888" xr:uid="{9548306C-6984-4DC8-AC12-DAFEA323FECC}"/>
    <cellStyle name="Comma 4 2 2 4 4 2 2 4" xfId="33335" xr:uid="{7054E515-B506-4368-925E-2634371728D9}"/>
    <cellStyle name="Comma 4 2 2 4 4 2 3" xfId="12223" xr:uid="{B48D86BD-BF22-4BAC-9882-7A1DF3290F5D}"/>
    <cellStyle name="Comma 4 2 2 4 4 2 4" xfId="20671" xr:uid="{64C980F8-B631-4648-A3AC-EDEF7FF57F60}"/>
    <cellStyle name="Comma 4 2 2 4 4 2 5" xfId="29118" xr:uid="{354E8EB2-2C26-49AC-98E6-41CE8003C9D6}"/>
    <cellStyle name="Comma 4 2 2 4 4 3" xfId="5846" xr:uid="{00000000-0005-0000-0000-000036080000}"/>
    <cellStyle name="Comma 4 2 2 4 4 3 2" xfId="14296" xr:uid="{7D25C4D9-9946-4F68-9A7E-F74D34A985C2}"/>
    <cellStyle name="Comma 4 2 2 4 4 3 3" xfId="22743" xr:uid="{4CE88B64-1616-4030-B243-C2DA9CF7A88C}"/>
    <cellStyle name="Comma 4 2 2 4 4 3 4" xfId="31190" xr:uid="{DAAE63C1-0ECE-45A3-A987-BE7AC00D0B25}"/>
    <cellStyle name="Comma 4 2 2 4 4 4" xfId="10078" xr:uid="{1A808357-EA53-4FD0-9F7E-A250F35B70DB}"/>
    <cellStyle name="Comma 4 2 2 4 4 5" xfId="18526" xr:uid="{0287031E-9E91-4C11-908A-1D55BF04CE75}"/>
    <cellStyle name="Comma 4 2 2 4 4 6" xfId="26973" xr:uid="{FEA0D94E-D6FE-4161-9B55-643FDB186EAD}"/>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9627A830-2295-4C6A-AA6C-EB0E1478881B}"/>
    <cellStyle name="Comma 4 2 2 4 5 2 2 3" xfId="25301" xr:uid="{6A3A2E7E-53FA-4380-8FE0-0A1A15423F5D}"/>
    <cellStyle name="Comma 4 2 2 4 5 2 2 4" xfId="33748" xr:uid="{560C924C-83AB-48DF-A769-8CAE93880D89}"/>
    <cellStyle name="Comma 4 2 2 4 5 2 3" xfId="12636" xr:uid="{7EB6BC93-33FF-40B7-B05A-DDCCE8D56B2F}"/>
    <cellStyle name="Comma 4 2 2 4 5 2 4" xfId="21084" xr:uid="{26BF9AE6-611D-4460-A7CD-E48B3C5F05E2}"/>
    <cellStyle name="Comma 4 2 2 4 5 2 5" xfId="29531" xr:uid="{44CDE88F-007F-4CCD-AD6D-C14B94565386}"/>
    <cellStyle name="Comma 4 2 2 4 5 3" xfId="6259" xr:uid="{00000000-0005-0000-0000-00003A080000}"/>
    <cellStyle name="Comma 4 2 2 4 5 3 2" xfId="14709" xr:uid="{6EABA79A-8401-433A-919F-E444CBA407B8}"/>
    <cellStyle name="Comma 4 2 2 4 5 3 3" xfId="23156" xr:uid="{0EACE548-68C7-4921-A67C-4816954B2D68}"/>
    <cellStyle name="Comma 4 2 2 4 5 3 4" xfId="31603" xr:uid="{11C56756-77C8-405A-88DE-467C717327C6}"/>
    <cellStyle name="Comma 4 2 2 4 5 4" xfId="10491" xr:uid="{12FC1C0F-2C1B-4275-88EB-B34DCD531ABC}"/>
    <cellStyle name="Comma 4 2 2 4 5 5" xfId="18939" xr:uid="{1186B577-0121-461F-9363-0A2A5B9AEF4C}"/>
    <cellStyle name="Comma 4 2 2 4 5 6" xfId="27386" xr:uid="{7703F95F-5745-4729-95A9-51DFBA4B859A}"/>
    <cellStyle name="Comma 4 2 2 4 6" xfId="2388" xr:uid="{00000000-0005-0000-0000-00003B080000}"/>
    <cellStyle name="Comma 4 2 2 4 6 2" xfId="6672" xr:uid="{00000000-0005-0000-0000-00003C080000}"/>
    <cellStyle name="Comma 4 2 2 4 6 2 2" xfId="15122" xr:uid="{C69D3F3B-B0DC-49C9-81BC-B8EB24BCB0A4}"/>
    <cellStyle name="Comma 4 2 2 4 6 2 3" xfId="23569" xr:uid="{7DB3E509-647B-4C31-8637-F8C46AD31D5C}"/>
    <cellStyle name="Comma 4 2 2 4 6 2 4" xfId="32016" xr:uid="{097B6C7B-1056-4254-97BB-A245C93BCA53}"/>
    <cellStyle name="Comma 4 2 2 4 6 3" xfId="10904" xr:uid="{DF7F7E45-28BB-43D5-815F-E1AA1083F8D3}"/>
    <cellStyle name="Comma 4 2 2 4 6 4" xfId="19352" xr:uid="{CAF632B7-B678-41DA-B116-64BFA8CB326D}"/>
    <cellStyle name="Comma 4 2 2 4 6 5" xfId="27799" xr:uid="{2F00B3A3-12C5-40A4-8874-283E2D7B6564}"/>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1C36720C-0673-43F8-8B28-E4774AF5B373}"/>
    <cellStyle name="Comma 4 2 2 4 8 2 3" xfId="23886" xr:uid="{94343B34-2326-49CD-805E-C26EF45564D5}"/>
    <cellStyle name="Comma 4 2 2 4 8 2 4" xfId="32333" xr:uid="{CDF2924F-25DF-41F4-89AF-34D6C4A98584}"/>
    <cellStyle name="Comma 4 2 2 4 8 3" xfId="11221" xr:uid="{15A2A025-63B7-4489-A34A-CB09A060B684}"/>
    <cellStyle name="Comma 4 2 2 4 8 4" xfId="19669" xr:uid="{0DC326FA-19A1-45E0-BD53-913D852F5B77}"/>
    <cellStyle name="Comma 4 2 2 4 8 5" xfId="28116" xr:uid="{8E6ACAEF-40CC-4A01-8B9C-044813940271}"/>
    <cellStyle name="Comma 4 2 2 4 9" xfId="4606" xr:uid="{00000000-0005-0000-0000-000040080000}"/>
    <cellStyle name="Comma 4 2 2 4 9 2" xfId="13056" xr:uid="{DFEE6827-731A-498D-B212-EBD8C798AED2}"/>
    <cellStyle name="Comma 4 2 2 4 9 3" xfId="21503" xr:uid="{4300A3B9-C11D-41FA-B59D-3B4BB5F82176}"/>
    <cellStyle name="Comma 4 2 2 4 9 4" xfId="29950" xr:uid="{BC0B78A0-4F85-4DD8-9800-786DAB4FA62A}"/>
    <cellStyle name="Comma 4 2 2 5" xfId="135" xr:uid="{00000000-0005-0000-0000-000041080000}"/>
    <cellStyle name="Comma 4 2 2 5 10" xfId="8839" xr:uid="{2D8E8A93-3B41-4F52-8BA1-4CB7990153A0}"/>
    <cellStyle name="Comma 4 2 2 5 11" xfId="17287" xr:uid="{5C090D2F-70D9-49AC-AC7C-EDF6684514A1}"/>
    <cellStyle name="Comma 4 2 2 5 12" xfId="25734" xr:uid="{BE08BE3B-0C4F-4F6A-A8C6-F1483CC6ACA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FC805CC3-5823-4B06-AED4-5CBF16874129}"/>
    <cellStyle name="Comma 4 2 2 5 2 2 2 3" xfId="24063" xr:uid="{6D7A2E4C-9EFC-4C2A-82B3-D2478F6F0ACA}"/>
    <cellStyle name="Comma 4 2 2 5 2 2 2 4" xfId="32510" xr:uid="{ED08762C-2E9E-43EC-A078-4B4B0A4C32C9}"/>
    <cellStyle name="Comma 4 2 2 5 2 2 3" xfId="11398" xr:uid="{8E790DB6-8434-4723-BBBF-403C4F89879A}"/>
    <cellStyle name="Comma 4 2 2 5 2 2 4" xfId="19846" xr:uid="{0CF6935E-2016-4079-8448-C46B5F64B39B}"/>
    <cellStyle name="Comma 4 2 2 5 2 2 5" xfId="28293" xr:uid="{65032AD8-789C-4A24-B588-852DEBEF0A34}"/>
    <cellStyle name="Comma 4 2 2 5 2 3" xfId="5021" xr:uid="{00000000-0005-0000-0000-000045080000}"/>
    <cellStyle name="Comma 4 2 2 5 2 3 2" xfId="13471" xr:uid="{A0385682-A8BA-4324-AEF1-5B84CE16152E}"/>
    <cellStyle name="Comma 4 2 2 5 2 3 3" xfId="21918" xr:uid="{6D1D5924-4094-42D8-A9E3-C56960B9CA27}"/>
    <cellStyle name="Comma 4 2 2 5 2 3 4" xfId="30365" xr:uid="{7328F03D-942B-47CC-ACBB-5AF1F143216A}"/>
    <cellStyle name="Comma 4 2 2 5 2 4" xfId="9253" xr:uid="{CD0BFEB4-602C-4652-BC1E-8D916CAA603D}"/>
    <cellStyle name="Comma 4 2 2 5 2 5" xfId="17701" xr:uid="{169D59E4-8726-4D6F-8083-42CF79FA6D4F}"/>
    <cellStyle name="Comma 4 2 2 5 2 6" xfId="26148" xr:uid="{98F69773-0B67-49A0-9581-CAF2666F1F9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11CCA622-2B75-4585-8FFD-EC175141CB6D}"/>
    <cellStyle name="Comma 4 2 2 5 3 2 2 3" xfId="24476" xr:uid="{00153E5A-A9B7-4EB6-97DC-9171B27D6F1E}"/>
    <cellStyle name="Comma 4 2 2 5 3 2 2 4" xfId="32923" xr:uid="{9690A6DE-F9A8-42C0-A9F9-013109F056FE}"/>
    <cellStyle name="Comma 4 2 2 5 3 2 3" xfId="11811" xr:uid="{B07829E5-148B-4979-8925-B521CE6BF63B}"/>
    <cellStyle name="Comma 4 2 2 5 3 2 4" xfId="20259" xr:uid="{B21B9707-CCE1-4753-9960-05EA935E0E05}"/>
    <cellStyle name="Comma 4 2 2 5 3 2 5" xfId="28706" xr:uid="{2F3D4759-7AD1-4A86-B455-40E1C7777391}"/>
    <cellStyle name="Comma 4 2 2 5 3 3" xfId="5434" xr:uid="{00000000-0005-0000-0000-000049080000}"/>
    <cellStyle name="Comma 4 2 2 5 3 3 2" xfId="13884" xr:uid="{3107EB07-3D43-42FC-ACDF-E2CC56A3DC18}"/>
    <cellStyle name="Comma 4 2 2 5 3 3 3" xfId="22331" xr:uid="{9BAF3107-0846-451A-8FDE-9FD235B14808}"/>
    <cellStyle name="Comma 4 2 2 5 3 3 4" xfId="30778" xr:uid="{8C19A9EE-4E9B-494B-A67F-D982591786AF}"/>
    <cellStyle name="Comma 4 2 2 5 3 4" xfId="9666" xr:uid="{C9E5B3A8-4F72-472E-BBB0-35E8C20603DF}"/>
    <cellStyle name="Comma 4 2 2 5 3 5" xfId="18114" xr:uid="{34963679-68E4-4F82-B167-BCA43F8CD8D7}"/>
    <cellStyle name="Comma 4 2 2 5 3 6" xfId="26561" xr:uid="{BAF7D174-4DF7-4251-86BE-BA4B6812860F}"/>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48A6DFC7-5989-4C0E-949B-3751D9FEAAD3}"/>
    <cellStyle name="Comma 4 2 2 5 4 2 2 3" xfId="24889" xr:uid="{30A61709-C8E9-4FF1-93FE-0DADA65ADA53}"/>
    <cellStyle name="Comma 4 2 2 5 4 2 2 4" xfId="33336" xr:uid="{901B8C75-D713-4208-8647-0B6EE0C4C7C9}"/>
    <cellStyle name="Comma 4 2 2 5 4 2 3" xfId="12224" xr:uid="{90A4AFCA-7D4C-4BB9-AE17-F81477D57453}"/>
    <cellStyle name="Comma 4 2 2 5 4 2 4" xfId="20672" xr:uid="{8710A514-698E-451E-8DF8-AE9D58D47487}"/>
    <cellStyle name="Comma 4 2 2 5 4 2 5" xfId="29119" xr:uid="{217F674E-8D9D-4825-9831-56A7232584E2}"/>
    <cellStyle name="Comma 4 2 2 5 4 3" xfId="5847" xr:uid="{00000000-0005-0000-0000-00004D080000}"/>
    <cellStyle name="Comma 4 2 2 5 4 3 2" xfId="14297" xr:uid="{6885BE40-4BAE-4FBE-B97F-AF97394225C7}"/>
    <cellStyle name="Comma 4 2 2 5 4 3 3" xfId="22744" xr:uid="{7874C465-071B-498B-81B1-99DAF1DCEB84}"/>
    <cellStyle name="Comma 4 2 2 5 4 3 4" xfId="31191" xr:uid="{7A5E7394-4B00-46D5-8EEE-CAED097962D8}"/>
    <cellStyle name="Comma 4 2 2 5 4 4" xfId="10079" xr:uid="{02E01F39-33CC-4E18-986E-47DC6CE90904}"/>
    <cellStyle name="Comma 4 2 2 5 4 5" xfId="18527" xr:uid="{75E5EF2E-16EA-4B0B-974A-9D8C20B40B29}"/>
    <cellStyle name="Comma 4 2 2 5 4 6" xfId="26974" xr:uid="{8908F3E6-B736-42AE-96F1-097DCF52CBA0}"/>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0298F0A5-383D-4C98-8702-3CEF9ACC7A40}"/>
    <cellStyle name="Comma 4 2 2 5 5 2 2 3" xfId="25302" xr:uid="{1A834149-AC39-4358-994A-2BFF9AAA715F}"/>
    <cellStyle name="Comma 4 2 2 5 5 2 2 4" xfId="33749" xr:uid="{A17B7B03-A9F7-4D85-9BE1-CFAA58620CC0}"/>
    <cellStyle name="Comma 4 2 2 5 5 2 3" xfId="12637" xr:uid="{CFB075D6-2535-4E73-B03E-54A5DE0FEDE0}"/>
    <cellStyle name="Comma 4 2 2 5 5 2 4" xfId="21085" xr:uid="{0E22D2E5-96AE-4C45-9391-E8AFD178B5B8}"/>
    <cellStyle name="Comma 4 2 2 5 5 2 5" xfId="29532" xr:uid="{C0B694B0-B299-425E-B62E-1D5B5DC4216D}"/>
    <cellStyle name="Comma 4 2 2 5 5 3" xfId="6260" xr:uid="{00000000-0005-0000-0000-000051080000}"/>
    <cellStyle name="Comma 4 2 2 5 5 3 2" xfId="14710" xr:uid="{2B12F22D-B499-4006-9391-429529418D2E}"/>
    <cellStyle name="Comma 4 2 2 5 5 3 3" xfId="23157" xr:uid="{B7915279-1A8E-42E7-8837-0EBA3742B2BF}"/>
    <cellStyle name="Comma 4 2 2 5 5 3 4" xfId="31604" xr:uid="{B0C62B2A-38E8-4834-A65F-28ACB1D3C60F}"/>
    <cellStyle name="Comma 4 2 2 5 5 4" xfId="10492" xr:uid="{9381A651-0A92-40A2-A376-43A89C8177FB}"/>
    <cellStyle name="Comma 4 2 2 5 5 5" xfId="18940" xr:uid="{F0FC6B6B-EC0E-47D9-9B0D-0009DD05D31E}"/>
    <cellStyle name="Comma 4 2 2 5 5 6" xfId="27387" xr:uid="{3FD650CB-3B22-4CE1-8D8E-2C9BB522BDC5}"/>
    <cellStyle name="Comma 4 2 2 5 6" xfId="2389" xr:uid="{00000000-0005-0000-0000-000052080000}"/>
    <cellStyle name="Comma 4 2 2 5 6 2" xfId="6673" xr:uid="{00000000-0005-0000-0000-000053080000}"/>
    <cellStyle name="Comma 4 2 2 5 6 2 2" xfId="15123" xr:uid="{B54371B8-754D-4C19-B50C-930A060B6EE1}"/>
    <cellStyle name="Comma 4 2 2 5 6 2 3" xfId="23570" xr:uid="{0663D2F4-061C-4F0E-B37D-5B8831C0C7AF}"/>
    <cellStyle name="Comma 4 2 2 5 6 2 4" xfId="32017" xr:uid="{39F414D2-F188-4051-9238-1BEE708E9F66}"/>
    <cellStyle name="Comma 4 2 2 5 6 3" xfId="10905" xr:uid="{14398EBB-F183-4D9F-8684-58ABE63A46C6}"/>
    <cellStyle name="Comma 4 2 2 5 6 4" xfId="19353" xr:uid="{A96C9597-C617-4425-80D6-B07449DC7B82}"/>
    <cellStyle name="Comma 4 2 2 5 6 5" xfId="27800" xr:uid="{C4EC2D3B-63BE-43A0-A181-95C8DE261A9B}"/>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8B34AC6F-E9B5-46E3-AB69-58651E7D2609}"/>
    <cellStyle name="Comma 4 2 2 5 8 2 3" xfId="23887" xr:uid="{8FAC8A94-5C01-4040-94F3-3862622C3262}"/>
    <cellStyle name="Comma 4 2 2 5 8 2 4" xfId="32334" xr:uid="{058FFEDC-C4CC-4247-92D5-ABD5342C7073}"/>
    <cellStyle name="Comma 4 2 2 5 8 3" xfId="11222" xr:uid="{BF089A83-0AB4-4E51-9E4E-8281005FA7E3}"/>
    <cellStyle name="Comma 4 2 2 5 8 4" xfId="19670" xr:uid="{7A99A91C-F6B3-4895-908B-6F2705216982}"/>
    <cellStyle name="Comma 4 2 2 5 8 5" xfId="28117" xr:uid="{19588000-6F78-4639-8A51-7403118BDA5D}"/>
    <cellStyle name="Comma 4 2 2 5 9" xfId="4607" xr:uid="{00000000-0005-0000-0000-000057080000}"/>
    <cellStyle name="Comma 4 2 2 5 9 2" xfId="13057" xr:uid="{BEF5F7DD-FFBE-4574-940B-C554B4BC8F78}"/>
    <cellStyle name="Comma 4 2 2 5 9 3" xfId="21504" xr:uid="{18EB4FD6-4D16-49A8-B218-0371003DDE8C}"/>
    <cellStyle name="Comma 4 2 2 5 9 4" xfId="29951" xr:uid="{3D7C520E-1EB3-4B2A-94DC-489E721023A4}"/>
    <cellStyle name="Comma 4 2 3" xfId="136" xr:uid="{00000000-0005-0000-0000-000058080000}"/>
    <cellStyle name="Comma 4 2 3 10" xfId="2768" xr:uid="{00000000-0005-0000-0000-000059080000}"/>
    <cellStyle name="Comma 4 2 3 10 2" xfId="6991" xr:uid="{00000000-0005-0000-0000-00005A080000}"/>
    <cellStyle name="Comma 4 2 3 10 2 2" xfId="15441" xr:uid="{8D9CD942-6F4B-4CD7-A404-4824CBAE16F1}"/>
    <cellStyle name="Comma 4 2 3 10 2 3" xfId="23888" xr:uid="{FC0D0FDF-2CD4-46E5-8EAF-08B64657E4BE}"/>
    <cellStyle name="Comma 4 2 3 10 2 4" xfId="32335" xr:uid="{1012815A-4859-45C5-B1EB-E1ABDD3047C2}"/>
    <cellStyle name="Comma 4 2 3 10 3" xfId="11223" xr:uid="{CF2704BE-8142-4B2A-BFF6-1BA6E067F18A}"/>
    <cellStyle name="Comma 4 2 3 10 4" xfId="19671" xr:uid="{41A96369-F606-412A-B8A9-B1E7F3C95E20}"/>
    <cellStyle name="Comma 4 2 3 10 5" xfId="28118" xr:uid="{4CC3508D-840E-4D1E-ADB7-EE654E01FCED}"/>
    <cellStyle name="Comma 4 2 3 11" xfId="4608" xr:uid="{00000000-0005-0000-0000-00005B080000}"/>
    <cellStyle name="Comma 4 2 3 11 2" xfId="13058" xr:uid="{18B8AE49-3C81-4FA1-8B21-912446A040FB}"/>
    <cellStyle name="Comma 4 2 3 11 3" xfId="21505" xr:uid="{3E4EBB82-7883-450C-922D-F6AEDA3A037F}"/>
    <cellStyle name="Comma 4 2 3 11 4" xfId="29952" xr:uid="{1D1D4098-9915-48DD-885E-6F92C6011D38}"/>
    <cellStyle name="Comma 4 2 3 12" xfId="8840" xr:uid="{F09AEEC3-5512-43FA-BA32-A55B0198372A}"/>
    <cellStyle name="Comma 4 2 3 13" xfId="17288" xr:uid="{E76CC165-5A85-4A19-8315-FF3A7C656161}"/>
    <cellStyle name="Comma 4 2 3 14" xfId="25735" xr:uid="{A880AE65-BBD8-4516-B9E0-554B41E8C00D}"/>
    <cellStyle name="Comma 4 2 3 2" xfId="137" xr:uid="{00000000-0005-0000-0000-00005C080000}"/>
    <cellStyle name="Comma 4 2 3 2 10" xfId="4609" xr:uid="{00000000-0005-0000-0000-00005D080000}"/>
    <cellStyle name="Comma 4 2 3 2 10 2" xfId="13059" xr:uid="{D342B4AC-8013-42B6-BF54-142334A8881D}"/>
    <cellStyle name="Comma 4 2 3 2 10 3" xfId="21506" xr:uid="{168D0E13-D56E-47B2-A3C5-7A1DCD6BB437}"/>
    <cellStyle name="Comma 4 2 3 2 10 4" xfId="29953" xr:uid="{8A71F76B-8BAA-4D69-9C37-05C90479E283}"/>
    <cellStyle name="Comma 4 2 3 2 11" xfId="8841" xr:uid="{88679E04-354D-4DEE-8584-BB85F98EFABA}"/>
    <cellStyle name="Comma 4 2 3 2 12" xfId="17289" xr:uid="{0921ED82-C7DE-497B-AEEC-54B60B6ECAF3}"/>
    <cellStyle name="Comma 4 2 3 2 13" xfId="25736" xr:uid="{16BDE42B-C9DF-49B1-AAD7-DB3C580A19BF}"/>
    <cellStyle name="Comma 4 2 3 2 2" xfId="138" xr:uid="{00000000-0005-0000-0000-00005E080000}"/>
    <cellStyle name="Comma 4 2 3 2 2 10" xfId="8842" xr:uid="{0ED5D7BB-7217-48ED-9ED5-09F32C567AAC}"/>
    <cellStyle name="Comma 4 2 3 2 2 11" xfId="17290" xr:uid="{A60A1CA2-831B-4DFF-B0D9-CE21B9F217E1}"/>
    <cellStyle name="Comma 4 2 3 2 2 12" xfId="25737" xr:uid="{1D476B72-DC4D-4D3B-BF1F-9022DF6ECBD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503FB568-FF57-4502-ACF0-1C0DD591E9E9}"/>
    <cellStyle name="Comma 4 2 3 2 2 2 2 2 3" xfId="24066" xr:uid="{B962CED7-90B1-404C-A633-4D81C76FB5DA}"/>
    <cellStyle name="Comma 4 2 3 2 2 2 2 2 4" xfId="32513" xr:uid="{92FB5B78-D113-4B15-ABD7-263D5A96054E}"/>
    <cellStyle name="Comma 4 2 3 2 2 2 2 3" xfId="11401" xr:uid="{86C7120C-92A0-41C1-9FFF-C887232C409E}"/>
    <cellStyle name="Comma 4 2 3 2 2 2 2 4" xfId="19849" xr:uid="{1F220EE0-96F2-4166-9845-2D4C1CC27D8C}"/>
    <cellStyle name="Comma 4 2 3 2 2 2 2 5" xfId="28296" xr:uid="{BC069C68-A9CB-4C0C-8279-968AE7B6E5F4}"/>
    <cellStyle name="Comma 4 2 3 2 2 2 3" xfId="5024" xr:uid="{00000000-0005-0000-0000-000062080000}"/>
    <cellStyle name="Comma 4 2 3 2 2 2 3 2" xfId="13474" xr:uid="{FEB28E7D-AFA7-461A-AA6D-A40C690C0184}"/>
    <cellStyle name="Comma 4 2 3 2 2 2 3 3" xfId="21921" xr:uid="{F3BC0926-4B8C-4AA0-83D5-BDFE13D781D7}"/>
    <cellStyle name="Comma 4 2 3 2 2 2 3 4" xfId="30368" xr:uid="{207AD353-C834-40FC-9B7F-B255775BE1A4}"/>
    <cellStyle name="Comma 4 2 3 2 2 2 4" xfId="9256" xr:uid="{150A54B6-633E-4033-8283-A0CCC85F0B99}"/>
    <cellStyle name="Comma 4 2 3 2 2 2 5" xfId="17704" xr:uid="{0012D8D9-4226-4360-9FEE-4AAC8FB5AF0E}"/>
    <cellStyle name="Comma 4 2 3 2 2 2 6" xfId="26151" xr:uid="{1AA4244A-A557-40E6-8B53-96B34D262EA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09DA3D9C-C965-460E-A39C-8608BCB35B1C}"/>
    <cellStyle name="Comma 4 2 3 2 2 3 2 2 3" xfId="24479" xr:uid="{CA6A2A06-C340-4CC4-91AC-D9C674FA1D4F}"/>
    <cellStyle name="Comma 4 2 3 2 2 3 2 2 4" xfId="32926" xr:uid="{87E0D508-3ACB-407B-98D6-659DD916F332}"/>
    <cellStyle name="Comma 4 2 3 2 2 3 2 3" xfId="11814" xr:uid="{ECBF95F5-4C98-4C81-9208-0D6333DB43B8}"/>
    <cellStyle name="Comma 4 2 3 2 2 3 2 4" xfId="20262" xr:uid="{3A7F2A01-456C-4AB0-A3CB-52105D5F5319}"/>
    <cellStyle name="Comma 4 2 3 2 2 3 2 5" xfId="28709" xr:uid="{9879F203-29D6-4CDB-8EDF-4849082CB354}"/>
    <cellStyle name="Comma 4 2 3 2 2 3 3" xfId="5437" xr:uid="{00000000-0005-0000-0000-000066080000}"/>
    <cellStyle name="Comma 4 2 3 2 2 3 3 2" xfId="13887" xr:uid="{128DCB4B-E4A3-440D-8627-5772CB06685E}"/>
    <cellStyle name="Comma 4 2 3 2 2 3 3 3" xfId="22334" xr:uid="{B5944B6B-AB68-4655-8CF8-143FD0665A91}"/>
    <cellStyle name="Comma 4 2 3 2 2 3 3 4" xfId="30781" xr:uid="{D0E4F9C9-2A5C-41BB-B562-A40D25FF51CB}"/>
    <cellStyle name="Comma 4 2 3 2 2 3 4" xfId="9669" xr:uid="{1F312BCE-11A2-4019-B16D-D5BA25FE985E}"/>
    <cellStyle name="Comma 4 2 3 2 2 3 5" xfId="18117" xr:uid="{90400647-9F4F-4A17-93EA-4CC4D80BF3EF}"/>
    <cellStyle name="Comma 4 2 3 2 2 3 6" xfId="26564" xr:uid="{38E85450-FD40-4A55-897B-C8AD8CE4B94E}"/>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D0D689E9-F949-4337-B895-8F1E0981704E}"/>
    <cellStyle name="Comma 4 2 3 2 2 4 2 2 3" xfId="24892" xr:uid="{82947D59-CA16-4DFB-829B-FBE1A29FDC75}"/>
    <cellStyle name="Comma 4 2 3 2 2 4 2 2 4" xfId="33339" xr:uid="{4E52809E-FD8A-4007-96F7-2DE71A76F229}"/>
    <cellStyle name="Comma 4 2 3 2 2 4 2 3" xfId="12227" xr:uid="{AED50B59-B5FA-43CD-977B-2D4EC0669AF5}"/>
    <cellStyle name="Comma 4 2 3 2 2 4 2 4" xfId="20675" xr:uid="{220E917C-95FD-4767-8747-E01863BA197A}"/>
    <cellStyle name="Comma 4 2 3 2 2 4 2 5" xfId="29122" xr:uid="{5D3A7729-04A9-4AC9-A060-C130DE60FA26}"/>
    <cellStyle name="Comma 4 2 3 2 2 4 3" xfId="5850" xr:uid="{00000000-0005-0000-0000-00006A080000}"/>
    <cellStyle name="Comma 4 2 3 2 2 4 3 2" xfId="14300" xr:uid="{4B0DB807-DF99-4C78-92D6-ED8945C0D15D}"/>
    <cellStyle name="Comma 4 2 3 2 2 4 3 3" xfId="22747" xr:uid="{9D20F21B-F4F8-403E-A2F0-C23552CD2E87}"/>
    <cellStyle name="Comma 4 2 3 2 2 4 3 4" xfId="31194" xr:uid="{88103DC0-D1F5-4325-9460-D1FD42499BF9}"/>
    <cellStyle name="Comma 4 2 3 2 2 4 4" xfId="10082" xr:uid="{87208F66-1FAB-4E04-B5F7-A37370AA1ECA}"/>
    <cellStyle name="Comma 4 2 3 2 2 4 5" xfId="18530" xr:uid="{8F0CDA84-E199-4300-8D99-9BE156D9D667}"/>
    <cellStyle name="Comma 4 2 3 2 2 4 6" xfId="26977" xr:uid="{6F386591-8E1D-430E-AB2A-2C3EBEF9E7D5}"/>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1C0BB314-5A72-49E7-AECF-78267F9D11EE}"/>
    <cellStyle name="Comma 4 2 3 2 2 5 2 2 3" xfId="25305" xr:uid="{0A51EB3D-D49E-48EF-AC21-C7F4B27758F5}"/>
    <cellStyle name="Comma 4 2 3 2 2 5 2 2 4" xfId="33752" xr:uid="{3F6A50B7-7FC9-4094-807B-279553A0B93F}"/>
    <cellStyle name="Comma 4 2 3 2 2 5 2 3" xfId="12640" xr:uid="{AADCA648-55CB-445B-A57D-CB4C77E20568}"/>
    <cellStyle name="Comma 4 2 3 2 2 5 2 4" xfId="21088" xr:uid="{A1D9A081-F5EE-4164-9B8B-DC5071AEF3AE}"/>
    <cellStyle name="Comma 4 2 3 2 2 5 2 5" xfId="29535" xr:uid="{94CEF9E9-A903-4734-A2B2-0AC8CEB1A6B0}"/>
    <cellStyle name="Comma 4 2 3 2 2 5 3" xfId="6263" xr:uid="{00000000-0005-0000-0000-00006E080000}"/>
    <cellStyle name="Comma 4 2 3 2 2 5 3 2" xfId="14713" xr:uid="{6CF96C37-EBE0-4585-B3E9-36CB90AD02F2}"/>
    <cellStyle name="Comma 4 2 3 2 2 5 3 3" xfId="23160" xr:uid="{99B243B3-3E15-4C85-A34B-54D6728BDE4F}"/>
    <cellStyle name="Comma 4 2 3 2 2 5 3 4" xfId="31607" xr:uid="{60A0A243-9A9C-4B11-AC25-35B33FE91964}"/>
    <cellStyle name="Comma 4 2 3 2 2 5 4" xfId="10495" xr:uid="{32F29CB9-11F8-42A1-86A8-B90C15216D96}"/>
    <cellStyle name="Comma 4 2 3 2 2 5 5" xfId="18943" xr:uid="{7605A3B3-29AD-4746-8F3D-4824845E1CAC}"/>
    <cellStyle name="Comma 4 2 3 2 2 5 6" xfId="27390" xr:uid="{205743BC-CBD6-46B4-B316-5213142D477B}"/>
    <cellStyle name="Comma 4 2 3 2 2 6" xfId="2392" xr:uid="{00000000-0005-0000-0000-00006F080000}"/>
    <cellStyle name="Comma 4 2 3 2 2 6 2" xfId="6676" xr:uid="{00000000-0005-0000-0000-000070080000}"/>
    <cellStyle name="Comma 4 2 3 2 2 6 2 2" xfId="15126" xr:uid="{5350648A-F1D6-411B-9725-7635557A83E6}"/>
    <cellStyle name="Comma 4 2 3 2 2 6 2 3" xfId="23573" xr:uid="{7F8C7663-F778-476D-AAB9-FB5D8CE624F6}"/>
    <cellStyle name="Comma 4 2 3 2 2 6 2 4" xfId="32020" xr:uid="{F0033F47-C5B4-4BAC-A424-160475788403}"/>
    <cellStyle name="Comma 4 2 3 2 2 6 3" xfId="10908" xr:uid="{892CFBB8-214B-4414-A2F8-7D4B79F5BF25}"/>
    <cellStyle name="Comma 4 2 3 2 2 6 4" xfId="19356" xr:uid="{B2CD7E38-7FCF-4EC7-AC1C-BA3B4C3652D3}"/>
    <cellStyle name="Comma 4 2 3 2 2 6 5" xfId="27803" xr:uid="{77974C97-E5DE-4B34-94D6-FF4F045F82A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57875293-B033-4B7A-9926-4018BD9194B2}"/>
    <cellStyle name="Comma 4 2 3 2 2 8 2 3" xfId="23890" xr:uid="{F9329010-92F3-4F66-9FF8-F28F7BFAC02A}"/>
    <cellStyle name="Comma 4 2 3 2 2 8 2 4" xfId="32337" xr:uid="{2E55300A-D58D-4DB2-8EE6-7D3BC65E0E3D}"/>
    <cellStyle name="Comma 4 2 3 2 2 8 3" xfId="11225" xr:uid="{E991EFF1-CD91-4F43-9A5C-10BB531DBD7F}"/>
    <cellStyle name="Comma 4 2 3 2 2 8 4" xfId="19673" xr:uid="{A6AF1943-E50E-47B0-A190-9208F2696C46}"/>
    <cellStyle name="Comma 4 2 3 2 2 8 5" xfId="28120" xr:uid="{71508F7B-A930-49A2-843F-CAE7486BA5C3}"/>
    <cellStyle name="Comma 4 2 3 2 2 9" xfId="4610" xr:uid="{00000000-0005-0000-0000-000074080000}"/>
    <cellStyle name="Comma 4 2 3 2 2 9 2" xfId="13060" xr:uid="{5C93B1DB-78F6-46EA-9AE8-519DE275F954}"/>
    <cellStyle name="Comma 4 2 3 2 2 9 3" xfId="21507" xr:uid="{46BF7042-E8CB-4AE5-9B83-71EF93F43114}"/>
    <cellStyle name="Comma 4 2 3 2 2 9 4" xfId="29954" xr:uid="{5D8975FA-9E60-4FF6-9C24-63EF3DD874F3}"/>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ACBEF509-2E74-49E0-A64F-47D4C26312A1}"/>
    <cellStyle name="Comma 4 2 3 2 3 2 2 3" xfId="24065" xr:uid="{1A86D6DE-3DFA-42A6-8013-8D6EBD40F3A6}"/>
    <cellStyle name="Comma 4 2 3 2 3 2 2 4" xfId="32512" xr:uid="{B93D0361-13A0-4D58-B8D8-B9E345DD3BFD}"/>
    <cellStyle name="Comma 4 2 3 2 3 2 3" xfId="11400" xr:uid="{A7413051-F9B4-4EB4-AD0C-E3465A858EC0}"/>
    <cellStyle name="Comma 4 2 3 2 3 2 4" xfId="19848" xr:uid="{25FB536A-21B5-4F80-A87F-7110A7AACFEB}"/>
    <cellStyle name="Comma 4 2 3 2 3 2 5" xfId="28295" xr:uid="{1949275F-7089-4544-8C06-007C7CE239E2}"/>
    <cellStyle name="Comma 4 2 3 2 3 3" xfId="5023" xr:uid="{00000000-0005-0000-0000-000078080000}"/>
    <cellStyle name="Comma 4 2 3 2 3 3 2" xfId="13473" xr:uid="{3C79983D-64CE-4C94-B1A5-22B761C03B0D}"/>
    <cellStyle name="Comma 4 2 3 2 3 3 3" xfId="21920" xr:uid="{ABE0A242-9C40-43E1-9682-24A404A3ACDA}"/>
    <cellStyle name="Comma 4 2 3 2 3 3 4" xfId="30367" xr:uid="{66EB7EF4-B668-4969-9C99-5B4201921B06}"/>
    <cellStyle name="Comma 4 2 3 2 3 4" xfId="9255" xr:uid="{E97EB46E-3921-49E1-8B35-B2FFFFCB76A3}"/>
    <cellStyle name="Comma 4 2 3 2 3 5" xfId="17703" xr:uid="{0C0656F3-D9FD-4607-890C-A0DD5A7DC888}"/>
    <cellStyle name="Comma 4 2 3 2 3 6" xfId="26150" xr:uid="{180C467C-FF85-41CF-B91D-A73D19B185F2}"/>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1D692731-A30F-46A6-A553-AEBE8388EC9B}"/>
    <cellStyle name="Comma 4 2 3 2 4 2 2 3" xfId="24478" xr:uid="{7147F634-91BB-4BE1-B4BC-E1081C33A2C4}"/>
    <cellStyle name="Comma 4 2 3 2 4 2 2 4" xfId="32925" xr:uid="{605304F8-17B7-49B0-B110-185B583E79C6}"/>
    <cellStyle name="Comma 4 2 3 2 4 2 3" xfId="11813" xr:uid="{9E83DE11-5CC1-4E87-8743-A3B82034A063}"/>
    <cellStyle name="Comma 4 2 3 2 4 2 4" xfId="20261" xr:uid="{93612605-9153-4CFF-A327-8304BC59CFAF}"/>
    <cellStyle name="Comma 4 2 3 2 4 2 5" xfId="28708" xr:uid="{183285AA-5586-44A1-8AA5-E8A2AE9C78C8}"/>
    <cellStyle name="Comma 4 2 3 2 4 3" xfId="5436" xr:uid="{00000000-0005-0000-0000-00007C080000}"/>
    <cellStyle name="Comma 4 2 3 2 4 3 2" xfId="13886" xr:uid="{3C07369C-F646-4C24-BB1F-A6FA9DDEFE29}"/>
    <cellStyle name="Comma 4 2 3 2 4 3 3" xfId="22333" xr:uid="{F91A7A6D-FA47-461A-9668-2DC3F7127533}"/>
    <cellStyle name="Comma 4 2 3 2 4 3 4" xfId="30780" xr:uid="{13B38550-CDDC-4C9D-BF64-6259DE554EED}"/>
    <cellStyle name="Comma 4 2 3 2 4 4" xfId="9668" xr:uid="{494529D1-0468-4B29-9E3E-94864C3C9C16}"/>
    <cellStyle name="Comma 4 2 3 2 4 5" xfId="18116" xr:uid="{02140F13-B550-4D66-98D7-371E48C3218B}"/>
    <cellStyle name="Comma 4 2 3 2 4 6" xfId="26563" xr:uid="{51E976C9-4CBA-42C6-B19B-0EBF30D453A4}"/>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2BEF5253-A415-47BC-A92C-D97E162AE615}"/>
    <cellStyle name="Comma 4 2 3 2 5 2 2 3" xfId="24891" xr:uid="{6FF51454-B1D6-4B49-A918-CCC9CC9D3EF0}"/>
    <cellStyle name="Comma 4 2 3 2 5 2 2 4" xfId="33338" xr:uid="{E883AC19-8772-4744-B155-9F965FA20E92}"/>
    <cellStyle name="Comma 4 2 3 2 5 2 3" xfId="12226" xr:uid="{184B6B91-D3DE-4D43-87B5-84F79D3B4408}"/>
    <cellStyle name="Comma 4 2 3 2 5 2 4" xfId="20674" xr:uid="{A4DC5923-8B6F-4615-BD92-8DE0A8C08AA4}"/>
    <cellStyle name="Comma 4 2 3 2 5 2 5" xfId="29121" xr:uid="{436F8814-B1E8-443F-93BE-7E3A8214FB96}"/>
    <cellStyle name="Comma 4 2 3 2 5 3" xfId="5849" xr:uid="{00000000-0005-0000-0000-000080080000}"/>
    <cellStyle name="Comma 4 2 3 2 5 3 2" xfId="14299" xr:uid="{1E5A61DA-4EDE-4A77-98BB-27754E1F04DB}"/>
    <cellStyle name="Comma 4 2 3 2 5 3 3" xfId="22746" xr:uid="{B1D11E29-E4E9-4F9E-98AD-D4FB42CCDB71}"/>
    <cellStyle name="Comma 4 2 3 2 5 3 4" xfId="31193" xr:uid="{B7C66049-7619-4AFC-8161-F20731A3BA2C}"/>
    <cellStyle name="Comma 4 2 3 2 5 4" xfId="10081" xr:uid="{7C6AFCA7-AFF6-405C-B963-6FB6604AB31A}"/>
    <cellStyle name="Comma 4 2 3 2 5 5" xfId="18529" xr:uid="{316CF4E3-0C1B-4805-8DCE-EF70D2B0D3C1}"/>
    <cellStyle name="Comma 4 2 3 2 5 6" xfId="26976" xr:uid="{16895C2A-37BD-4458-A489-599AE14C82DE}"/>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2AE90D4A-7632-4B90-8C8A-2A5C2F9D1237}"/>
    <cellStyle name="Comma 4 2 3 2 6 2 2 3" xfId="25304" xr:uid="{8D2A1CE1-56F1-4EFA-B4AA-6A7591C93FD7}"/>
    <cellStyle name="Comma 4 2 3 2 6 2 2 4" xfId="33751" xr:uid="{CF233091-E4EF-4690-A82D-7CC8059A8B0A}"/>
    <cellStyle name="Comma 4 2 3 2 6 2 3" xfId="12639" xr:uid="{BFD60E18-268D-406D-85E2-9EE2EDA69CF6}"/>
    <cellStyle name="Comma 4 2 3 2 6 2 4" xfId="21087" xr:uid="{7C04BCD5-9619-4984-B189-4BDA702E3A3D}"/>
    <cellStyle name="Comma 4 2 3 2 6 2 5" xfId="29534" xr:uid="{02DCC887-BA4B-428A-AE87-1DEF0ECA924F}"/>
    <cellStyle name="Comma 4 2 3 2 6 3" xfId="6262" xr:uid="{00000000-0005-0000-0000-000084080000}"/>
    <cellStyle name="Comma 4 2 3 2 6 3 2" xfId="14712" xr:uid="{C756A6D5-E4FA-4AC9-9A0D-6DA159606D48}"/>
    <cellStyle name="Comma 4 2 3 2 6 3 3" xfId="23159" xr:uid="{4399829C-CAB2-4AA8-947B-7A73C0FC0528}"/>
    <cellStyle name="Comma 4 2 3 2 6 3 4" xfId="31606" xr:uid="{EBC0CDF9-CF2C-4869-AF48-12282ED02F7C}"/>
    <cellStyle name="Comma 4 2 3 2 6 4" xfId="10494" xr:uid="{6F55B973-5BE3-42F6-871B-6524425E3C20}"/>
    <cellStyle name="Comma 4 2 3 2 6 5" xfId="18942" xr:uid="{EBD6569C-EFD8-4C5B-B97A-BC80B11D5ACF}"/>
    <cellStyle name="Comma 4 2 3 2 6 6" xfId="27389" xr:uid="{304AF208-B5F0-4D4B-B48A-1F6718DF6B9C}"/>
    <cellStyle name="Comma 4 2 3 2 7" xfId="2391" xr:uid="{00000000-0005-0000-0000-000085080000}"/>
    <cellStyle name="Comma 4 2 3 2 7 2" xfId="6675" xr:uid="{00000000-0005-0000-0000-000086080000}"/>
    <cellStyle name="Comma 4 2 3 2 7 2 2" xfId="15125" xr:uid="{ED15ABA4-FB0F-4A4B-AA8A-2DF53DCA66B9}"/>
    <cellStyle name="Comma 4 2 3 2 7 2 3" xfId="23572" xr:uid="{D53893D8-BBF5-474C-B244-910F8A156938}"/>
    <cellStyle name="Comma 4 2 3 2 7 2 4" xfId="32019" xr:uid="{C9002DF7-EE96-4B2B-953A-4EDC83120374}"/>
    <cellStyle name="Comma 4 2 3 2 7 3" xfId="10907" xr:uid="{954405E5-EDA0-496C-B0C0-848B020F42EF}"/>
    <cellStyle name="Comma 4 2 3 2 7 4" xfId="19355" xr:uid="{5A27848F-FD87-4608-8219-119E81A483A1}"/>
    <cellStyle name="Comma 4 2 3 2 7 5" xfId="27802" xr:uid="{21987AC7-4098-4F12-BF91-B5805F4A200C}"/>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71057DDE-FF0A-40CB-BDB8-8DFA32C8D659}"/>
    <cellStyle name="Comma 4 2 3 2 9 2 3" xfId="23889" xr:uid="{2449B23C-9F20-450A-AF7D-20BFDE4D7EE1}"/>
    <cellStyle name="Comma 4 2 3 2 9 2 4" xfId="32336" xr:uid="{B1D935D4-6A58-43BA-A2E2-FBBD75A0F247}"/>
    <cellStyle name="Comma 4 2 3 2 9 3" xfId="11224" xr:uid="{AF02BDBE-1D25-4DC0-95AA-9E8CBB605B5A}"/>
    <cellStyle name="Comma 4 2 3 2 9 4" xfId="19672" xr:uid="{34851309-6479-4242-8314-128FF1C91AF2}"/>
    <cellStyle name="Comma 4 2 3 2 9 5" xfId="28119" xr:uid="{DF8B988C-A249-4939-B864-9781FA7C6D8C}"/>
    <cellStyle name="Comma 4 2 3 3" xfId="139" xr:uid="{00000000-0005-0000-0000-00008A080000}"/>
    <cellStyle name="Comma 4 2 3 3 10" xfId="8843" xr:uid="{D4EBDE6B-125F-477B-8B94-7B3C6BFA62B2}"/>
    <cellStyle name="Comma 4 2 3 3 11" xfId="17291" xr:uid="{74D7E361-14F5-4FBA-80C6-4216898AB5F6}"/>
    <cellStyle name="Comma 4 2 3 3 12" xfId="25738" xr:uid="{B5A21838-8B09-4C03-A47B-4116A00D95F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D3FD04B8-6991-43C2-B7EA-C59630649D35}"/>
    <cellStyle name="Comma 4 2 3 3 2 2 2 3" xfId="24067" xr:uid="{C045AA12-CF8B-4DFF-ADE5-4AD88A10E5DF}"/>
    <cellStyle name="Comma 4 2 3 3 2 2 2 4" xfId="32514" xr:uid="{CEAAB5E1-4E49-422E-BC34-9E21E0C2D0A9}"/>
    <cellStyle name="Comma 4 2 3 3 2 2 3" xfId="11402" xr:uid="{9A75F23E-6500-44C2-9153-5AAA6CB13ADF}"/>
    <cellStyle name="Comma 4 2 3 3 2 2 4" xfId="19850" xr:uid="{083BAFB4-EC61-419C-8F6C-38E1D1AD0030}"/>
    <cellStyle name="Comma 4 2 3 3 2 2 5" xfId="28297" xr:uid="{B982F572-5C4B-435D-82C9-3A40A9202135}"/>
    <cellStyle name="Comma 4 2 3 3 2 3" xfId="5025" xr:uid="{00000000-0005-0000-0000-00008E080000}"/>
    <cellStyle name="Comma 4 2 3 3 2 3 2" xfId="13475" xr:uid="{8D8872DD-E410-43D1-AAF0-EE5B38A94E78}"/>
    <cellStyle name="Comma 4 2 3 3 2 3 3" xfId="21922" xr:uid="{FA00E5CE-F7F2-4557-B9AB-FEFB6CB787F1}"/>
    <cellStyle name="Comma 4 2 3 3 2 3 4" xfId="30369" xr:uid="{BE478DC8-22AD-4208-BF5B-0EF43DA826AB}"/>
    <cellStyle name="Comma 4 2 3 3 2 4" xfId="9257" xr:uid="{615987C9-01AB-4AE8-854B-5ADC98B33E05}"/>
    <cellStyle name="Comma 4 2 3 3 2 5" xfId="17705" xr:uid="{DE1849D8-AF5D-411B-92EA-7BBCE4613FE7}"/>
    <cellStyle name="Comma 4 2 3 3 2 6" xfId="26152" xr:uid="{9593A2F3-4B77-4BBE-B4BE-1A8D7878372F}"/>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911E6553-5A71-4005-934C-297B0A0566C4}"/>
    <cellStyle name="Comma 4 2 3 3 3 2 2 3" xfId="24480" xr:uid="{FB8F8D81-5732-4488-A058-DB6C5A3E4252}"/>
    <cellStyle name="Comma 4 2 3 3 3 2 2 4" xfId="32927" xr:uid="{DD0204C2-C323-4C3A-AF29-0CB812373F1E}"/>
    <cellStyle name="Comma 4 2 3 3 3 2 3" xfId="11815" xr:uid="{A09FE5D7-AD56-4FDA-9068-61C26C6324AC}"/>
    <cellStyle name="Comma 4 2 3 3 3 2 4" xfId="20263" xr:uid="{13759D55-8BCB-4C52-B3DB-CE989613B9B9}"/>
    <cellStyle name="Comma 4 2 3 3 3 2 5" xfId="28710" xr:uid="{2E4D338F-A1B3-4D9F-81DA-D09B013FC4F1}"/>
    <cellStyle name="Comma 4 2 3 3 3 3" xfId="5438" xr:uid="{00000000-0005-0000-0000-000092080000}"/>
    <cellStyle name="Comma 4 2 3 3 3 3 2" xfId="13888" xr:uid="{8D935683-B97E-4FFF-8896-264EEDC40C57}"/>
    <cellStyle name="Comma 4 2 3 3 3 3 3" xfId="22335" xr:uid="{5F707D31-F817-40A7-8069-EAFA033A6C05}"/>
    <cellStyle name="Comma 4 2 3 3 3 3 4" xfId="30782" xr:uid="{DE4D59D3-ECFF-4473-8533-3A07D776EB07}"/>
    <cellStyle name="Comma 4 2 3 3 3 4" xfId="9670" xr:uid="{025C5F67-24DB-436A-AE10-271AA1940CD0}"/>
    <cellStyle name="Comma 4 2 3 3 3 5" xfId="18118" xr:uid="{979EB481-27FA-4C2A-B389-E6DEF63A4E4A}"/>
    <cellStyle name="Comma 4 2 3 3 3 6" xfId="26565" xr:uid="{14DDD8DA-6617-4D2B-982C-F3B2C6CB3829}"/>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3D738A11-0223-4295-A4BD-F5D8978EC90E}"/>
    <cellStyle name="Comma 4 2 3 3 4 2 2 3" xfId="24893" xr:uid="{86322F64-4E63-434F-A090-2A0AF95F76FE}"/>
    <cellStyle name="Comma 4 2 3 3 4 2 2 4" xfId="33340" xr:uid="{24F9E175-46FA-46D5-8FCB-3CFA5C7E8598}"/>
    <cellStyle name="Comma 4 2 3 3 4 2 3" xfId="12228" xr:uid="{F7CD3B8E-2DDB-4061-8DBE-DEF7A221F2A4}"/>
    <cellStyle name="Comma 4 2 3 3 4 2 4" xfId="20676" xr:uid="{8D941699-EF6E-45C4-A075-0E181E3F00C8}"/>
    <cellStyle name="Comma 4 2 3 3 4 2 5" xfId="29123" xr:uid="{326E0EEC-A995-4CD9-B505-38C1E62700E0}"/>
    <cellStyle name="Comma 4 2 3 3 4 3" xfId="5851" xr:uid="{00000000-0005-0000-0000-000096080000}"/>
    <cellStyle name="Comma 4 2 3 3 4 3 2" xfId="14301" xr:uid="{741DFFDD-0A2E-4A24-8164-AC3D28FFA8BB}"/>
    <cellStyle name="Comma 4 2 3 3 4 3 3" xfId="22748" xr:uid="{A790AA27-FDE2-4240-B03A-5D43EA170B58}"/>
    <cellStyle name="Comma 4 2 3 3 4 3 4" xfId="31195" xr:uid="{17400E0C-B94C-46AD-8C7A-853183DBD981}"/>
    <cellStyle name="Comma 4 2 3 3 4 4" xfId="10083" xr:uid="{DA091765-8424-4606-A0C1-59EABAB4FE54}"/>
    <cellStyle name="Comma 4 2 3 3 4 5" xfId="18531" xr:uid="{F756F20A-D022-458C-9E85-9CFBA0536BE2}"/>
    <cellStyle name="Comma 4 2 3 3 4 6" xfId="26978" xr:uid="{3610C1D1-36C3-4C59-93CC-74E5D5D58015}"/>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C62B17DE-94A3-4B9C-BB2B-5EDA68E8802F}"/>
    <cellStyle name="Comma 4 2 3 3 5 2 2 3" xfId="25306" xr:uid="{C362C9E7-29E1-47A9-B785-0B6B5EBA046C}"/>
    <cellStyle name="Comma 4 2 3 3 5 2 2 4" xfId="33753" xr:uid="{AD948A29-89C8-4202-B335-F1D6EDD7AA43}"/>
    <cellStyle name="Comma 4 2 3 3 5 2 3" xfId="12641" xr:uid="{DF205A08-3DE0-4722-A9E9-065EFF43FCA4}"/>
    <cellStyle name="Comma 4 2 3 3 5 2 4" xfId="21089" xr:uid="{9E29A645-6505-4620-8C46-2BED2B74381D}"/>
    <cellStyle name="Comma 4 2 3 3 5 2 5" xfId="29536" xr:uid="{DF8A3177-9DC9-4F36-BE7C-C6A50F626869}"/>
    <cellStyle name="Comma 4 2 3 3 5 3" xfId="6264" xr:uid="{00000000-0005-0000-0000-00009A080000}"/>
    <cellStyle name="Comma 4 2 3 3 5 3 2" xfId="14714" xr:uid="{12804D4B-4920-4860-AAEA-7A3C568BD8C7}"/>
    <cellStyle name="Comma 4 2 3 3 5 3 3" xfId="23161" xr:uid="{E9D48163-7875-40CC-B8FF-953FD5B8A2C5}"/>
    <cellStyle name="Comma 4 2 3 3 5 3 4" xfId="31608" xr:uid="{D894D1D1-5FBC-4FE9-8A16-4A7F7146C766}"/>
    <cellStyle name="Comma 4 2 3 3 5 4" xfId="10496" xr:uid="{DCF276DC-D54F-4F18-9966-20834488DDDE}"/>
    <cellStyle name="Comma 4 2 3 3 5 5" xfId="18944" xr:uid="{CEB0D02E-EBAA-4FC2-9EF6-51B3AA741710}"/>
    <cellStyle name="Comma 4 2 3 3 5 6" xfId="27391" xr:uid="{EF4D3486-8133-47E8-ABA2-7B70EF10C5F4}"/>
    <cellStyle name="Comma 4 2 3 3 6" xfId="2393" xr:uid="{00000000-0005-0000-0000-00009B080000}"/>
    <cellStyle name="Comma 4 2 3 3 6 2" xfId="6677" xr:uid="{00000000-0005-0000-0000-00009C080000}"/>
    <cellStyle name="Comma 4 2 3 3 6 2 2" xfId="15127" xr:uid="{DBBB12D8-929D-4BFD-A39E-231484E67210}"/>
    <cellStyle name="Comma 4 2 3 3 6 2 3" xfId="23574" xr:uid="{9A439A74-4501-4F36-BEC6-DAED632B655E}"/>
    <cellStyle name="Comma 4 2 3 3 6 2 4" xfId="32021" xr:uid="{1C196809-BEE6-4935-B53B-CB825771FD5C}"/>
    <cellStyle name="Comma 4 2 3 3 6 3" xfId="10909" xr:uid="{6471BE23-0D81-46B5-B966-7D6BAD88E814}"/>
    <cellStyle name="Comma 4 2 3 3 6 4" xfId="19357" xr:uid="{41FA6974-2037-42F5-A0DB-9DA026859AD4}"/>
    <cellStyle name="Comma 4 2 3 3 6 5" xfId="27804" xr:uid="{EFDBF61C-8446-4744-AB1F-45795CE33072}"/>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0F59B4B0-0E1E-42AE-AF12-BAD8C1151490}"/>
    <cellStyle name="Comma 4 2 3 3 8 2 3" xfId="23891" xr:uid="{77712FD2-582A-4085-A6FF-A3BE2337C00B}"/>
    <cellStyle name="Comma 4 2 3 3 8 2 4" xfId="32338" xr:uid="{466271F3-373E-4F13-A938-8863AC439CDD}"/>
    <cellStyle name="Comma 4 2 3 3 8 3" xfId="11226" xr:uid="{5E509333-37C8-447E-B4EA-4FD9F8744438}"/>
    <cellStyle name="Comma 4 2 3 3 8 4" xfId="19674" xr:uid="{113FA72E-1262-425C-919B-21FE9A2F5A05}"/>
    <cellStyle name="Comma 4 2 3 3 8 5" xfId="28121" xr:uid="{078B5C2E-6F57-4C61-A43B-7DBE266C93A8}"/>
    <cellStyle name="Comma 4 2 3 3 9" xfId="4611" xr:uid="{00000000-0005-0000-0000-0000A0080000}"/>
    <cellStyle name="Comma 4 2 3 3 9 2" xfId="13061" xr:uid="{00D23BBF-0A6E-41E7-A846-4873555E008E}"/>
    <cellStyle name="Comma 4 2 3 3 9 3" xfId="21508" xr:uid="{83FD61FF-E36B-4B0B-8CC1-E46C64686ACB}"/>
    <cellStyle name="Comma 4 2 3 3 9 4" xfId="29955" xr:uid="{5BEC2786-B62B-41EF-B8C6-732ADAABAEE8}"/>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C92BD132-F4BD-4CE9-ACFE-2EB3C163972E}"/>
    <cellStyle name="Comma 4 2 3 4 2 2 3" xfId="24064" xr:uid="{C61A54C9-54AD-4B8B-9B22-440FD408C05F}"/>
    <cellStyle name="Comma 4 2 3 4 2 2 4" xfId="32511" xr:uid="{065892D1-53CE-442C-A90F-3E8BD465F138}"/>
    <cellStyle name="Comma 4 2 3 4 2 3" xfId="11399" xr:uid="{E0419D2B-2426-4639-8A03-57B01AB03B5F}"/>
    <cellStyle name="Comma 4 2 3 4 2 4" xfId="19847" xr:uid="{B8392A81-7F5B-4B2E-B891-65C71A1FEB15}"/>
    <cellStyle name="Comma 4 2 3 4 2 5" xfId="28294" xr:uid="{AC2D54E1-202C-4523-B18A-821AEE94ADED}"/>
    <cellStyle name="Comma 4 2 3 4 3" xfId="5022" xr:uid="{00000000-0005-0000-0000-0000A4080000}"/>
    <cellStyle name="Comma 4 2 3 4 3 2" xfId="13472" xr:uid="{C8B8ED0A-3C06-4404-9738-639AF2A30D68}"/>
    <cellStyle name="Comma 4 2 3 4 3 3" xfId="21919" xr:uid="{D40EF881-84CB-4C4B-9F20-B45D96280D4E}"/>
    <cellStyle name="Comma 4 2 3 4 3 4" xfId="30366" xr:uid="{9EA853FA-11B6-4A69-AB4D-D5D5028D7C05}"/>
    <cellStyle name="Comma 4 2 3 4 4" xfId="9254" xr:uid="{5F215A6D-BA14-44EC-91FD-CE416602677E}"/>
    <cellStyle name="Comma 4 2 3 4 5" xfId="17702" xr:uid="{869A112D-75F9-433E-8EB2-EDF25145261D}"/>
    <cellStyle name="Comma 4 2 3 4 6" xfId="26149" xr:uid="{8DCB6D77-39D9-4EE7-898C-C80E25F6AB34}"/>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119A260E-A511-46F5-A833-5352FF1FA278}"/>
    <cellStyle name="Comma 4 2 3 5 2 2 3" xfId="24477" xr:uid="{C37A010B-E6C3-4076-AD0F-61AA634C2F42}"/>
    <cellStyle name="Comma 4 2 3 5 2 2 4" xfId="32924" xr:uid="{98782100-4477-45DB-A93E-A83C1812B319}"/>
    <cellStyle name="Comma 4 2 3 5 2 3" xfId="11812" xr:uid="{78006D7C-0CF1-4CE8-A3C8-6F3C95A702E4}"/>
    <cellStyle name="Comma 4 2 3 5 2 4" xfId="20260" xr:uid="{A541890A-6686-4605-80FA-A74446FE2C5F}"/>
    <cellStyle name="Comma 4 2 3 5 2 5" xfId="28707" xr:uid="{44617E7E-CCCE-45EF-AB2F-C33188F2EC07}"/>
    <cellStyle name="Comma 4 2 3 5 3" xfId="5435" xr:uid="{00000000-0005-0000-0000-0000A8080000}"/>
    <cellStyle name="Comma 4 2 3 5 3 2" xfId="13885" xr:uid="{FE93DDB2-7BDE-4CED-947D-4319A4DAA50E}"/>
    <cellStyle name="Comma 4 2 3 5 3 3" xfId="22332" xr:uid="{F9E75F7F-5AF0-4427-94D9-92F3D7AD8BD3}"/>
    <cellStyle name="Comma 4 2 3 5 3 4" xfId="30779" xr:uid="{796F1C40-2AAB-4F2F-BEF1-91788A2AE0F5}"/>
    <cellStyle name="Comma 4 2 3 5 4" xfId="9667" xr:uid="{517626B3-801D-4A76-8963-16DE7F4039B5}"/>
    <cellStyle name="Comma 4 2 3 5 5" xfId="18115" xr:uid="{358CC3DD-5665-4F4C-BD4F-CF805D0C79C0}"/>
    <cellStyle name="Comma 4 2 3 5 6" xfId="26562" xr:uid="{60CF5865-F8E8-405C-A90C-3743305640BE}"/>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6CBCBC06-CF4C-4AFE-94FA-A0238132A850}"/>
    <cellStyle name="Comma 4 2 3 6 2 2 3" xfId="24890" xr:uid="{7163DD25-5577-4B8C-AEED-21F42EB22D31}"/>
    <cellStyle name="Comma 4 2 3 6 2 2 4" xfId="33337" xr:uid="{0F8D6425-9BFE-43C6-9E22-E753315EBA22}"/>
    <cellStyle name="Comma 4 2 3 6 2 3" xfId="12225" xr:uid="{0FA3817E-0B1F-409C-BE18-3E9839577DC2}"/>
    <cellStyle name="Comma 4 2 3 6 2 4" xfId="20673" xr:uid="{FCA963F4-D9B2-4311-91C3-A59AB1B735E3}"/>
    <cellStyle name="Comma 4 2 3 6 2 5" xfId="29120" xr:uid="{C2FAE030-7825-4486-938E-AA519B277356}"/>
    <cellStyle name="Comma 4 2 3 6 3" xfId="5848" xr:uid="{00000000-0005-0000-0000-0000AC080000}"/>
    <cellStyle name="Comma 4 2 3 6 3 2" xfId="14298" xr:uid="{5B1B35A5-9416-4E01-9187-6ECFBD4CECC1}"/>
    <cellStyle name="Comma 4 2 3 6 3 3" xfId="22745" xr:uid="{3DC33207-1B82-4536-B157-0300EA6C9F3F}"/>
    <cellStyle name="Comma 4 2 3 6 3 4" xfId="31192" xr:uid="{F88FBC40-AEA0-4F0B-9C3C-3006D2EAD8B3}"/>
    <cellStyle name="Comma 4 2 3 6 4" xfId="10080" xr:uid="{78CE431A-FA1B-4146-A9B4-F8EA5EDDD961}"/>
    <cellStyle name="Comma 4 2 3 6 5" xfId="18528" xr:uid="{296428ED-9686-400B-949F-D74AC9CCEFE7}"/>
    <cellStyle name="Comma 4 2 3 6 6" xfId="26975" xr:uid="{7216B542-A970-4B98-9627-25955D1FF414}"/>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2B9D8670-7095-4BF0-86B9-712C129A42F8}"/>
    <cellStyle name="Comma 4 2 3 7 2 2 3" xfId="25303" xr:uid="{29DD26CA-CA4D-4F99-B056-761D3F7285B4}"/>
    <cellStyle name="Comma 4 2 3 7 2 2 4" xfId="33750" xr:uid="{A3F9A587-205F-4285-9B5C-06A52E5F01FA}"/>
    <cellStyle name="Comma 4 2 3 7 2 3" xfId="12638" xr:uid="{22B750AB-E079-4857-9E9A-7945608F373E}"/>
    <cellStyle name="Comma 4 2 3 7 2 4" xfId="21086" xr:uid="{DD9EFA57-101F-4AC3-B5EA-CD19704858BF}"/>
    <cellStyle name="Comma 4 2 3 7 2 5" xfId="29533" xr:uid="{B4967810-DB2C-40B1-A147-3FCF1323CB13}"/>
    <cellStyle name="Comma 4 2 3 7 3" xfId="6261" xr:uid="{00000000-0005-0000-0000-0000B0080000}"/>
    <cellStyle name="Comma 4 2 3 7 3 2" xfId="14711" xr:uid="{A5874DA1-CC9D-4233-92D4-9A9D0E2AEE8D}"/>
    <cellStyle name="Comma 4 2 3 7 3 3" xfId="23158" xr:uid="{36DE5686-75D5-452F-B7B8-9D925A0E404A}"/>
    <cellStyle name="Comma 4 2 3 7 3 4" xfId="31605" xr:uid="{0B5BE4D9-D41B-4913-91D5-6AFAC8F2CB93}"/>
    <cellStyle name="Comma 4 2 3 7 4" xfId="10493" xr:uid="{04383780-3FF1-4D7B-BF47-CBD6452D7B80}"/>
    <cellStyle name="Comma 4 2 3 7 5" xfId="18941" xr:uid="{F091B378-1BC3-48C1-91AE-F8CA6488956F}"/>
    <cellStyle name="Comma 4 2 3 7 6" xfId="27388" xr:uid="{7650F92E-B867-40C9-91FA-799478478314}"/>
    <cellStyle name="Comma 4 2 3 8" xfId="2390" xr:uid="{00000000-0005-0000-0000-0000B1080000}"/>
    <cellStyle name="Comma 4 2 3 8 2" xfId="6674" xr:uid="{00000000-0005-0000-0000-0000B2080000}"/>
    <cellStyle name="Comma 4 2 3 8 2 2" xfId="15124" xr:uid="{45CABF56-2F19-477B-B22E-038A47A9B25A}"/>
    <cellStyle name="Comma 4 2 3 8 2 3" xfId="23571" xr:uid="{29FAA9F0-A805-4526-8586-E5FE3CEC324B}"/>
    <cellStyle name="Comma 4 2 3 8 2 4" xfId="32018" xr:uid="{42862F4D-0CBE-4434-8D64-45CF75DC9C7D}"/>
    <cellStyle name="Comma 4 2 3 8 3" xfId="10906" xr:uid="{3B7E6F50-00D3-4D94-A482-563452454E6B}"/>
    <cellStyle name="Comma 4 2 3 8 4" xfId="19354" xr:uid="{D37CDCA1-36E1-4CF6-AFF3-5F41908C4EED}"/>
    <cellStyle name="Comma 4 2 3 8 5" xfId="27801" xr:uid="{E41CF99E-F892-448F-8B83-DA18CAB68D0D}"/>
    <cellStyle name="Comma 4 2 3 9" xfId="2373" xr:uid="{00000000-0005-0000-0000-0000B3080000}"/>
    <cellStyle name="Comma 4 2 4" xfId="140" xr:uid="{00000000-0005-0000-0000-0000B4080000}"/>
    <cellStyle name="Comma 4 2 4 10" xfId="4612" xr:uid="{00000000-0005-0000-0000-0000B5080000}"/>
    <cellStyle name="Comma 4 2 4 10 2" xfId="13062" xr:uid="{9A616BDC-D32A-4ED9-A44B-3CE1DD79AF16}"/>
    <cellStyle name="Comma 4 2 4 10 3" xfId="21509" xr:uid="{96ACEFB1-F439-4FC6-90DD-1B41B915F21D}"/>
    <cellStyle name="Comma 4 2 4 10 4" xfId="29956" xr:uid="{5C72DB50-22E3-4304-94D4-81ECEBC4468E}"/>
    <cellStyle name="Comma 4 2 4 11" xfId="8844" xr:uid="{23EB40DC-9846-48BD-910E-B1D50330F7F1}"/>
    <cellStyle name="Comma 4 2 4 12" xfId="17292" xr:uid="{796FE223-ED97-46D1-88B7-494947BE88B3}"/>
    <cellStyle name="Comma 4 2 4 13" xfId="25739" xr:uid="{E3755447-64F2-4104-8D2E-86CF2F7EBCB4}"/>
    <cellStyle name="Comma 4 2 4 2" xfId="141" xr:uid="{00000000-0005-0000-0000-0000B6080000}"/>
    <cellStyle name="Comma 4 2 4 2 10" xfId="8845" xr:uid="{68040418-6341-4585-9008-29315A389FF8}"/>
    <cellStyle name="Comma 4 2 4 2 11" xfId="17293" xr:uid="{56F23B4C-8365-4656-896B-E3F955FC2FB9}"/>
    <cellStyle name="Comma 4 2 4 2 12" xfId="25740" xr:uid="{302B8C17-C539-42E4-8EA4-A27854300113}"/>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C1DCF6F4-B263-44E7-AA38-5EB3B7950CB2}"/>
    <cellStyle name="Comma 4 2 4 2 2 2 2 3" xfId="24069" xr:uid="{091D2E52-23F9-44BD-83B8-F217D0C1A33F}"/>
    <cellStyle name="Comma 4 2 4 2 2 2 2 4" xfId="32516" xr:uid="{5DF08318-4E5C-4E63-93AD-B30937E30BAA}"/>
    <cellStyle name="Comma 4 2 4 2 2 2 3" xfId="11404" xr:uid="{3503EDB2-5F80-4E41-A456-CAC4F95069C9}"/>
    <cellStyle name="Comma 4 2 4 2 2 2 4" xfId="19852" xr:uid="{20704E26-3064-455D-B2A8-78D9B70E620B}"/>
    <cellStyle name="Comma 4 2 4 2 2 2 5" xfId="28299" xr:uid="{53B5DFDF-B33C-4862-9E92-9EFA53F6B21F}"/>
    <cellStyle name="Comma 4 2 4 2 2 3" xfId="5027" xr:uid="{00000000-0005-0000-0000-0000BA080000}"/>
    <cellStyle name="Comma 4 2 4 2 2 3 2" xfId="13477" xr:uid="{FFB6E0DE-7CEA-4B86-8EEC-B20E50E1E092}"/>
    <cellStyle name="Comma 4 2 4 2 2 3 3" xfId="21924" xr:uid="{516D91D5-944F-4A80-ADAD-D800E0C3ED37}"/>
    <cellStyle name="Comma 4 2 4 2 2 3 4" xfId="30371" xr:uid="{30BED318-8A1C-430B-9A20-7D0198013713}"/>
    <cellStyle name="Comma 4 2 4 2 2 4" xfId="9259" xr:uid="{3BF695BE-0210-4F6D-AB8C-9E668D123DD7}"/>
    <cellStyle name="Comma 4 2 4 2 2 5" xfId="17707" xr:uid="{12525829-D81C-4992-95A4-D123CC449C54}"/>
    <cellStyle name="Comma 4 2 4 2 2 6" xfId="26154" xr:uid="{97942AED-E815-4ECB-87AF-956FBB5059D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AE015AE7-AB7A-4D4E-80FD-8B1A5C04842A}"/>
    <cellStyle name="Comma 4 2 4 2 3 2 2 3" xfId="24482" xr:uid="{1A89CAFB-9BD6-4D5F-BF35-7768B8D8081B}"/>
    <cellStyle name="Comma 4 2 4 2 3 2 2 4" xfId="32929" xr:uid="{9AA6C92E-BF46-4C88-9A71-59A493ADEDF4}"/>
    <cellStyle name="Comma 4 2 4 2 3 2 3" xfId="11817" xr:uid="{0CC00EA0-0323-4652-93AF-7DE938ADFB3F}"/>
    <cellStyle name="Comma 4 2 4 2 3 2 4" xfId="20265" xr:uid="{D817DF1C-7941-4603-BE58-927F69F62617}"/>
    <cellStyle name="Comma 4 2 4 2 3 2 5" xfId="28712" xr:uid="{4C905108-C3D3-4B40-8396-25BD3FE48BAE}"/>
    <cellStyle name="Comma 4 2 4 2 3 3" xfId="5440" xr:uid="{00000000-0005-0000-0000-0000BE080000}"/>
    <cellStyle name="Comma 4 2 4 2 3 3 2" xfId="13890" xr:uid="{3730ED41-5240-402D-9073-C97F8A931E1C}"/>
    <cellStyle name="Comma 4 2 4 2 3 3 3" xfId="22337" xr:uid="{0D09472A-BDEF-48CF-856E-B33F33FA6CC1}"/>
    <cellStyle name="Comma 4 2 4 2 3 3 4" xfId="30784" xr:uid="{C5338DE3-B93D-42BB-81ED-68216FB092EA}"/>
    <cellStyle name="Comma 4 2 4 2 3 4" xfId="9672" xr:uid="{5482F5B8-C112-4687-AF0C-F3D6E86209EA}"/>
    <cellStyle name="Comma 4 2 4 2 3 5" xfId="18120" xr:uid="{C52530FD-B693-4803-B9E8-2BE5E2A414AA}"/>
    <cellStyle name="Comma 4 2 4 2 3 6" xfId="26567" xr:uid="{66719379-506D-475B-9D6B-7B27C1C07D78}"/>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02D191A7-5343-45FF-8853-51753FF798ED}"/>
    <cellStyle name="Comma 4 2 4 2 4 2 2 3" xfId="24895" xr:uid="{75AFFC23-417F-423F-A1EA-5EBDE3937443}"/>
    <cellStyle name="Comma 4 2 4 2 4 2 2 4" xfId="33342" xr:uid="{AA62773E-6120-45F1-96F3-CB6482A35000}"/>
    <cellStyle name="Comma 4 2 4 2 4 2 3" xfId="12230" xr:uid="{1B853C9B-AB22-4C55-855A-90EE2D309EDD}"/>
    <cellStyle name="Comma 4 2 4 2 4 2 4" xfId="20678" xr:uid="{6621118C-07DC-424A-AE9E-FEEF2A4C4C83}"/>
    <cellStyle name="Comma 4 2 4 2 4 2 5" xfId="29125" xr:uid="{374697B1-BC1D-4A3A-B488-6E55267476CF}"/>
    <cellStyle name="Comma 4 2 4 2 4 3" xfId="5853" xr:uid="{00000000-0005-0000-0000-0000C2080000}"/>
    <cellStyle name="Comma 4 2 4 2 4 3 2" xfId="14303" xr:uid="{FC48EB86-9E09-473F-BC67-AF10FE5047D3}"/>
    <cellStyle name="Comma 4 2 4 2 4 3 3" xfId="22750" xr:uid="{A843E401-0592-488F-9EF8-DB361175EDA4}"/>
    <cellStyle name="Comma 4 2 4 2 4 3 4" xfId="31197" xr:uid="{08C9AE17-63C4-489C-8A99-E9F6E4E57408}"/>
    <cellStyle name="Comma 4 2 4 2 4 4" xfId="10085" xr:uid="{FE4B8B30-F5BF-4799-A7C0-74B9C2F46511}"/>
    <cellStyle name="Comma 4 2 4 2 4 5" xfId="18533" xr:uid="{9305CFC1-028D-4732-837C-AAE8323E0A76}"/>
    <cellStyle name="Comma 4 2 4 2 4 6" xfId="26980" xr:uid="{A50BD38A-C311-4A69-8450-771444BB35B4}"/>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800D4F8E-527B-45C9-A737-2B86DA199931}"/>
    <cellStyle name="Comma 4 2 4 2 5 2 2 3" xfId="25308" xr:uid="{6C74ACFA-52B9-4FB3-B955-6853AFBEB6D2}"/>
    <cellStyle name="Comma 4 2 4 2 5 2 2 4" xfId="33755" xr:uid="{109BA7B1-9F10-4860-9D34-A952C9D6D903}"/>
    <cellStyle name="Comma 4 2 4 2 5 2 3" xfId="12643" xr:uid="{A838F9B2-36F1-41F3-AB90-C77812A77281}"/>
    <cellStyle name="Comma 4 2 4 2 5 2 4" xfId="21091" xr:uid="{952F6F97-5AD6-4CC8-A6A1-C76A5A9B3DA2}"/>
    <cellStyle name="Comma 4 2 4 2 5 2 5" xfId="29538" xr:uid="{815D4CB7-A4C5-48CF-A432-EA902B8EE935}"/>
    <cellStyle name="Comma 4 2 4 2 5 3" xfId="6266" xr:uid="{00000000-0005-0000-0000-0000C6080000}"/>
    <cellStyle name="Comma 4 2 4 2 5 3 2" xfId="14716" xr:uid="{B4380AD8-4060-426F-A534-06A069E2EFD1}"/>
    <cellStyle name="Comma 4 2 4 2 5 3 3" xfId="23163" xr:uid="{79AF0427-FB58-4692-9FB2-D15A83770A8D}"/>
    <cellStyle name="Comma 4 2 4 2 5 3 4" xfId="31610" xr:uid="{D395D299-2D08-477A-A35F-817945619F70}"/>
    <cellStyle name="Comma 4 2 4 2 5 4" xfId="10498" xr:uid="{99365E70-3EA5-41E9-AB27-9101C4E2A1AA}"/>
    <cellStyle name="Comma 4 2 4 2 5 5" xfId="18946" xr:uid="{1A7FF894-1AD7-43E9-B0DC-32B6FD1D56A2}"/>
    <cellStyle name="Comma 4 2 4 2 5 6" xfId="27393" xr:uid="{2946CD94-E268-4CFE-9C3A-31D439A98845}"/>
    <cellStyle name="Comma 4 2 4 2 6" xfId="2395" xr:uid="{00000000-0005-0000-0000-0000C7080000}"/>
    <cellStyle name="Comma 4 2 4 2 6 2" xfId="6679" xr:uid="{00000000-0005-0000-0000-0000C8080000}"/>
    <cellStyle name="Comma 4 2 4 2 6 2 2" xfId="15129" xr:uid="{EA896D23-7A2C-4E07-B19E-5DF09D18332F}"/>
    <cellStyle name="Comma 4 2 4 2 6 2 3" xfId="23576" xr:uid="{33DE5264-C5CC-47D4-8FF6-3009BD70AE4B}"/>
    <cellStyle name="Comma 4 2 4 2 6 2 4" xfId="32023" xr:uid="{5CF563D5-1205-4CCF-9CEE-03821AE38D9B}"/>
    <cellStyle name="Comma 4 2 4 2 6 3" xfId="10911" xr:uid="{105EF9AB-B508-48AC-8420-689761F0CDB4}"/>
    <cellStyle name="Comma 4 2 4 2 6 4" xfId="19359" xr:uid="{8C1D0996-81D8-47DA-B0B1-A233E3022326}"/>
    <cellStyle name="Comma 4 2 4 2 6 5" xfId="27806" xr:uid="{8793A18D-9F49-446B-B9A5-E0613C1A9ADC}"/>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6D4F0FFA-B4B9-4F14-8C77-0E4D2A1B9302}"/>
    <cellStyle name="Comma 4 2 4 2 8 2 3" xfId="23893" xr:uid="{8DF232BE-C633-4F38-8D65-EB32BEBD24CC}"/>
    <cellStyle name="Comma 4 2 4 2 8 2 4" xfId="32340" xr:uid="{C037501E-B569-41D3-9215-B90CDDAA988F}"/>
    <cellStyle name="Comma 4 2 4 2 8 3" xfId="11228" xr:uid="{804313AC-F624-4DDC-B1F5-F4A2C3B03D5B}"/>
    <cellStyle name="Comma 4 2 4 2 8 4" xfId="19676" xr:uid="{1F659E2D-5544-4CA6-B0FF-B653F098F1A1}"/>
    <cellStyle name="Comma 4 2 4 2 8 5" xfId="28123" xr:uid="{E26A7916-599D-4990-B0BA-A73B03FDEE26}"/>
    <cellStyle name="Comma 4 2 4 2 9" xfId="4613" xr:uid="{00000000-0005-0000-0000-0000CC080000}"/>
    <cellStyle name="Comma 4 2 4 2 9 2" xfId="13063" xr:uid="{3513D82F-51F9-4EB2-89BC-188527288DE0}"/>
    <cellStyle name="Comma 4 2 4 2 9 3" xfId="21510" xr:uid="{56A7224E-2FD2-4AF7-9C1B-FBCB4B2C8FDC}"/>
    <cellStyle name="Comma 4 2 4 2 9 4" xfId="29957" xr:uid="{6DB2D027-EE06-4876-902E-E82DFF667CA6}"/>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172471E9-CFC3-4B8B-B8C0-78F48417950F}"/>
    <cellStyle name="Comma 4 2 4 3 2 2 3" xfId="24068" xr:uid="{D8F6BADA-13A5-4057-81B4-7E06B8EAEAD0}"/>
    <cellStyle name="Comma 4 2 4 3 2 2 4" xfId="32515" xr:uid="{B07086C6-C211-437C-A079-F4EA206F2C1A}"/>
    <cellStyle name="Comma 4 2 4 3 2 3" xfId="11403" xr:uid="{24C8619A-3951-471E-8247-11645574420D}"/>
    <cellStyle name="Comma 4 2 4 3 2 4" xfId="19851" xr:uid="{E29D3798-12A4-4602-812C-9BC9D785E56C}"/>
    <cellStyle name="Comma 4 2 4 3 2 5" xfId="28298" xr:uid="{3407DC04-1B33-4AF0-A399-EFFF9C3698BB}"/>
    <cellStyle name="Comma 4 2 4 3 3" xfId="5026" xr:uid="{00000000-0005-0000-0000-0000D0080000}"/>
    <cellStyle name="Comma 4 2 4 3 3 2" xfId="13476" xr:uid="{38D0FB19-6B0F-4E5D-92F6-34A5BA01D385}"/>
    <cellStyle name="Comma 4 2 4 3 3 3" xfId="21923" xr:uid="{DB6CA88C-FEAC-4606-A59A-C099BCC73DD2}"/>
    <cellStyle name="Comma 4 2 4 3 3 4" xfId="30370" xr:uid="{8C24B006-48F1-481B-86FA-3A90D9418D01}"/>
    <cellStyle name="Comma 4 2 4 3 4" xfId="9258" xr:uid="{722CEC88-5443-4BBE-B167-59ADFB063960}"/>
    <cellStyle name="Comma 4 2 4 3 5" xfId="17706" xr:uid="{46CF26A6-BEF0-4B5A-84AB-EBB8B8EADF79}"/>
    <cellStyle name="Comma 4 2 4 3 6" xfId="26153" xr:uid="{CFD71CC1-8F5A-40A8-AA35-DF107CA1C751}"/>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C2B3F52D-AF2E-4B73-82C5-3A5127F7B082}"/>
    <cellStyle name="Comma 4 2 4 4 2 2 3" xfId="24481" xr:uid="{77910D6D-797E-4BE1-8273-A3530BEBBEB1}"/>
    <cellStyle name="Comma 4 2 4 4 2 2 4" xfId="32928" xr:uid="{E53F7F92-B655-45A1-8220-AEBA76DE6C67}"/>
    <cellStyle name="Comma 4 2 4 4 2 3" xfId="11816" xr:uid="{0842F114-4AFF-4F9D-8927-911967C79E93}"/>
    <cellStyle name="Comma 4 2 4 4 2 4" xfId="20264" xr:uid="{361D7983-2710-49F3-8D37-417F3F335842}"/>
    <cellStyle name="Comma 4 2 4 4 2 5" xfId="28711" xr:uid="{338FE80F-1BE8-47D1-9065-C79FD2B70A3D}"/>
    <cellStyle name="Comma 4 2 4 4 3" xfId="5439" xr:uid="{00000000-0005-0000-0000-0000D4080000}"/>
    <cellStyle name="Comma 4 2 4 4 3 2" xfId="13889" xr:uid="{39AEA58E-1A4A-4EFD-8AAD-88522EFBD937}"/>
    <cellStyle name="Comma 4 2 4 4 3 3" xfId="22336" xr:uid="{238A1DA0-808A-479D-8724-B60E4BF156DA}"/>
    <cellStyle name="Comma 4 2 4 4 3 4" xfId="30783" xr:uid="{E6867CEB-2249-4631-9D6E-21786E6792D9}"/>
    <cellStyle name="Comma 4 2 4 4 4" xfId="9671" xr:uid="{7F608024-C27C-4B9D-AF44-F52E9B092347}"/>
    <cellStyle name="Comma 4 2 4 4 5" xfId="18119" xr:uid="{5FAEEEA8-5D30-4B41-A63C-8FE12CF65C6E}"/>
    <cellStyle name="Comma 4 2 4 4 6" xfId="26566" xr:uid="{7A0E958B-AED5-4532-850C-604D837FBC06}"/>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2403BD72-E03A-4F67-BF6E-842395708F8C}"/>
    <cellStyle name="Comma 4 2 4 5 2 2 3" xfId="24894" xr:uid="{A3F8EE7B-C30B-40EC-887F-3F91D1B26165}"/>
    <cellStyle name="Comma 4 2 4 5 2 2 4" xfId="33341" xr:uid="{370E4A1E-C40B-40B4-AA26-07C7B4D6AA12}"/>
    <cellStyle name="Comma 4 2 4 5 2 3" xfId="12229" xr:uid="{BEC40091-5DC1-499E-B22D-4EEFB63D3736}"/>
    <cellStyle name="Comma 4 2 4 5 2 4" xfId="20677" xr:uid="{008F6D1B-9A0C-45E8-A7F4-AE1D8BA3ECF3}"/>
    <cellStyle name="Comma 4 2 4 5 2 5" xfId="29124" xr:uid="{CCEF37BD-429F-44D5-82DB-ABEC055B16B9}"/>
    <cellStyle name="Comma 4 2 4 5 3" xfId="5852" xr:uid="{00000000-0005-0000-0000-0000D8080000}"/>
    <cellStyle name="Comma 4 2 4 5 3 2" xfId="14302" xr:uid="{50E13FE4-22C5-40A9-9EBA-FD5D135EBDBD}"/>
    <cellStyle name="Comma 4 2 4 5 3 3" xfId="22749" xr:uid="{AD6F88CC-B6B1-4163-A3AD-7DBDB407454E}"/>
    <cellStyle name="Comma 4 2 4 5 3 4" xfId="31196" xr:uid="{69DFCD61-2CA1-45F1-9EBF-5048A9D27757}"/>
    <cellStyle name="Comma 4 2 4 5 4" xfId="10084" xr:uid="{06C5EE83-131F-468E-A07A-72653FDFFA37}"/>
    <cellStyle name="Comma 4 2 4 5 5" xfId="18532" xr:uid="{AB80C4AF-163D-4C2E-81E5-5457063B0497}"/>
    <cellStyle name="Comma 4 2 4 5 6" xfId="26979" xr:uid="{0DCD7AD3-94BE-48C8-AE96-C7C387BA4BA0}"/>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2B2523B6-5A8C-4AF1-B4F5-21605E25BD8C}"/>
    <cellStyle name="Comma 4 2 4 6 2 2 3" xfId="25307" xr:uid="{CCB1A3F9-0E90-4B65-82A6-33F12151E7AC}"/>
    <cellStyle name="Comma 4 2 4 6 2 2 4" xfId="33754" xr:uid="{874D3A63-02B1-40D9-9A5E-E34419FFCAA1}"/>
    <cellStyle name="Comma 4 2 4 6 2 3" xfId="12642" xr:uid="{2DFAC82B-B089-42CC-9060-EA2AD0C2314F}"/>
    <cellStyle name="Comma 4 2 4 6 2 4" xfId="21090" xr:uid="{8698268E-C8C1-44D0-B892-BB82A12EBC76}"/>
    <cellStyle name="Comma 4 2 4 6 2 5" xfId="29537" xr:uid="{C2ABBD74-E992-4BAA-B712-EDB6E94A6FC4}"/>
    <cellStyle name="Comma 4 2 4 6 3" xfId="6265" xr:uid="{00000000-0005-0000-0000-0000DC080000}"/>
    <cellStyle name="Comma 4 2 4 6 3 2" xfId="14715" xr:uid="{681E0C92-3CA1-4006-BDB1-39CC0467DC7C}"/>
    <cellStyle name="Comma 4 2 4 6 3 3" xfId="23162" xr:uid="{1BAAB741-6F58-4D27-ACD6-F1D906EFB756}"/>
    <cellStyle name="Comma 4 2 4 6 3 4" xfId="31609" xr:uid="{5231847B-E627-4034-89E5-D6629F71F05E}"/>
    <cellStyle name="Comma 4 2 4 6 4" xfId="10497" xr:uid="{7A6B1008-B964-4693-AF9E-3C5E5E5A086F}"/>
    <cellStyle name="Comma 4 2 4 6 5" xfId="18945" xr:uid="{A197B694-DBFC-4CE8-9D5D-595EFD56AF15}"/>
    <cellStyle name="Comma 4 2 4 6 6" xfId="27392" xr:uid="{57ACD6D4-3538-4DF2-B9F3-FADDF85B3412}"/>
    <cellStyle name="Comma 4 2 4 7" xfId="2394" xr:uid="{00000000-0005-0000-0000-0000DD080000}"/>
    <cellStyle name="Comma 4 2 4 7 2" xfId="6678" xr:uid="{00000000-0005-0000-0000-0000DE080000}"/>
    <cellStyle name="Comma 4 2 4 7 2 2" xfId="15128" xr:uid="{433365FA-747A-4FD9-820F-827FAF870A24}"/>
    <cellStyle name="Comma 4 2 4 7 2 3" xfId="23575" xr:uid="{50431C32-9575-4FA2-B1DA-27D376193A09}"/>
    <cellStyle name="Comma 4 2 4 7 2 4" xfId="32022" xr:uid="{D5454AE7-06D7-4EE2-9B96-A3F7C45EC826}"/>
    <cellStyle name="Comma 4 2 4 7 3" xfId="10910" xr:uid="{EE7A9329-0DEE-4117-AEFB-0BC6DC1A40C1}"/>
    <cellStyle name="Comma 4 2 4 7 4" xfId="19358" xr:uid="{21C075B2-9D9E-4667-B0A7-7B24985FECEC}"/>
    <cellStyle name="Comma 4 2 4 7 5" xfId="27805" xr:uid="{74F48D3A-CF33-4985-9B4B-FEA0AE48B42D}"/>
    <cellStyle name="Comma 4 2 4 8" xfId="2369" xr:uid="{00000000-0005-0000-0000-0000DF080000}"/>
    <cellStyle name="Comma 4 2 4 9" xfId="2772" xr:uid="{00000000-0005-0000-0000-0000E0080000}"/>
    <cellStyle name="Comma 4 2 4 9 2" xfId="6995" xr:uid="{00000000-0005-0000-0000-0000E1080000}"/>
    <cellStyle name="Comma 4 2 4 9 2 2" xfId="15445" xr:uid="{91E8A8FA-B52D-40AD-B6CB-2345FF15BDE9}"/>
    <cellStyle name="Comma 4 2 4 9 2 3" xfId="23892" xr:uid="{DDA66044-38A9-4308-AA67-C6D82CB1A894}"/>
    <cellStyle name="Comma 4 2 4 9 2 4" xfId="32339" xr:uid="{EAA0C922-961C-4318-A252-EA33B46E06D5}"/>
    <cellStyle name="Comma 4 2 4 9 3" xfId="11227" xr:uid="{67A295BD-2595-4CBB-9F26-FEFD18E68AE6}"/>
    <cellStyle name="Comma 4 2 4 9 4" xfId="19675" xr:uid="{E5B99437-3A3D-40FB-8220-08345607E7DE}"/>
    <cellStyle name="Comma 4 2 4 9 5" xfId="28122" xr:uid="{338244FA-67B6-46BD-9E85-2EC81BE21BFB}"/>
    <cellStyle name="Comma 4 2 5" xfId="142" xr:uid="{00000000-0005-0000-0000-0000E2080000}"/>
    <cellStyle name="Comma 4 2 5 10" xfId="8846" xr:uid="{2EFDCF41-9E2A-4AE0-B592-0A95509BFCA9}"/>
    <cellStyle name="Comma 4 2 5 11" xfId="17294" xr:uid="{9FBEEBEB-4AEB-4238-81FF-07BEBCBA726C}"/>
    <cellStyle name="Comma 4 2 5 12" xfId="25741" xr:uid="{AAD04212-9FF2-4DB7-B03A-A949F85385F2}"/>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6A1D2E3D-CC54-44DD-A06E-CEF3E70D856E}"/>
    <cellStyle name="Comma 4 2 5 2 2 2 3" xfId="24070" xr:uid="{84B850D8-616B-45B0-B10C-CACF9F72FB0F}"/>
    <cellStyle name="Comma 4 2 5 2 2 2 4" xfId="32517" xr:uid="{8E6D4625-FBB5-467B-816D-770170C168F1}"/>
    <cellStyle name="Comma 4 2 5 2 2 3" xfId="11405" xr:uid="{2D7B0D15-C9D4-4413-BACE-8534A2E9E8EF}"/>
    <cellStyle name="Comma 4 2 5 2 2 4" xfId="19853" xr:uid="{824F9C95-84C6-41D1-B46D-4BE2B09CE0D4}"/>
    <cellStyle name="Comma 4 2 5 2 2 5" xfId="28300" xr:uid="{9D4111AC-FEEC-4B45-BBE5-2AD2F484A6EF}"/>
    <cellStyle name="Comma 4 2 5 2 3" xfId="5028" xr:uid="{00000000-0005-0000-0000-0000E6080000}"/>
    <cellStyle name="Comma 4 2 5 2 3 2" xfId="13478" xr:uid="{E4677E96-EFA7-44B1-9B37-1904ED8D1946}"/>
    <cellStyle name="Comma 4 2 5 2 3 3" xfId="21925" xr:uid="{DA528D1B-6B9B-46F0-A67C-201F106CAB87}"/>
    <cellStyle name="Comma 4 2 5 2 3 4" xfId="30372" xr:uid="{18353C10-53B8-486B-9072-182ECB480F96}"/>
    <cellStyle name="Comma 4 2 5 2 4" xfId="9260" xr:uid="{BA1C1FCB-69F4-4D6B-9DE6-80513B6CC07D}"/>
    <cellStyle name="Comma 4 2 5 2 5" xfId="17708" xr:uid="{8C9A0AEF-0D9D-45F2-ABB6-8CD0A0277FDD}"/>
    <cellStyle name="Comma 4 2 5 2 6" xfId="26155" xr:uid="{EAA749A0-8446-4D35-B860-286A8CFCC290}"/>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95C3ACE-FBF2-4161-87FA-9D9BDFD2647B}"/>
    <cellStyle name="Comma 4 2 5 3 2 2 3" xfId="24483" xr:uid="{981CB97C-4964-47F8-AA4F-66F036EF13C9}"/>
    <cellStyle name="Comma 4 2 5 3 2 2 4" xfId="32930" xr:uid="{C8C65E7A-1182-4528-B89E-D84A119E86BA}"/>
    <cellStyle name="Comma 4 2 5 3 2 3" xfId="11818" xr:uid="{22DD6BF3-B615-4CC0-8F19-6190D2949F1B}"/>
    <cellStyle name="Comma 4 2 5 3 2 4" xfId="20266" xr:uid="{060B020C-301D-4EB4-B637-6E54D5CC0895}"/>
    <cellStyle name="Comma 4 2 5 3 2 5" xfId="28713" xr:uid="{7ECCD68B-99C9-4DC1-AC36-95FE39E2F5F5}"/>
    <cellStyle name="Comma 4 2 5 3 3" xfId="5441" xr:uid="{00000000-0005-0000-0000-0000EA080000}"/>
    <cellStyle name="Comma 4 2 5 3 3 2" xfId="13891" xr:uid="{B4EC4732-F61A-4C7D-9D64-E7ED391CD22D}"/>
    <cellStyle name="Comma 4 2 5 3 3 3" xfId="22338" xr:uid="{C7C2BA19-A68F-4CB2-BE86-DD2D07DE15AF}"/>
    <cellStyle name="Comma 4 2 5 3 3 4" xfId="30785" xr:uid="{AF0AD39C-B4B9-488B-8726-7EBDAD593671}"/>
    <cellStyle name="Comma 4 2 5 3 4" xfId="9673" xr:uid="{D415D09C-909A-4998-83AE-04B7B131A4F9}"/>
    <cellStyle name="Comma 4 2 5 3 5" xfId="18121" xr:uid="{A95A7914-94B9-4238-9F2A-2D41F64DF485}"/>
    <cellStyle name="Comma 4 2 5 3 6" xfId="26568" xr:uid="{29CDECA4-C35D-457D-8508-8A56344D5E6A}"/>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45D44E93-B724-4FEB-8B76-5CF89C65B0B5}"/>
    <cellStyle name="Comma 4 2 5 4 2 2 3" xfId="24896" xr:uid="{A8A861E2-7664-46F7-B858-89B331D165C6}"/>
    <cellStyle name="Comma 4 2 5 4 2 2 4" xfId="33343" xr:uid="{00001347-B824-46A5-98FF-5007728B7DC2}"/>
    <cellStyle name="Comma 4 2 5 4 2 3" xfId="12231" xr:uid="{30BED8E4-570E-41C7-9209-98EC576E6732}"/>
    <cellStyle name="Comma 4 2 5 4 2 4" xfId="20679" xr:uid="{9491F673-CAA9-439C-9D22-96BE23BC3E38}"/>
    <cellStyle name="Comma 4 2 5 4 2 5" xfId="29126" xr:uid="{250B29EA-8F11-45C9-A421-CF66C225ECD6}"/>
    <cellStyle name="Comma 4 2 5 4 3" xfId="5854" xr:uid="{00000000-0005-0000-0000-0000EE080000}"/>
    <cellStyle name="Comma 4 2 5 4 3 2" xfId="14304" xr:uid="{1456211B-41FC-49E2-9872-9358BF61587E}"/>
    <cellStyle name="Comma 4 2 5 4 3 3" xfId="22751" xr:uid="{22D98607-E66D-48E6-BAF8-0446EC0D488C}"/>
    <cellStyle name="Comma 4 2 5 4 3 4" xfId="31198" xr:uid="{88BF9BCB-2038-4181-A77B-CD9D32CCC490}"/>
    <cellStyle name="Comma 4 2 5 4 4" xfId="10086" xr:uid="{47D952EA-54EA-4463-B5C9-E72361ECB0DD}"/>
    <cellStyle name="Comma 4 2 5 4 5" xfId="18534" xr:uid="{D88049BB-702C-497E-B3A0-1670E58BF889}"/>
    <cellStyle name="Comma 4 2 5 4 6" xfId="26981" xr:uid="{EAF0C610-6B24-4A85-8208-BA15F9337BED}"/>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5CB229ED-24A7-4110-BAA5-E751F4E89BBD}"/>
    <cellStyle name="Comma 4 2 5 5 2 2 3" xfId="25309" xr:uid="{D9BA8716-B5A3-45FF-B0D8-63335734E99F}"/>
    <cellStyle name="Comma 4 2 5 5 2 2 4" xfId="33756" xr:uid="{547DC0A3-4F3F-4C0F-8AA2-45B03B741EA1}"/>
    <cellStyle name="Comma 4 2 5 5 2 3" xfId="12644" xr:uid="{9EF334C6-888E-4E9E-BEFD-1F8619285524}"/>
    <cellStyle name="Comma 4 2 5 5 2 4" xfId="21092" xr:uid="{1BDA5F6F-DDA9-4310-80D7-E0D8BA5F613D}"/>
    <cellStyle name="Comma 4 2 5 5 2 5" xfId="29539" xr:uid="{35E52EEF-EB9B-4C09-814A-A6A04B9E0F29}"/>
    <cellStyle name="Comma 4 2 5 5 3" xfId="6267" xr:uid="{00000000-0005-0000-0000-0000F2080000}"/>
    <cellStyle name="Comma 4 2 5 5 3 2" xfId="14717" xr:uid="{B9C0837B-E8FD-4829-9F38-3B8A7C0D6A66}"/>
    <cellStyle name="Comma 4 2 5 5 3 3" xfId="23164" xr:uid="{3AFBA993-1F46-4286-BE6B-662F706BE2BB}"/>
    <cellStyle name="Comma 4 2 5 5 3 4" xfId="31611" xr:uid="{6DBF9A33-E269-4A3E-8EC2-97A14D9515DE}"/>
    <cellStyle name="Comma 4 2 5 5 4" xfId="10499" xr:uid="{C3FFF5F7-E700-4628-8BC6-82D848F92B9C}"/>
    <cellStyle name="Comma 4 2 5 5 5" xfId="18947" xr:uid="{1D11603F-76E7-47F0-B0B6-D978199DE3DD}"/>
    <cellStyle name="Comma 4 2 5 5 6" xfId="27394" xr:uid="{6D08BA12-BFBB-4A0C-8329-72D37294697B}"/>
    <cellStyle name="Comma 4 2 5 6" xfId="2396" xr:uid="{00000000-0005-0000-0000-0000F3080000}"/>
    <cellStyle name="Comma 4 2 5 6 2" xfId="6680" xr:uid="{00000000-0005-0000-0000-0000F4080000}"/>
    <cellStyle name="Comma 4 2 5 6 2 2" xfId="15130" xr:uid="{6FE24CC1-9CAB-489D-AFDE-4A9091286BC2}"/>
    <cellStyle name="Comma 4 2 5 6 2 3" xfId="23577" xr:uid="{4C12556B-005C-41E3-8160-776A219DBAF7}"/>
    <cellStyle name="Comma 4 2 5 6 2 4" xfId="32024" xr:uid="{6690BD64-5950-469E-8608-37746C88399C}"/>
    <cellStyle name="Comma 4 2 5 6 3" xfId="10912" xr:uid="{83A29D0C-5CD1-42E4-97CD-41F87BA84299}"/>
    <cellStyle name="Comma 4 2 5 6 4" xfId="19360" xr:uid="{3E2B9CF9-B247-4CD5-A954-D4393E004425}"/>
    <cellStyle name="Comma 4 2 5 6 5" xfId="27807" xr:uid="{5B83B91D-501D-486A-92ED-C6556EB92774}"/>
    <cellStyle name="Comma 4 2 5 7" xfId="2367" xr:uid="{00000000-0005-0000-0000-0000F5080000}"/>
    <cellStyle name="Comma 4 2 5 8" xfId="2774" xr:uid="{00000000-0005-0000-0000-0000F6080000}"/>
    <cellStyle name="Comma 4 2 5 8 2" xfId="6997" xr:uid="{00000000-0005-0000-0000-0000F7080000}"/>
    <cellStyle name="Comma 4 2 5 8 2 2" xfId="15447" xr:uid="{321B467F-2D0C-4689-9221-A56E449F60F8}"/>
    <cellStyle name="Comma 4 2 5 8 2 3" xfId="23894" xr:uid="{06CC4EFC-35B8-4C6B-A960-62CD5458C3E7}"/>
    <cellStyle name="Comma 4 2 5 8 2 4" xfId="32341" xr:uid="{1A8F1F79-2434-4D96-A3B1-ECFC95C0657E}"/>
    <cellStyle name="Comma 4 2 5 8 3" xfId="11229" xr:uid="{B7279453-1021-4D37-A624-037C85BE3DF0}"/>
    <cellStyle name="Comma 4 2 5 8 4" xfId="19677" xr:uid="{97342FD9-9574-4DB7-BE23-19A43B55C173}"/>
    <cellStyle name="Comma 4 2 5 8 5" xfId="28124" xr:uid="{96AF68E9-2AD8-46F4-8328-F09DCF7F6BBB}"/>
    <cellStyle name="Comma 4 2 5 9" xfId="4614" xr:uid="{00000000-0005-0000-0000-0000F8080000}"/>
    <cellStyle name="Comma 4 2 5 9 2" xfId="13064" xr:uid="{053918C6-5F10-4820-8EC7-74BCC619D3BE}"/>
    <cellStyle name="Comma 4 2 5 9 3" xfId="21511" xr:uid="{6FD29FCB-F3EC-4456-9D64-12EA6A3AC103}"/>
    <cellStyle name="Comma 4 2 5 9 4" xfId="29958" xr:uid="{92E2208F-6E6E-4C12-B776-E8BAF82BF30C}"/>
    <cellStyle name="Comma 4 2 6" xfId="143" xr:uid="{00000000-0005-0000-0000-0000F9080000}"/>
    <cellStyle name="Comma 4 2 6 10" xfId="8847" xr:uid="{9D5947CC-93FB-46CF-A885-E709F4CD3BDF}"/>
    <cellStyle name="Comma 4 2 6 11" xfId="17295" xr:uid="{6D1FF1F8-7899-474C-A90E-BF2DF88E7189}"/>
    <cellStyle name="Comma 4 2 6 12" xfId="25742" xr:uid="{46CB7AF7-6BEB-4E69-97DC-CA252C225018}"/>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4A0E6345-8822-4B6D-9FBE-F8FECABE5BC9}"/>
    <cellStyle name="Comma 4 2 6 2 2 2 3" xfId="24071" xr:uid="{08FBA01B-B9FB-4CF9-9B21-06A722A1AFF6}"/>
    <cellStyle name="Comma 4 2 6 2 2 2 4" xfId="32518" xr:uid="{1D82A152-BE9F-4811-AD97-82B0B1990547}"/>
    <cellStyle name="Comma 4 2 6 2 2 3" xfId="11406" xr:uid="{328BEFD9-5C23-4954-BBBB-542A2176161D}"/>
    <cellStyle name="Comma 4 2 6 2 2 4" xfId="19854" xr:uid="{19B898C7-EF7C-416D-8636-E7AB8705E3DA}"/>
    <cellStyle name="Comma 4 2 6 2 2 5" xfId="28301" xr:uid="{8D80C82C-50BF-41A0-BAC9-E0495076C2B8}"/>
    <cellStyle name="Comma 4 2 6 2 3" xfId="5029" xr:uid="{00000000-0005-0000-0000-0000FD080000}"/>
    <cellStyle name="Comma 4 2 6 2 3 2" xfId="13479" xr:uid="{643F6A91-341A-4D80-B0AF-F8EBA39A42A3}"/>
    <cellStyle name="Comma 4 2 6 2 3 3" xfId="21926" xr:uid="{29EB8D72-B8C4-4E34-870D-E9F2DE0E6C85}"/>
    <cellStyle name="Comma 4 2 6 2 3 4" xfId="30373" xr:uid="{53447CFF-438F-4CB7-86D6-9C8051354F0F}"/>
    <cellStyle name="Comma 4 2 6 2 4" xfId="9261" xr:uid="{7679E083-0DA1-4ECB-807E-9199D6FEDCF8}"/>
    <cellStyle name="Comma 4 2 6 2 5" xfId="17709" xr:uid="{819086D2-6DAE-45A8-9C7D-78003FCF7B18}"/>
    <cellStyle name="Comma 4 2 6 2 6" xfId="26156" xr:uid="{484675EB-309C-4B7D-B825-8C42340035AB}"/>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49207B83-497A-458D-88FC-BE3379396560}"/>
    <cellStyle name="Comma 4 2 6 3 2 2 3" xfId="24484" xr:uid="{16A46ADF-9C3F-49EA-8E34-53D007967BCD}"/>
    <cellStyle name="Comma 4 2 6 3 2 2 4" xfId="32931" xr:uid="{0B29E1CF-303D-4FBD-B654-78AEAB41459D}"/>
    <cellStyle name="Comma 4 2 6 3 2 3" xfId="11819" xr:uid="{CCF469CE-73A9-49BF-9DE7-090A29671D78}"/>
    <cellStyle name="Comma 4 2 6 3 2 4" xfId="20267" xr:uid="{DED441A0-8B60-4486-A006-82FF7A826F06}"/>
    <cellStyle name="Comma 4 2 6 3 2 5" xfId="28714" xr:uid="{4A847540-103A-4A34-BA44-3CE97F0CA479}"/>
    <cellStyle name="Comma 4 2 6 3 3" xfId="5442" xr:uid="{00000000-0005-0000-0000-000001090000}"/>
    <cellStyle name="Comma 4 2 6 3 3 2" xfId="13892" xr:uid="{13AC02F8-6BA4-4BAB-B73D-D2E20C227178}"/>
    <cellStyle name="Comma 4 2 6 3 3 3" xfId="22339" xr:uid="{681043DF-9810-494F-88A4-6EA789CB4964}"/>
    <cellStyle name="Comma 4 2 6 3 3 4" xfId="30786" xr:uid="{5AEA9613-9B53-453B-8B64-2368B837B722}"/>
    <cellStyle name="Comma 4 2 6 3 4" xfId="9674" xr:uid="{4E506142-A921-446A-92D6-43A22D3F6BB2}"/>
    <cellStyle name="Comma 4 2 6 3 5" xfId="18122" xr:uid="{3682487D-674A-4F6E-9D3D-46B614BAD68A}"/>
    <cellStyle name="Comma 4 2 6 3 6" xfId="26569" xr:uid="{AD248D28-84E0-404F-BFBE-D5540018958C}"/>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E20A1047-B332-40F6-9272-121A753311A9}"/>
    <cellStyle name="Comma 4 2 6 4 2 2 3" xfId="24897" xr:uid="{EC358DFE-4FA0-4773-B609-7F78DF405FAC}"/>
    <cellStyle name="Comma 4 2 6 4 2 2 4" xfId="33344" xr:uid="{DF05063E-333D-4B7D-A5AD-16E640916BEF}"/>
    <cellStyle name="Comma 4 2 6 4 2 3" xfId="12232" xr:uid="{638AB536-F6FB-4D8A-918D-7659C8A561B1}"/>
    <cellStyle name="Comma 4 2 6 4 2 4" xfId="20680" xr:uid="{740831E9-5BAF-4CA8-8A46-8E2174EC3A34}"/>
    <cellStyle name="Comma 4 2 6 4 2 5" xfId="29127" xr:uid="{9CC819E2-1386-4C72-9138-A6B5A504C32E}"/>
    <cellStyle name="Comma 4 2 6 4 3" xfId="5855" xr:uid="{00000000-0005-0000-0000-000005090000}"/>
    <cellStyle name="Comma 4 2 6 4 3 2" xfId="14305" xr:uid="{A835264C-E703-4087-A603-1D674778A072}"/>
    <cellStyle name="Comma 4 2 6 4 3 3" xfId="22752" xr:uid="{872252DF-1302-410E-B24F-7DB7AEBD6440}"/>
    <cellStyle name="Comma 4 2 6 4 3 4" xfId="31199" xr:uid="{79C90773-F6B8-413B-82EC-957DAAF5B86B}"/>
    <cellStyle name="Comma 4 2 6 4 4" xfId="10087" xr:uid="{2D85279F-68E1-4AD7-8F07-AF9A0DE3AC2F}"/>
    <cellStyle name="Comma 4 2 6 4 5" xfId="18535" xr:uid="{FA03D6A1-0738-45EB-BAA5-C15F9040C651}"/>
    <cellStyle name="Comma 4 2 6 4 6" xfId="26982" xr:uid="{A7572FA9-8DE4-4542-A8A3-04CF1B3AB041}"/>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06D27D61-867C-41FE-8A1B-F9C21D42DD67}"/>
    <cellStyle name="Comma 4 2 6 5 2 2 3" xfId="25310" xr:uid="{AE0BE360-27C1-40F5-8E1E-CF03E9C02357}"/>
    <cellStyle name="Comma 4 2 6 5 2 2 4" xfId="33757" xr:uid="{0C0E2123-B4C9-43D0-8BCA-2225B0C44EE4}"/>
    <cellStyle name="Comma 4 2 6 5 2 3" xfId="12645" xr:uid="{6CD4E093-07DD-4B25-8340-49E63C72871E}"/>
    <cellStyle name="Comma 4 2 6 5 2 4" xfId="21093" xr:uid="{A37B167E-5BB9-4AAA-8D3D-F5FA341BFF8D}"/>
    <cellStyle name="Comma 4 2 6 5 2 5" xfId="29540" xr:uid="{68B2F993-B2D6-4D22-B93C-32DB50634A71}"/>
    <cellStyle name="Comma 4 2 6 5 3" xfId="6268" xr:uid="{00000000-0005-0000-0000-000009090000}"/>
    <cellStyle name="Comma 4 2 6 5 3 2" xfId="14718" xr:uid="{3D5AF666-6F50-4017-84FB-1A55A877A425}"/>
    <cellStyle name="Comma 4 2 6 5 3 3" xfId="23165" xr:uid="{B7D8576A-57C0-4E63-AE10-D234C8DFA66C}"/>
    <cellStyle name="Comma 4 2 6 5 3 4" xfId="31612" xr:uid="{8186B2EF-7C20-45DB-A265-6661416DB85D}"/>
    <cellStyle name="Comma 4 2 6 5 4" xfId="10500" xr:uid="{8EA52461-060C-4A43-9AED-8988D80D0FFA}"/>
    <cellStyle name="Comma 4 2 6 5 5" xfId="18948" xr:uid="{127A7F6F-59E0-4E84-9D5E-919BA3B7939F}"/>
    <cellStyle name="Comma 4 2 6 5 6" xfId="27395" xr:uid="{20148403-FB44-4211-AD09-290B76B5C32A}"/>
    <cellStyle name="Comma 4 2 6 6" xfId="2397" xr:uid="{00000000-0005-0000-0000-00000A090000}"/>
    <cellStyle name="Comma 4 2 6 6 2" xfId="6681" xr:uid="{00000000-0005-0000-0000-00000B090000}"/>
    <cellStyle name="Comma 4 2 6 6 2 2" xfId="15131" xr:uid="{87AF4C59-C284-43DC-ABBD-9CE7468B7F27}"/>
    <cellStyle name="Comma 4 2 6 6 2 3" xfId="23578" xr:uid="{DAA57DDC-EFBB-4B7A-B69A-06D8ECD1A7BF}"/>
    <cellStyle name="Comma 4 2 6 6 2 4" xfId="32025" xr:uid="{7BDF1B8D-3ABA-4171-9591-ADDBB325A7B8}"/>
    <cellStyle name="Comma 4 2 6 6 3" xfId="10913" xr:uid="{B2A78618-1D68-4127-BE3E-CFEBD87EC86B}"/>
    <cellStyle name="Comma 4 2 6 6 4" xfId="19361" xr:uid="{01AE7E30-6AF0-4F82-AC2C-38CDC4F09EB3}"/>
    <cellStyle name="Comma 4 2 6 6 5" xfId="27808" xr:uid="{AFFA9060-D6E5-49F6-A7CD-3385702E775C}"/>
    <cellStyle name="Comma 4 2 6 7" xfId="2366" xr:uid="{00000000-0005-0000-0000-00000C090000}"/>
    <cellStyle name="Comma 4 2 6 8" xfId="2775" xr:uid="{00000000-0005-0000-0000-00000D090000}"/>
    <cellStyle name="Comma 4 2 6 8 2" xfId="6998" xr:uid="{00000000-0005-0000-0000-00000E090000}"/>
    <cellStyle name="Comma 4 2 6 8 2 2" xfId="15448" xr:uid="{D1EC2B8F-A992-4FBB-8E52-0A7366873BE2}"/>
    <cellStyle name="Comma 4 2 6 8 2 3" xfId="23895" xr:uid="{25237A56-673E-40EA-90E0-57FE2E1C16D4}"/>
    <cellStyle name="Comma 4 2 6 8 2 4" xfId="32342" xr:uid="{334644FD-DF7D-4555-AAC1-1A0463F58022}"/>
    <cellStyle name="Comma 4 2 6 8 3" xfId="11230" xr:uid="{B6FFF137-6C23-4405-A13D-458F8D87D50B}"/>
    <cellStyle name="Comma 4 2 6 8 4" xfId="19678" xr:uid="{45063BCE-CB00-45F0-BD0D-314C192268C6}"/>
    <cellStyle name="Comma 4 2 6 8 5" xfId="28125" xr:uid="{15825E32-7984-4BCF-89D2-C908882C931F}"/>
    <cellStyle name="Comma 4 2 6 9" xfId="4615" xr:uid="{00000000-0005-0000-0000-00000F090000}"/>
    <cellStyle name="Comma 4 2 6 9 2" xfId="13065" xr:uid="{18403482-9272-4C69-8101-EC462E215D82}"/>
    <cellStyle name="Comma 4 2 6 9 3" xfId="21512" xr:uid="{86B4C7B2-52A7-4E46-B50C-B0B8019B8A53}"/>
    <cellStyle name="Comma 4 2 6 9 4" xfId="29959" xr:uid="{E5B27B1A-C662-45BA-97D3-E434C1D59656}"/>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9B156EA7-4922-4F90-B97A-A0F32EA321FF}"/>
    <cellStyle name="Comma 4 3 2 10 2 3" xfId="23896" xr:uid="{E6F2355A-5ED1-4752-9A8E-48A02B5FFE78}"/>
    <cellStyle name="Comma 4 3 2 10 2 4" xfId="32343" xr:uid="{B3E35F14-33D9-43A5-B0C4-6F714AF4E794}"/>
    <cellStyle name="Comma 4 3 2 10 3" xfId="11231" xr:uid="{87FC49C7-E7C2-424B-8D3F-06521507AD6C}"/>
    <cellStyle name="Comma 4 3 2 10 4" xfId="19679" xr:uid="{B92DD679-76AA-4C21-890C-CE37C0D2552F}"/>
    <cellStyle name="Comma 4 3 2 10 5" xfId="28126" xr:uid="{4C3F6555-0877-4A28-8B5C-FA0FC8C553CE}"/>
    <cellStyle name="Comma 4 3 2 11" xfId="4616" xr:uid="{00000000-0005-0000-0000-000014090000}"/>
    <cellStyle name="Comma 4 3 2 11 2" xfId="13066" xr:uid="{D8044D21-813C-46F0-95AC-AA1D591CEDCD}"/>
    <cellStyle name="Comma 4 3 2 11 3" xfId="21513" xr:uid="{B9930EE0-EE0E-40D9-80AD-A998324FD041}"/>
    <cellStyle name="Comma 4 3 2 11 4" xfId="29960" xr:uid="{875A4AA4-00A9-4451-A780-649A1C760B65}"/>
    <cellStyle name="Comma 4 3 2 12" xfId="8848" xr:uid="{7BB3BDA2-67B7-4A23-BD3C-8DC8F2CCE19C}"/>
    <cellStyle name="Comma 4 3 2 13" xfId="17296" xr:uid="{31EDC8D1-2AF0-48F9-90FE-55822FF98E64}"/>
    <cellStyle name="Comma 4 3 2 14" xfId="25743" xr:uid="{21990896-5CD9-4A12-A5CE-3D119012AE7F}"/>
    <cellStyle name="Comma 4 3 2 2" xfId="146" xr:uid="{00000000-0005-0000-0000-000015090000}"/>
    <cellStyle name="Comma 4 3 2 2 10" xfId="4617" xr:uid="{00000000-0005-0000-0000-000016090000}"/>
    <cellStyle name="Comma 4 3 2 2 10 2" xfId="13067" xr:uid="{B20EECA3-5C67-45FF-9161-BCBE28B071AF}"/>
    <cellStyle name="Comma 4 3 2 2 10 3" xfId="21514" xr:uid="{AD1FC9F1-23A9-47A6-B0D2-88E7A0A557BC}"/>
    <cellStyle name="Comma 4 3 2 2 10 4" xfId="29961" xr:uid="{A5706225-F782-465C-8F3C-D7FF3C86E54A}"/>
    <cellStyle name="Comma 4 3 2 2 11" xfId="8849" xr:uid="{AD4CA24B-1BBB-48EE-A4A1-E38D1CB5CF77}"/>
    <cellStyle name="Comma 4 3 2 2 12" xfId="17297" xr:uid="{9DA40A5E-7C54-4278-877B-D0B6AD63981C}"/>
    <cellStyle name="Comma 4 3 2 2 13" xfId="25744" xr:uid="{3966872D-DC5A-451E-82ED-2B9688D46BAF}"/>
    <cellStyle name="Comma 4 3 2 2 2" xfId="147" xr:uid="{00000000-0005-0000-0000-000017090000}"/>
    <cellStyle name="Comma 4 3 2 2 2 10" xfId="8850" xr:uid="{1C1D9D8A-F140-44EB-A495-48455D47C904}"/>
    <cellStyle name="Comma 4 3 2 2 2 11" xfId="17298" xr:uid="{C0B1DD89-6C53-4DC4-B5B9-3804EC4ADA37}"/>
    <cellStyle name="Comma 4 3 2 2 2 12" xfId="25745" xr:uid="{E8278DC4-F6C5-4B48-8AB0-BCB932DEB76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721CAE3B-6252-452E-BC0B-442632660759}"/>
    <cellStyle name="Comma 4 3 2 2 2 2 2 2 3" xfId="24074" xr:uid="{F7C19109-ED5B-406D-8B1C-C9B8E2AAB593}"/>
    <cellStyle name="Comma 4 3 2 2 2 2 2 2 4" xfId="32521" xr:uid="{8F40A9C2-7CAC-43FE-9E45-2C3184C5877F}"/>
    <cellStyle name="Comma 4 3 2 2 2 2 2 3" xfId="11409" xr:uid="{C87C7D92-14BC-4140-83D4-FF09950C0249}"/>
    <cellStyle name="Comma 4 3 2 2 2 2 2 4" xfId="19857" xr:uid="{60DC8D8E-EB07-4EA5-868D-20DE6F4A95CF}"/>
    <cellStyle name="Comma 4 3 2 2 2 2 2 5" xfId="28304" xr:uid="{318B2904-7229-4285-99D2-13F123AF4004}"/>
    <cellStyle name="Comma 4 3 2 2 2 2 3" xfId="5032" xr:uid="{00000000-0005-0000-0000-00001B090000}"/>
    <cellStyle name="Comma 4 3 2 2 2 2 3 2" xfId="13482" xr:uid="{0129D0AF-7F77-4BDA-8381-57FA14C495FF}"/>
    <cellStyle name="Comma 4 3 2 2 2 2 3 3" xfId="21929" xr:uid="{49A35C3C-5149-405A-AEDB-C467C97C357D}"/>
    <cellStyle name="Comma 4 3 2 2 2 2 3 4" xfId="30376" xr:uid="{A390EA91-F8A9-4BE2-AC00-6BA9FEB4CA62}"/>
    <cellStyle name="Comma 4 3 2 2 2 2 4" xfId="9264" xr:uid="{147AD312-4962-45E1-897C-F24C8B010A37}"/>
    <cellStyle name="Comma 4 3 2 2 2 2 5" xfId="17712" xr:uid="{F29106A7-C4D2-44F5-BC51-376153713A0F}"/>
    <cellStyle name="Comma 4 3 2 2 2 2 6" xfId="26159" xr:uid="{8054DAFB-4A7B-4D5C-990D-EE1BE1A93EE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CBFA244C-E124-4840-826B-8F060B5CFEBC}"/>
    <cellStyle name="Comma 4 3 2 2 2 3 2 2 3" xfId="24487" xr:uid="{D5E0289D-A4DA-498A-AED0-8B6E673219ED}"/>
    <cellStyle name="Comma 4 3 2 2 2 3 2 2 4" xfId="32934" xr:uid="{ACE610FB-8101-4B3F-A00E-C8A6A1BD4D77}"/>
    <cellStyle name="Comma 4 3 2 2 2 3 2 3" xfId="11822" xr:uid="{92A8ED2F-5DE8-4AAE-9716-855555B8BB2C}"/>
    <cellStyle name="Comma 4 3 2 2 2 3 2 4" xfId="20270" xr:uid="{BA38C9CD-4DF4-4E14-8796-DEDC66A1524B}"/>
    <cellStyle name="Comma 4 3 2 2 2 3 2 5" xfId="28717" xr:uid="{9DC52669-6135-4332-AB96-2F596D7C7853}"/>
    <cellStyle name="Comma 4 3 2 2 2 3 3" xfId="5445" xr:uid="{00000000-0005-0000-0000-00001F090000}"/>
    <cellStyle name="Comma 4 3 2 2 2 3 3 2" xfId="13895" xr:uid="{5661EC8B-36B7-45D5-8016-466189E9EFDD}"/>
    <cellStyle name="Comma 4 3 2 2 2 3 3 3" xfId="22342" xr:uid="{F2475A81-9339-40FE-936F-C5AC46B949F4}"/>
    <cellStyle name="Comma 4 3 2 2 2 3 3 4" xfId="30789" xr:uid="{5F14F5B8-1DC3-4537-BB16-4409F392AC9F}"/>
    <cellStyle name="Comma 4 3 2 2 2 3 4" xfId="9677" xr:uid="{4DA74CC2-93E1-44BC-89D3-4BF9F634090F}"/>
    <cellStyle name="Comma 4 3 2 2 2 3 5" xfId="18125" xr:uid="{650BA9F2-46B4-4D10-A902-08ACC2BF0DDA}"/>
    <cellStyle name="Comma 4 3 2 2 2 3 6" xfId="26572" xr:uid="{74E1B1FC-41CA-4920-830F-B128E636302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7679695C-E469-4BB2-B33C-EA8ACAF95D86}"/>
    <cellStyle name="Comma 4 3 2 2 2 4 2 2 3" xfId="24900" xr:uid="{2B40FAF0-0D1D-4B02-A701-2767A50DF444}"/>
    <cellStyle name="Comma 4 3 2 2 2 4 2 2 4" xfId="33347" xr:uid="{49682DB3-22BC-4858-9BA4-C501B83B98F4}"/>
    <cellStyle name="Comma 4 3 2 2 2 4 2 3" xfId="12235" xr:uid="{38DB28B2-7EFF-4D99-B1D6-57A88E1499BD}"/>
    <cellStyle name="Comma 4 3 2 2 2 4 2 4" xfId="20683" xr:uid="{2DA5E64F-C482-43C6-95B8-13E070F6F99D}"/>
    <cellStyle name="Comma 4 3 2 2 2 4 2 5" xfId="29130" xr:uid="{07DFA795-803D-4B2F-AE7D-0EF0A72CC7E2}"/>
    <cellStyle name="Comma 4 3 2 2 2 4 3" xfId="5858" xr:uid="{00000000-0005-0000-0000-000023090000}"/>
    <cellStyle name="Comma 4 3 2 2 2 4 3 2" xfId="14308" xr:uid="{87BE3B25-9ED7-4F40-8F4F-C1B2F0A08A3D}"/>
    <cellStyle name="Comma 4 3 2 2 2 4 3 3" xfId="22755" xr:uid="{E9DA1CA4-D048-41B1-B68A-3FE1AC4B1575}"/>
    <cellStyle name="Comma 4 3 2 2 2 4 3 4" xfId="31202" xr:uid="{DE0925F7-BD65-419F-9B83-6F275E3EC52F}"/>
    <cellStyle name="Comma 4 3 2 2 2 4 4" xfId="10090" xr:uid="{7D7589D7-0BE2-47A1-B659-958EF8E98A0F}"/>
    <cellStyle name="Comma 4 3 2 2 2 4 5" xfId="18538" xr:uid="{F097A875-33CF-4123-BA24-889BCE25702B}"/>
    <cellStyle name="Comma 4 3 2 2 2 4 6" xfId="26985" xr:uid="{06B804E3-7281-4620-8744-11B9F148B4DC}"/>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456FD7FC-7BEA-4CC3-A3A5-B2DD260C35FC}"/>
    <cellStyle name="Comma 4 3 2 2 2 5 2 2 3" xfId="25313" xr:uid="{A0B6B624-182E-4A1E-B605-DCA9BEF0A05D}"/>
    <cellStyle name="Comma 4 3 2 2 2 5 2 2 4" xfId="33760" xr:uid="{4FDF782D-69BF-4530-B440-6FC616F756A0}"/>
    <cellStyle name="Comma 4 3 2 2 2 5 2 3" xfId="12648" xr:uid="{200B82FB-BF9F-4D81-AFDA-EFCB309D823C}"/>
    <cellStyle name="Comma 4 3 2 2 2 5 2 4" xfId="21096" xr:uid="{FE4EFF6A-5A28-4884-9833-D50932D545B3}"/>
    <cellStyle name="Comma 4 3 2 2 2 5 2 5" xfId="29543" xr:uid="{E9BB9DC6-6E89-4E0C-AAE0-53666AEBD579}"/>
    <cellStyle name="Comma 4 3 2 2 2 5 3" xfId="6271" xr:uid="{00000000-0005-0000-0000-000027090000}"/>
    <cellStyle name="Comma 4 3 2 2 2 5 3 2" xfId="14721" xr:uid="{3A30280D-CB5E-4609-A6E0-C07FDC15C30F}"/>
    <cellStyle name="Comma 4 3 2 2 2 5 3 3" xfId="23168" xr:uid="{B1D4B5AC-B36F-4F81-B6C8-B3B94B5FCAB4}"/>
    <cellStyle name="Comma 4 3 2 2 2 5 3 4" xfId="31615" xr:uid="{72AF41A6-BDB2-44C8-9E34-7B62D2C13E17}"/>
    <cellStyle name="Comma 4 3 2 2 2 5 4" xfId="10503" xr:uid="{F49285C8-E183-4917-8F7B-2BEB70104632}"/>
    <cellStyle name="Comma 4 3 2 2 2 5 5" xfId="18951" xr:uid="{F14493CF-88DF-4234-B712-A08A1B5C60D5}"/>
    <cellStyle name="Comma 4 3 2 2 2 5 6" xfId="27398" xr:uid="{A0E3AED1-2988-4780-93A9-97E9970F67DD}"/>
    <cellStyle name="Comma 4 3 2 2 2 6" xfId="2400" xr:uid="{00000000-0005-0000-0000-000028090000}"/>
    <cellStyle name="Comma 4 3 2 2 2 6 2" xfId="6684" xr:uid="{00000000-0005-0000-0000-000029090000}"/>
    <cellStyle name="Comma 4 3 2 2 2 6 2 2" xfId="15134" xr:uid="{2F05556E-5C05-49DF-84F2-66A3AFC93850}"/>
    <cellStyle name="Comma 4 3 2 2 2 6 2 3" xfId="23581" xr:uid="{DA538DB1-FF46-454E-A5C3-0597F6860CC5}"/>
    <cellStyle name="Comma 4 3 2 2 2 6 2 4" xfId="32028" xr:uid="{5A049FA4-5068-4B63-932A-FEE1B0BD48B6}"/>
    <cellStyle name="Comma 4 3 2 2 2 6 3" xfId="10916" xr:uid="{FF17FB12-1D7D-4F78-96F3-77F0FF8AF6E9}"/>
    <cellStyle name="Comma 4 3 2 2 2 6 4" xfId="19364" xr:uid="{CCA0E1A5-1F9B-4591-A670-46ACC349118E}"/>
    <cellStyle name="Comma 4 3 2 2 2 6 5" xfId="27811" xr:uid="{A8C225C0-EBAE-4804-B8B1-92527457807B}"/>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4475BDD4-7E06-4B49-8B06-4A1970DA66EB}"/>
    <cellStyle name="Comma 4 3 2 2 2 8 2 3" xfId="23898" xr:uid="{76A34DBC-EA56-4C2C-9EC2-25FE76164763}"/>
    <cellStyle name="Comma 4 3 2 2 2 8 2 4" xfId="32345" xr:uid="{E895709C-745B-441F-BB3E-BCE261D4F555}"/>
    <cellStyle name="Comma 4 3 2 2 2 8 3" xfId="11233" xr:uid="{87BD70A7-0D8D-4609-BED1-A3771B524193}"/>
    <cellStyle name="Comma 4 3 2 2 2 8 4" xfId="19681" xr:uid="{76B231E3-609D-4C3E-A036-4CEED315C771}"/>
    <cellStyle name="Comma 4 3 2 2 2 8 5" xfId="28128" xr:uid="{0C159CBA-9E22-4BDC-AD36-80F2DE09082C}"/>
    <cellStyle name="Comma 4 3 2 2 2 9" xfId="4618" xr:uid="{00000000-0005-0000-0000-00002D090000}"/>
    <cellStyle name="Comma 4 3 2 2 2 9 2" xfId="13068" xr:uid="{399440C3-DC4E-4F35-A39C-DDE3D1BCD65E}"/>
    <cellStyle name="Comma 4 3 2 2 2 9 3" xfId="21515" xr:uid="{CE268624-4DA7-458F-AB60-F0B5E9C5CB90}"/>
    <cellStyle name="Comma 4 3 2 2 2 9 4" xfId="29962" xr:uid="{98273CBA-D736-41D6-B625-3ED25797BFA6}"/>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7481B6D5-381F-4362-BF27-BF544C95C51F}"/>
    <cellStyle name="Comma 4 3 2 2 3 2 2 3" xfId="24073" xr:uid="{E2FBB4A4-FD20-4BC0-8B98-AED2B98D208A}"/>
    <cellStyle name="Comma 4 3 2 2 3 2 2 4" xfId="32520" xr:uid="{CA5295D5-DB0C-413C-A512-E84A5EFF4C73}"/>
    <cellStyle name="Comma 4 3 2 2 3 2 3" xfId="11408" xr:uid="{5DCEE611-9F86-40F5-A5A0-3AE83C1E6180}"/>
    <cellStyle name="Comma 4 3 2 2 3 2 4" xfId="19856" xr:uid="{ED8F3D39-89BC-41C4-A44F-5C213C23469E}"/>
    <cellStyle name="Comma 4 3 2 2 3 2 5" xfId="28303" xr:uid="{8C81622F-60ED-4B83-9EBB-364BE75CC3CB}"/>
    <cellStyle name="Comma 4 3 2 2 3 3" xfId="5031" xr:uid="{00000000-0005-0000-0000-000031090000}"/>
    <cellStyle name="Comma 4 3 2 2 3 3 2" xfId="13481" xr:uid="{4B4828B2-F928-454C-84B6-842AC7BB5DDE}"/>
    <cellStyle name="Comma 4 3 2 2 3 3 3" xfId="21928" xr:uid="{CDDFB0BF-5273-49BF-9A1D-9C03D832350D}"/>
    <cellStyle name="Comma 4 3 2 2 3 3 4" xfId="30375" xr:uid="{EF9F4FF9-9EC0-4A5C-B02B-EDFB7DB8E64B}"/>
    <cellStyle name="Comma 4 3 2 2 3 4" xfId="9263" xr:uid="{C9EB7059-9248-49DA-9465-2060F8111840}"/>
    <cellStyle name="Comma 4 3 2 2 3 5" xfId="17711" xr:uid="{8CDD415C-6E13-4C96-B226-0803BAA714FC}"/>
    <cellStyle name="Comma 4 3 2 2 3 6" xfId="26158" xr:uid="{36E6CE3E-8896-4EEB-8456-5A741147128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03A4DBE7-59F9-4E94-B30D-1DA565B85BCA}"/>
    <cellStyle name="Comma 4 3 2 2 4 2 2 3" xfId="24486" xr:uid="{A52110F8-D185-4073-AB42-A946710196D2}"/>
    <cellStyle name="Comma 4 3 2 2 4 2 2 4" xfId="32933" xr:uid="{E34C99B3-D3B9-4D28-94FF-9D05B05F6DDC}"/>
    <cellStyle name="Comma 4 3 2 2 4 2 3" xfId="11821" xr:uid="{68C10F30-F437-486B-A9D1-B3A3ECB4203C}"/>
    <cellStyle name="Comma 4 3 2 2 4 2 4" xfId="20269" xr:uid="{EA5217F9-0F8D-4A5F-B99E-6F25501966F9}"/>
    <cellStyle name="Comma 4 3 2 2 4 2 5" xfId="28716" xr:uid="{FA1B8968-477B-450E-A156-421C9C139DA8}"/>
    <cellStyle name="Comma 4 3 2 2 4 3" xfId="5444" xr:uid="{00000000-0005-0000-0000-000035090000}"/>
    <cellStyle name="Comma 4 3 2 2 4 3 2" xfId="13894" xr:uid="{0381D324-BD5D-49D1-A290-FBC0B0AB1B5B}"/>
    <cellStyle name="Comma 4 3 2 2 4 3 3" xfId="22341" xr:uid="{59F40366-CD95-49A9-8019-76FFEF7A6B26}"/>
    <cellStyle name="Comma 4 3 2 2 4 3 4" xfId="30788" xr:uid="{955861F5-EE59-4FF8-BCC1-22DEBEFE06CE}"/>
    <cellStyle name="Comma 4 3 2 2 4 4" xfId="9676" xr:uid="{E9FAB4FE-5B12-419E-9042-97A5983FC240}"/>
    <cellStyle name="Comma 4 3 2 2 4 5" xfId="18124" xr:uid="{BE889EFC-4B73-48A1-8FE4-A7EF21328223}"/>
    <cellStyle name="Comma 4 3 2 2 4 6" xfId="26571" xr:uid="{50D800E3-9C08-457A-B503-0D407DA754C5}"/>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8D359AC7-5FF0-4FF1-9267-C2C5540267A6}"/>
    <cellStyle name="Comma 4 3 2 2 5 2 2 3" xfId="24899" xr:uid="{62752DF1-DCA1-4631-B77D-F69958A9EA9F}"/>
    <cellStyle name="Comma 4 3 2 2 5 2 2 4" xfId="33346" xr:uid="{E73D8041-7DFE-4306-ABA6-85027AD19784}"/>
    <cellStyle name="Comma 4 3 2 2 5 2 3" xfId="12234" xr:uid="{C5C6D2EA-67F7-4D01-8C9D-841E30425753}"/>
    <cellStyle name="Comma 4 3 2 2 5 2 4" xfId="20682" xr:uid="{FD43E748-BF1A-400C-9FC0-7456EDD638C5}"/>
    <cellStyle name="Comma 4 3 2 2 5 2 5" xfId="29129" xr:uid="{B5D7E535-A700-422C-B725-73FDD2F9379D}"/>
    <cellStyle name="Comma 4 3 2 2 5 3" xfId="5857" xr:uid="{00000000-0005-0000-0000-000039090000}"/>
    <cellStyle name="Comma 4 3 2 2 5 3 2" xfId="14307" xr:uid="{D84BD7AF-BED2-4D74-9851-310CA0CF8DDF}"/>
    <cellStyle name="Comma 4 3 2 2 5 3 3" xfId="22754" xr:uid="{78A117C7-67E4-4A8B-B7E7-813E961A4161}"/>
    <cellStyle name="Comma 4 3 2 2 5 3 4" xfId="31201" xr:uid="{B9594E0E-9D2D-4A39-AF42-96C12BE21641}"/>
    <cellStyle name="Comma 4 3 2 2 5 4" xfId="10089" xr:uid="{94C13080-B00E-442E-B9AF-D2859E3B1F1E}"/>
    <cellStyle name="Comma 4 3 2 2 5 5" xfId="18537" xr:uid="{2DD16D7D-A925-4DC1-95C5-A2AE3EB9FF3E}"/>
    <cellStyle name="Comma 4 3 2 2 5 6" xfId="26984" xr:uid="{FFA23EB1-C395-432D-AD71-5BA5D262E0E9}"/>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46F9B4BA-A3C6-45AA-A298-212E9A95B8D4}"/>
    <cellStyle name="Comma 4 3 2 2 6 2 2 3" xfId="25312" xr:uid="{7F1F58D1-0FBD-4736-A840-2E7F6B57DDF2}"/>
    <cellStyle name="Comma 4 3 2 2 6 2 2 4" xfId="33759" xr:uid="{B0DECE04-0F94-4CDB-AA78-B5A9F1A40DA4}"/>
    <cellStyle name="Comma 4 3 2 2 6 2 3" xfId="12647" xr:uid="{B2CE3C3F-F06D-4921-9F54-20C4FA4B926D}"/>
    <cellStyle name="Comma 4 3 2 2 6 2 4" xfId="21095" xr:uid="{B5D67E18-F005-49DA-960F-0578F83B08E2}"/>
    <cellStyle name="Comma 4 3 2 2 6 2 5" xfId="29542" xr:uid="{4C9CB668-8F33-4517-AAA3-1B52B2B3B17A}"/>
    <cellStyle name="Comma 4 3 2 2 6 3" xfId="6270" xr:uid="{00000000-0005-0000-0000-00003D090000}"/>
    <cellStyle name="Comma 4 3 2 2 6 3 2" xfId="14720" xr:uid="{5D294ACA-BCAB-41DF-AD5D-5D4E859A7EE3}"/>
    <cellStyle name="Comma 4 3 2 2 6 3 3" xfId="23167" xr:uid="{8EE32BA9-72B2-4B8A-A734-693B6894BFE2}"/>
    <cellStyle name="Comma 4 3 2 2 6 3 4" xfId="31614" xr:uid="{ED6A2CE5-9E36-4F94-A355-FBD60FF11F98}"/>
    <cellStyle name="Comma 4 3 2 2 6 4" xfId="10502" xr:uid="{3F21985C-E136-4325-8896-4A549B3721C5}"/>
    <cellStyle name="Comma 4 3 2 2 6 5" xfId="18950" xr:uid="{622A274B-A723-49BA-9A41-0644876693FD}"/>
    <cellStyle name="Comma 4 3 2 2 6 6" xfId="27397" xr:uid="{F10F4E59-F312-4572-BCD4-9691448B70AE}"/>
    <cellStyle name="Comma 4 3 2 2 7" xfId="2399" xr:uid="{00000000-0005-0000-0000-00003E090000}"/>
    <cellStyle name="Comma 4 3 2 2 7 2" xfId="6683" xr:uid="{00000000-0005-0000-0000-00003F090000}"/>
    <cellStyle name="Comma 4 3 2 2 7 2 2" xfId="15133" xr:uid="{E246EF5E-C83B-4768-B721-A1B567EB6FC3}"/>
    <cellStyle name="Comma 4 3 2 2 7 2 3" xfId="23580" xr:uid="{FCF5B15C-31D3-46B7-BA20-0E465054C4F0}"/>
    <cellStyle name="Comma 4 3 2 2 7 2 4" xfId="32027" xr:uid="{8488A5E0-75D5-4A1C-AEEF-D775E94CFBCF}"/>
    <cellStyle name="Comma 4 3 2 2 7 3" xfId="10915" xr:uid="{C9C52FDF-ED9A-4306-B7D6-589DFE4957A2}"/>
    <cellStyle name="Comma 4 3 2 2 7 4" xfId="19363" xr:uid="{AA086678-86AE-4882-A870-068803A37BEA}"/>
    <cellStyle name="Comma 4 3 2 2 7 5" xfId="27810" xr:uid="{52E29055-5835-48E2-9057-A945F2C3B7FA}"/>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BAC3439-2EC4-4179-9ADF-0C51C19BD266}"/>
    <cellStyle name="Comma 4 3 2 2 9 2 3" xfId="23897" xr:uid="{C4219C66-4CA4-42D1-B3C2-7F0D61FCD47E}"/>
    <cellStyle name="Comma 4 3 2 2 9 2 4" xfId="32344" xr:uid="{710564EF-656F-4FE3-8110-0B7638A22130}"/>
    <cellStyle name="Comma 4 3 2 2 9 3" xfId="11232" xr:uid="{3169D81C-F31A-4946-B57B-DCA85C39B76B}"/>
    <cellStyle name="Comma 4 3 2 2 9 4" xfId="19680" xr:uid="{0D691A8A-774D-4B01-8E5F-4FBA4250EA12}"/>
    <cellStyle name="Comma 4 3 2 2 9 5" xfId="28127" xr:uid="{20DF2BF0-3F1F-47E0-8F89-C71C52CEF5BF}"/>
    <cellStyle name="Comma 4 3 2 3" xfId="148" xr:uid="{00000000-0005-0000-0000-000043090000}"/>
    <cellStyle name="Comma 4 3 2 3 10" xfId="8851" xr:uid="{6A674831-09A4-4BCD-BB00-C822367524DB}"/>
    <cellStyle name="Comma 4 3 2 3 11" xfId="17299" xr:uid="{783AC7CC-3C98-4A26-B12A-FDBAE91CAF23}"/>
    <cellStyle name="Comma 4 3 2 3 12" xfId="25746" xr:uid="{B9E5BD7F-F2CB-481D-9770-239B9DF6C019}"/>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82F51C63-4E01-448A-A11F-9198BFEC0D53}"/>
    <cellStyle name="Comma 4 3 2 3 2 2 2 3" xfId="24075" xr:uid="{408442D5-6D51-4917-AF08-555EDCE9A5FF}"/>
    <cellStyle name="Comma 4 3 2 3 2 2 2 4" xfId="32522" xr:uid="{2EA2C642-8BCC-4B39-8152-E9A8CEBD8B08}"/>
    <cellStyle name="Comma 4 3 2 3 2 2 3" xfId="11410" xr:uid="{5AF47300-2B0E-4286-957B-86FAE3D4FE3F}"/>
    <cellStyle name="Comma 4 3 2 3 2 2 4" xfId="19858" xr:uid="{69B2F3D9-8EC9-45EA-9B71-B1B61BE5DE92}"/>
    <cellStyle name="Comma 4 3 2 3 2 2 5" xfId="28305" xr:uid="{82D35D64-2F5D-4393-B2E5-570061037DD7}"/>
    <cellStyle name="Comma 4 3 2 3 2 3" xfId="5033" xr:uid="{00000000-0005-0000-0000-000047090000}"/>
    <cellStyle name="Comma 4 3 2 3 2 3 2" xfId="13483" xr:uid="{497D5C72-3595-4F4F-9315-474115C22AE8}"/>
    <cellStyle name="Comma 4 3 2 3 2 3 3" xfId="21930" xr:uid="{6A95EBE2-5B5A-47E8-9495-D2D79D50E28C}"/>
    <cellStyle name="Comma 4 3 2 3 2 3 4" xfId="30377" xr:uid="{88C966B1-E419-4B0C-A778-A4CD67A95CD0}"/>
    <cellStyle name="Comma 4 3 2 3 2 4" xfId="9265" xr:uid="{6C7939CB-3331-414D-889C-AE0358C5AE74}"/>
    <cellStyle name="Comma 4 3 2 3 2 5" xfId="17713" xr:uid="{6A8F4DE0-2E79-4D24-93C2-A475B7EA75BC}"/>
    <cellStyle name="Comma 4 3 2 3 2 6" xfId="26160" xr:uid="{44ED08DE-5C88-462F-80D2-1F2C2A265F28}"/>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798CCBF0-E419-4810-A6CE-7E7B46476A4F}"/>
    <cellStyle name="Comma 4 3 2 3 3 2 2 3" xfId="24488" xr:uid="{C5719493-6AB6-4FBA-AA17-E639FDE855B4}"/>
    <cellStyle name="Comma 4 3 2 3 3 2 2 4" xfId="32935" xr:uid="{10A6702E-92DB-4C50-AAC3-6C9E79EA8E4A}"/>
    <cellStyle name="Comma 4 3 2 3 3 2 3" xfId="11823" xr:uid="{27CE813C-AF3D-499F-AFD0-13E68BEEF217}"/>
    <cellStyle name="Comma 4 3 2 3 3 2 4" xfId="20271" xr:uid="{1A6CAB26-4ADE-44D6-B4DC-663883F18F78}"/>
    <cellStyle name="Comma 4 3 2 3 3 2 5" xfId="28718" xr:uid="{046F2BF7-1186-4BB3-8625-5B7710CFAFAF}"/>
    <cellStyle name="Comma 4 3 2 3 3 3" xfId="5446" xr:uid="{00000000-0005-0000-0000-00004B090000}"/>
    <cellStyle name="Comma 4 3 2 3 3 3 2" xfId="13896" xr:uid="{D977A436-02AD-477D-A6E7-A9EE99E15592}"/>
    <cellStyle name="Comma 4 3 2 3 3 3 3" xfId="22343" xr:uid="{3AD2ABB5-8381-4000-81AC-3B4C31993B82}"/>
    <cellStyle name="Comma 4 3 2 3 3 3 4" xfId="30790" xr:uid="{DB96B0FA-2D88-478D-B17C-CDE94DB56BF8}"/>
    <cellStyle name="Comma 4 3 2 3 3 4" xfId="9678" xr:uid="{2E01B1A0-627D-4704-97B4-B49410B8BB14}"/>
    <cellStyle name="Comma 4 3 2 3 3 5" xfId="18126" xr:uid="{C6FCE364-88F7-41C5-BC33-96BAD20E8254}"/>
    <cellStyle name="Comma 4 3 2 3 3 6" xfId="26573" xr:uid="{95822B30-7ADF-4FDE-A2D9-24C27DADC325}"/>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A2EFCE1D-FECB-4B98-892B-3F858B640248}"/>
    <cellStyle name="Comma 4 3 2 3 4 2 2 3" xfId="24901" xr:uid="{4F29F541-7FF9-4F92-8CF8-79629C0913D3}"/>
    <cellStyle name="Comma 4 3 2 3 4 2 2 4" xfId="33348" xr:uid="{B0910CC2-BBC4-427E-96E5-DC1B5837BAE8}"/>
    <cellStyle name="Comma 4 3 2 3 4 2 3" xfId="12236" xr:uid="{BA887161-B541-4478-A161-3A7EB6F19A9E}"/>
    <cellStyle name="Comma 4 3 2 3 4 2 4" xfId="20684" xr:uid="{DFEE0459-A3BB-4617-8B90-F83B6B8F40A9}"/>
    <cellStyle name="Comma 4 3 2 3 4 2 5" xfId="29131" xr:uid="{664368F2-73B2-4343-9B33-CD3FEDCC5E6E}"/>
    <cellStyle name="Comma 4 3 2 3 4 3" xfId="5859" xr:uid="{00000000-0005-0000-0000-00004F090000}"/>
    <cellStyle name="Comma 4 3 2 3 4 3 2" xfId="14309" xr:uid="{E38D4DCB-BBDF-486A-A75D-9D3A51BCE1A0}"/>
    <cellStyle name="Comma 4 3 2 3 4 3 3" xfId="22756" xr:uid="{AC9D260C-7589-4542-969A-A6A4370E3D4F}"/>
    <cellStyle name="Comma 4 3 2 3 4 3 4" xfId="31203" xr:uid="{C1361EBD-237F-4829-9868-8171793439D0}"/>
    <cellStyle name="Comma 4 3 2 3 4 4" xfId="10091" xr:uid="{6A1CF53A-BFDF-497A-AC5F-1F285A9E11A6}"/>
    <cellStyle name="Comma 4 3 2 3 4 5" xfId="18539" xr:uid="{00264D48-616C-442B-BA0A-3B1C85591386}"/>
    <cellStyle name="Comma 4 3 2 3 4 6" xfId="26986" xr:uid="{CF500E1A-9846-45FF-B929-F42EF24AD386}"/>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04563E18-D301-4DA9-8624-9E4A459575C5}"/>
    <cellStyle name="Comma 4 3 2 3 5 2 2 3" xfId="25314" xr:uid="{F023E1E7-F272-4FE9-B65B-F4966D69A5F0}"/>
    <cellStyle name="Comma 4 3 2 3 5 2 2 4" xfId="33761" xr:uid="{B3B5F7D6-FE7F-4C75-84AF-7BB889D55692}"/>
    <cellStyle name="Comma 4 3 2 3 5 2 3" xfId="12649" xr:uid="{ECCFDA02-13A2-46CB-A729-9DBC1D205C7F}"/>
    <cellStyle name="Comma 4 3 2 3 5 2 4" xfId="21097" xr:uid="{AA0E3DFE-CA1F-4C0B-92D2-FCDA2AB83540}"/>
    <cellStyle name="Comma 4 3 2 3 5 2 5" xfId="29544" xr:uid="{92036C9E-7FF3-48CF-84ED-298EEE6170A8}"/>
    <cellStyle name="Comma 4 3 2 3 5 3" xfId="6272" xr:uid="{00000000-0005-0000-0000-000053090000}"/>
    <cellStyle name="Comma 4 3 2 3 5 3 2" xfId="14722" xr:uid="{0ECCB7FC-3A16-42B5-B8C1-CABBC9E6E9DC}"/>
    <cellStyle name="Comma 4 3 2 3 5 3 3" xfId="23169" xr:uid="{BF9F3A0F-7D67-4734-8A8B-E1A4C0E56316}"/>
    <cellStyle name="Comma 4 3 2 3 5 3 4" xfId="31616" xr:uid="{D2F6D470-5764-4A56-B3AF-D70C880FE36F}"/>
    <cellStyle name="Comma 4 3 2 3 5 4" xfId="10504" xr:uid="{2C2E798A-5F4E-48F8-8285-AF4A3463CF8D}"/>
    <cellStyle name="Comma 4 3 2 3 5 5" xfId="18952" xr:uid="{6D6BD32F-51DA-4699-891F-9ADA05459AC4}"/>
    <cellStyle name="Comma 4 3 2 3 5 6" xfId="27399" xr:uid="{7EB30135-04B5-438F-889B-543A8DA2FE06}"/>
    <cellStyle name="Comma 4 3 2 3 6" xfId="2401" xr:uid="{00000000-0005-0000-0000-000054090000}"/>
    <cellStyle name="Comma 4 3 2 3 6 2" xfId="6685" xr:uid="{00000000-0005-0000-0000-000055090000}"/>
    <cellStyle name="Comma 4 3 2 3 6 2 2" xfId="15135" xr:uid="{E4101D46-6C2D-478C-8F66-891DCC6287BB}"/>
    <cellStyle name="Comma 4 3 2 3 6 2 3" xfId="23582" xr:uid="{920F1268-B289-47EC-A662-5D5B8793BBAA}"/>
    <cellStyle name="Comma 4 3 2 3 6 2 4" xfId="32029" xr:uid="{752CF961-9A5A-44DE-8275-BBADED9FECBE}"/>
    <cellStyle name="Comma 4 3 2 3 6 3" xfId="10917" xr:uid="{292E5697-B1A3-4853-A1AE-12E7665BBEEF}"/>
    <cellStyle name="Comma 4 3 2 3 6 4" xfId="19365" xr:uid="{B8130D09-541B-4E9D-B4E5-CD37DE766785}"/>
    <cellStyle name="Comma 4 3 2 3 6 5" xfId="27812" xr:uid="{FE6A1D1F-1985-438A-90D5-172168256F8F}"/>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A3F025CA-1228-4304-A9EE-33B1F5A5406E}"/>
    <cellStyle name="Comma 4 3 2 3 8 2 3" xfId="23899" xr:uid="{623DF094-E3D4-4F87-A6D7-7B6FB680973E}"/>
    <cellStyle name="Comma 4 3 2 3 8 2 4" xfId="32346" xr:uid="{AA16E6CB-CA17-4ABB-A322-D5B80FE1AEF5}"/>
    <cellStyle name="Comma 4 3 2 3 8 3" xfId="11234" xr:uid="{1F28C56A-682F-45C3-A466-550A649D7AF1}"/>
    <cellStyle name="Comma 4 3 2 3 8 4" xfId="19682" xr:uid="{76FAAFC0-339D-400F-8C1A-D7DA063AB2AF}"/>
    <cellStyle name="Comma 4 3 2 3 8 5" xfId="28129" xr:uid="{3C14A036-9BDC-4E7E-AE6A-EACD98725EDB}"/>
    <cellStyle name="Comma 4 3 2 3 9" xfId="4619" xr:uid="{00000000-0005-0000-0000-000059090000}"/>
    <cellStyle name="Comma 4 3 2 3 9 2" xfId="13069" xr:uid="{AC51D75A-DC76-4D1D-869F-3385EF57047C}"/>
    <cellStyle name="Comma 4 3 2 3 9 3" xfId="21516" xr:uid="{92C77E07-D279-4FF9-9AC1-440D8C357DFB}"/>
    <cellStyle name="Comma 4 3 2 3 9 4" xfId="29963" xr:uid="{4626544D-AED8-47F2-A6ED-99120B597AAC}"/>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BB03C52A-9F8A-4B77-8AED-4A1BE5960F8E}"/>
    <cellStyle name="Comma 4 3 2 4 2 2 3" xfId="24072" xr:uid="{A23B5710-D212-4BDE-A3D9-FEC5B28FBCBB}"/>
    <cellStyle name="Comma 4 3 2 4 2 2 4" xfId="32519" xr:uid="{D0CF0D0F-8B19-4600-8932-CC9DA4866880}"/>
    <cellStyle name="Comma 4 3 2 4 2 3" xfId="11407" xr:uid="{3F08294D-631B-4382-89B2-B1981FCE6976}"/>
    <cellStyle name="Comma 4 3 2 4 2 4" xfId="19855" xr:uid="{40F47BF7-8122-4BDB-850D-393C366E8DA1}"/>
    <cellStyle name="Comma 4 3 2 4 2 5" xfId="28302" xr:uid="{E178F391-878A-46C3-A762-16A5E33FEB67}"/>
    <cellStyle name="Comma 4 3 2 4 3" xfId="5030" xr:uid="{00000000-0005-0000-0000-00005D090000}"/>
    <cellStyle name="Comma 4 3 2 4 3 2" xfId="13480" xr:uid="{30A44405-8539-416F-9EC9-766B3B4430F2}"/>
    <cellStyle name="Comma 4 3 2 4 3 3" xfId="21927" xr:uid="{EB9E4E90-2A9C-449A-8924-65D761DBB957}"/>
    <cellStyle name="Comma 4 3 2 4 3 4" xfId="30374" xr:uid="{A448397B-170F-479A-85FF-A864CC4061B8}"/>
    <cellStyle name="Comma 4 3 2 4 4" xfId="9262" xr:uid="{7388BA1B-2572-4AF9-9097-F5E3B68323F6}"/>
    <cellStyle name="Comma 4 3 2 4 5" xfId="17710" xr:uid="{EA01EA37-A99B-4B4A-8840-747577906294}"/>
    <cellStyle name="Comma 4 3 2 4 6" xfId="26157" xr:uid="{2B44AD6F-02DF-420B-B286-6D6F87901DC7}"/>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53DB1A77-18F3-4656-9B8E-E80B3FA16E91}"/>
    <cellStyle name="Comma 4 3 2 5 2 2 3" xfId="24485" xr:uid="{2FD7599A-0C59-4206-BB5B-C02DDB9FF328}"/>
    <cellStyle name="Comma 4 3 2 5 2 2 4" xfId="32932" xr:uid="{309213E9-03DC-46D2-9632-48D66AF2552F}"/>
    <cellStyle name="Comma 4 3 2 5 2 3" xfId="11820" xr:uid="{8E52E0AE-F046-430F-A983-D8324F192534}"/>
    <cellStyle name="Comma 4 3 2 5 2 4" xfId="20268" xr:uid="{1022F58A-A2C1-427D-B2F8-D3C2AB3E3268}"/>
    <cellStyle name="Comma 4 3 2 5 2 5" xfId="28715" xr:uid="{6733565F-6649-46BF-B210-E13C8D152F8D}"/>
    <cellStyle name="Comma 4 3 2 5 3" xfId="5443" xr:uid="{00000000-0005-0000-0000-000061090000}"/>
    <cellStyle name="Comma 4 3 2 5 3 2" xfId="13893" xr:uid="{511F437A-C647-4594-A24B-32BDFA5604EB}"/>
    <cellStyle name="Comma 4 3 2 5 3 3" xfId="22340" xr:uid="{EA4DCE76-F109-47DD-9B0F-7FFBB9B33C80}"/>
    <cellStyle name="Comma 4 3 2 5 3 4" xfId="30787" xr:uid="{1412D863-0251-43E0-8A85-C87CCA808093}"/>
    <cellStyle name="Comma 4 3 2 5 4" xfId="9675" xr:uid="{157C84F6-8DFB-4BC8-BDD4-05F500359A32}"/>
    <cellStyle name="Comma 4 3 2 5 5" xfId="18123" xr:uid="{7989FF34-680A-40D8-BEF8-7158D60683AF}"/>
    <cellStyle name="Comma 4 3 2 5 6" xfId="26570" xr:uid="{2230A56D-DC8A-4F40-AECB-02A4CB6C4A42}"/>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7B1FE433-93DC-4235-AABB-EF63E0987D11}"/>
    <cellStyle name="Comma 4 3 2 6 2 2 3" xfId="24898" xr:uid="{AADA4931-0445-4850-8FAA-D93237AF9BE5}"/>
    <cellStyle name="Comma 4 3 2 6 2 2 4" xfId="33345" xr:uid="{FA57E37D-7886-400F-AEF5-55CD22855E52}"/>
    <cellStyle name="Comma 4 3 2 6 2 3" xfId="12233" xr:uid="{C57A32FD-2E9B-476B-B313-EA1A68B94253}"/>
    <cellStyle name="Comma 4 3 2 6 2 4" xfId="20681" xr:uid="{E83CB479-E91D-473A-A0C4-F175A66D90F1}"/>
    <cellStyle name="Comma 4 3 2 6 2 5" xfId="29128" xr:uid="{F4F010E6-69A9-4A93-83D3-AF96A3C4C5C5}"/>
    <cellStyle name="Comma 4 3 2 6 3" xfId="5856" xr:uid="{00000000-0005-0000-0000-000065090000}"/>
    <cellStyle name="Comma 4 3 2 6 3 2" xfId="14306" xr:uid="{14860DEC-A0E7-4B3C-BD46-EA4F8A7B3FE0}"/>
    <cellStyle name="Comma 4 3 2 6 3 3" xfId="22753" xr:uid="{AAD573F5-14C3-4891-B101-F4075C1E9661}"/>
    <cellStyle name="Comma 4 3 2 6 3 4" xfId="31200" xr:uid="{4A318616-D8A4-4165-80C8-11BDE74E0575}"/>
    <cellStyle name="Comma 4 3 2 6 4" xfId="10088" xr:uid="{D6DDD165-09C3-4C34-9C18-FA0318684106}"/>
    <cellStyle name="Comma 4 3 2 6 5" xfId="18536" xr:uid="{838F694E-F25E-4E93-8C7E-8C9BF68FF1F8}"/>
    <cellStyle name="Comma 4 3 2 6 6" xfId="26983" xr:uid="{61711B52-F844-4D0B-A897-C025FF8CDC91}"/>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F0392DA6-FA04-489A-882C-1F0FA7FF3AC6}"/>
    <cellStyle name="Comma 4 3 2 7 2 2 3" xfId="25311" xr:uid="{22B93CD9-CFEE-40E4-B00A-886500E2A5D4}"/>
    <cellStyle name="Comma 4 3 2 7 2 2 4" xfId="33758" xr:uid="{3EF21EB1-9F64-4902-B31B-31714C24045E}"/>
    <cellStyle name="Comma 4 3 2 7 2 3" xfId="12646" xr:uid="{D449C8DC-14D8-4B98-BD46-E8A4E66DB123}"/>
    <cellStyle name="Comma 4 3 2 7 2 4" xfId="21094" xr:uid="{25353CD0-C019-424C-9995-232A8AAB9DC4}"/>
    <cellStyle name="Comma 4 3 2 7 2 5" xfId="29541" xr:uid="{0FA112C4-97E7-4FB7-869C-E8220C1E9A09}"/>
    <cellStyle name="Comma 4 3 2 7 3" xfId="6269" xr:uid="{00000000-0005-0000-0000-000069090000}"/>
    <cellStyle name="Comma 4 3 2 7 3 2" xfId="14719" xr:uid="{42791F8F-CABE-4726-81F6-05EF77BD1D89}"/>
    <cellStyle name="Comma 4 3 2 7 3 3" xfId="23166" xr:uid="{2A792729-0D62-49AD-A2C5-74B429312ADE}"/>
    <cellStyle name="Comma 4 3 2 7 3 4" xfId="31613" xr:uid="{C15896D2-E197-4EE8-92F0-E6F33B62499C}"/>
    <cellStyle name="Comma 4 3 2 7 4" xfId="10501" xr:uid="{772079DF-1B2D-4ADD-A2F7-0125680D510C}"/>
    <cellStyle name="Comma 4 3 2 7 5" xfId="18949" xr:uid="{0CE386A6-FE76-4348-9414-DE393270551A}"/>
    <cellStyle name="Comma 4 3 2 7 6" xfId="27396" xr:uid="{CA4209F7-1866-44B5-A293-2298385F7727}"/>
    <cellStyle name="Comma 4 3 2 8" xfId="2398" xr:uid="{00000000-0005-0000-0000-00006A090000}"/>
    <cellStyle name="Comma 4 3 2 8 2" xfId="6682" xr:uid="{00000000-0005-0000-0000-00006B090000}"/>
    <cellStyle name="Comma 4 3 2 8 2 2" xfId="15132" xr:uid="{194943B6-FC14-41A0-8603-3CD46B25E887}"/>
    <cellStyle name="Comma 4 3 2 8 2 3" xfId="23579" xr:uid="{F4EDDC87-6DFC-482E-9BBD-5768941FCED6}"/>
    <cellStyle name="Comma 4 3 2 8 2 4" xfId="32026" xr:uid="{AADEEC6E-F2EC-499F-9FAB-76DEF587EE3A}"/>
    <cellStyle name="Comma 4 3 2 8 3" xfId="10914" xr:uid="{037C4625-336A-444C-AE1B-729BDF3EA859}"/>
    <cellStyle name="Comma 4 3 2 8 4" xfId="19362" xr:uid="{C4885572-8E46-488B-A16A-F8AA14BD3910}"/>
    <cellStyle name="Comma 4 3 2 8 5" xfId="27809" xr:uid="{2675DE68-4DF1-4EAB-8A69-5DD2029C9DD2}"/>
    <cellStyle name="Comma 4 3 2 9" xfId="2365" xr:uid="{00000000-0005-0000-0000-00006C090000}"/>
    <cellStyle name="Comma 4 3 3" xfId="149" xr:uid="{00000000-0005-0000-0000-00006D090000}"/>
    <cellStyle name="Comma 4 3 3 10" xfId="4620" xr:uid="{00000000-0005-0000-0000-00006E090000}"/>
    <cellStyle name="Comma 4 3 3 10 2" xfId="13070" xr:uid="{6A299CAB-D30C-4835-A9AB-E4D31AF6651A}"/>
    <cellStyle name="Comma 4 3 3 10 3" xfId="21517" xr:uid="{0E5574A1-0395-4876-9BB7-AA361E0DB5A4}"/>
    <cellStyle name="Comma 4 3 3 10 4" xfId="29964" xr:uid="{A32701AC-684B-404F-A5A7-171FAEE866A1}"/>
    <cellStyle name="Comma 4 3 3 11" xfId="8852" xr:uid="{FA7A3A69-FAFC-429D-85DE-F25A02ED415C}"/>
    <cellStyle name="Comma 4 3 3 12" xfId="17300" xr:uid="{88BE79F6-FE1C-4812-8B35-76CE3134F35E}"/>
    <cellStyle name="Comma 4 3 3 13" xfId="25747" xr:uid="{CFCFB0F9-D0B3-4FC5-8FA0-B325F7A31B6B}"/>
    <cellStyle name="Comma 4 3 3 2" xfId="150" xr:uid="{00000000-0005-0000-0000-00006F090000}"/>
    <cellStyle name="Comma 4 3 3 2 10" xfId="8853" xr:uid="{0CD1FCB6-067B-48E4-BBEE-B4B0EFB2A245}"/>
    <cellStyle name="Comma 4 3 3 2 11" xfId="17301" xr:uid="{9070E00D-5AE1-4C24-8650-8950D00CAAE4}"/>
    <cellStyle name="Comma 4 3 3 2 12" xfId="25748" xr:uid="{C554E9F5-C4DB-4AB4-8BAE-91A3C10E05BB}"/>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684B45C9-9A30-4F55-AF9F-EE2E43C325E4}"/>
    <cellStyle name="Comma 4 3 3 2 2 2 2 3" xfId="24077" xr:uid="{38023934-0DA8-4EAB-8E46-A6D575DE1C16}"/>
    <cellStyle name="Comma 4 3 3 2 2 2 2 4" xfId="32524" xr:uid="{B6572B5F-83A6-4FCC-8076-2D0BEE8099DA}"/>
    <cellStyle name="Comma 4 3 3 2 2 2 3" xfId="11412" xr:uid="{3EC77B8C-8A66-499C-86CF-D4043A2522FE}"/>
    <cellStyle name="Comma 4 3 3 2 2 2 4" xfId="19860" xr:uid="{E27FB838-5F45-4D91-8E7E-C3F0B1998EC0}"/>
    <cellStyle name="Comma 4 3 3 2 2 2 5" xfId="28307" xr:uid="{AB1CA3F9-4180-4C69-9CFD-7654F8BC47B1}"/>
    <cellStyle name="Comma 4 3 3 2 2 3" xfId="5035" xr:uid="{00000000-0005-0000-0000-000073090000}"/>
    <cellStyle name="Comma 4 3 3 2 2 3 2" xfId="13485" xr:uid="{CC910774-3B16-4F7F-92E6-77E1171ECE1C}"/>
    <cellStyle name="Comma 4 3 3 2 2 3 3" xfId="21932" xr:uid="{5252D1ED-9680-4697-9FFE-A1D6145BC0AC}"/>
    <cellStyle name="Comma 4 3 3 2 2 3 4" xfId="30379" xr:uid="{E266C199-06AD-49FF-9BB3-CE3B598CC50D}"/>
    <cellStyle name="Comma 4 3 3 2 2 4" xfId="9267" xr:uid="{169EB149-2E10-4CE9-BC77-4240BE1DF1CF}"/>
    <cellStyle name="Comma 4 3 3 2 2 5" xfId="17715" xr:uid="{C4B12510-F49E-48D7-974E-130DA0F3D32E}"/>
    <cellStyle name="Comma 4 3 3 2 2 6" xfId="26162" xr:uid="{7AE2491E-5A2A-423D-8463-D21AB3709AAA}"/>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5DAC9D1F-E946-43FC-8F11-7F88F895A0EB}"/>
    <cellStyle name="Comma 4 3 3 2 3 2 2 3" xfId="24490" xr:uid="{A3F47EE7-B08C-4B2D-8624-FD31A0DCDBDF}"/>
    <cellStyle name="Comma 4 3 3 2 3 2 2 4" xfId="32937" xr:uid="{DC12FF05-19C5-4E43-8FCF-37CD6901B6DE}"/>
    <cellStyle name="Comma 4 3 3 2 3 2 3" xfId="11825" xr:uid="{4944F184-E8AF-4A74-8518-39DFD4F9F01E}"/>
    <cellStyle name="Comma 4 3 3 2 3 2 4" xfId="20273" xr:uid="{139DFEF0-6130-48B4-A36A-0184AD9ECE3B}"/>
    <cellStyle name="Comma 4 3 3 2 3 2 5" xfId="28720" xr:uid="{E8B60DAE-9666-4788-958D-D494F4E7D016}"/>
    <cellStyle name="Comma 4 3 3 2 3 3" xfId="5448" xr:uid="{00000000-0005-0000-0000-000077090000}"/>
    <cellStyle name="Comma 4 3 3 2 3 3 2" xfId="13898" xr:uid="{B9044F85-5170-4590-81D4-0BB25D2987AF}"/>
    <cellStyle name="Comma 4 3 3 2 3 3 3" xfId="22345" xr:uid="{FBCB147C-298F-4652-B1C0-2EBDC2BAC998}"/>
    <cellStyle name="Comma 4 3 3 2 3 3 4" xfId="30792" xr:uid="{E2181D6C-7415-4D2B-A4A8-D00B690B641E}"/>
    <cellStyle name="Comma 4 3 3 2 3 4" xfId="9680" xr:uid="{1C2A0814-370C-40D5-92FF-5F9F8FB2B820}"/>
    <cellStyle name="Comma 4 3 3 2 3 5" xfId="18128" xr:uid="{69E8142F-B2DC-4578-8AB7-728C00A0AF10}"/>
    <cellStyle name="Comma 4 3 3 2 3 6" xfId="26575" xr:uid="{EDDAFFA5-DC84-41BF-9A30-7C9FB993015E}"/>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D2FB2E87-E186-417A-A0A2-EBB661C7A535}"/>
    <cellStyle name="Comma 4 3 3 2 4 2 2 3" xfId="24903" xr:uid="{71CCD49E-640E-40B2-8985-A3E77E6AF36D}"/>
    <cellStyle name="Comma 4 3 3 2 4 2 2 4" xfId="33350" xr:uid="{2CC4BA64-9B28-4D00-ACEE-80FC7E46EE41}"/>
    <cellStyle name="Comma 4 3 3 2 4 2 3" xfId="12238" xr:uid="{8174CE74-FE08-482D-A48C-A4A517818F54}"/>
    <cellStyle name="Comma 4 3 3 2 4 2 4" xfId="20686" xr:uid="{6A1BDE88-4C5D-4F75-91B8-80FB4DE31218}"/>
    <cellStyle name="Comma 4 3 3 2 4 2 5" xfId="29133" xr:uid="{1458E6EC-93A3-473C-B1B0-925C45F011DB}"/>
    <cellStyle name="Comma 4 3 3 2 4 3" xfId="5861" xr:uid="{00000000-0005-0000-0000-00007B090000}"/>
    <cellStyle name="Comma 4 3 3 2 4 3 2" xfId="14311" xr:uid="{AB7AF860-D233-4473-B1EB-9172C5B3FF07}"/>
    <cellStyle name="Comma 4 3 3 2 4 3 3" xfId="22758" xr:uid="{8385D2E4-889C-439B-9466-06347F8C7B20}"/>
    <cellStyle name="Comma 4 3 3 2 4 3 4" xfId="31205" xr:uid="{96E3C57D-9CF9-49B0-80B4-38A88F10161B}"/>
    <cellStyle name="Comma 4 3 3 2 4 4" xfId="10093" xr:uid="{F25B32F4-C2D1-4A6F-9C81-CC1010778D8D}"/>
    <cellStyle name="Comma 4 3 3 2 4 5" xfId="18541" xr:uid="{334E3297-E7E0-4CAA-903A-064B50884E6A}"/>
    <cellStyle name="Comma 4 3 3 2 4 6" xfId="26988" xr:uid="{38075818-B41C-4F60-9C01-58458124798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78761D29-C171-4839-940A-AAD1C624F62E}"/>
    <cellStyle name="Comma 4 3 3 2 5 2 2 3" xfId="25316" xr:uid="{39007CFE-B79D-42F1-A23F-A0E36DBF3E65}"/>
    <cellStyle name="Comma 4 3 3 2 5 2 2 4" xfId="33763" xr:uid="{9B0E7C71-60F3-4D3D-BC34-B8FDA9D66A4C}"/>
    <cellStyle name="Comma 4 3 3 2 5 2 3" xfId="12651" xr:uid="{1F98C4E8-2A3B-4E34-9624-56F09375F6EF}"/>
    <cellStyle name="Comma 4 3 3 2 5 2 4" xfId="21099" xr:uid="{54F84C1C-EB39-485F-A40A-5B5A7CB57655}"/>
    <cellStyle name="Comma 4 3 3 2 5 2 5" xfId="29546" xr:uid="{06162A78-CF47-46EA-A6B2-5094367A1F4D}"/>
    <cellStyle name="Comma 4 3 3 2 5 3" xfId="6274" xr:uid="{00000000-0005-0000-0000-00007F090000}"/>
    <cellStyle name="Comma 4 3 3 2 5 3 2" xfId="14724" xr:uid="{DA78E394-F5AB-4746-A3A7-CAD486F61BFA}"/>
    <cellStyle name="Comma 4 3 3 2 5 3 3" xfId="23171" xr:uid="{BEABFA4A-4958-43B3-8446-C879B9409861}"/>
    <cellStyle name="Comma 4 3 3 2 5 3 4" xfId="31618" xr:uid="{DCC00DCF-E631-4A9A-9FB1-F99036526AF0}"/>
    <cellStyle name="Comma 4 3 3 2 5 4" xfId="10506" xr:uid="{5F917407-B5AC-4210-B7B2-03191A4C009C}"/>
    <cellStyle name="Comma 4 3 3 2 5 5" xfId="18954" xr:uid="{9B9C2F10-316D-4BBF-91A9-DFA72225E23A}"/>
    <cellStyle name="Comma 4 3 3 2 5 6" xfId="27401" xr:uid="{8638DA72-B56D-48D4-88E5-714532FEA481}"/>
    <cellStyle name="Comma 4 3 3 2 6" xfId="2403" xr:uid="{00000000-0005-0000-0000-000080090000}"/>
    <cellStyle name="Comma 4 3 3 2 6 2" xfId="6687" xr:uid="{00000000-0005-0000-0000-000081090000}"/>
    <cellStyle name="Comma 4 3 3 2 6 2 2" xfId="15137" xr:uid="{C17B4BE3-C08B-4E87-9660-422E46B84D78}"/>
    <cellStyle name="Comma 4 3 3 2 6 2 3" xfId="23584" xr:uid="{32A2FC21-7EF5-4E7C-8222-B4587CF60B9C}"/>
    <cellStyle name="Comma 4 3 3 2 6 2 4" xfId="32031" xr:uid="{EBBD4658-9076-4129-B481-9BA1AAC8074E}"/>
    <cellStyle name="Comma 4 3 3 2 6 3" xfId="10919" xr:uid="{4CD516A2-369D-4974-8F5F-373CEA789EEB}"/>
    <cellStyle name="Comma 4 3 3 2 6 4" xfId="19367" xr:uid="{22DEB9CC-93DE-49BF-BB52-458681E953A5}"/>
    <cellStyle name="Comma 4 3 3 2 6 5" xfId="27814" xr:uid="{2F6EFA89-A0E1-449A-A520-028EC43ADD6C}"/>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2A6E0E80-85CF-447E-BF8B-4EE8E9104B4A}"/>
    <cellStyle name="Comma 4 3 3 2 8 2 3" xfId="23901" xr:uid="{287BC7AC-C547-4B57-9F67-961BE4180411}"/>
    <cellStyle name="Comma 4 3 3 2 8 2 4" xfId="32348" xr:uid="{C4A9C1FF-10D7-4F9B-A3AC-608C50DDBAAD}"/>
    <cellStyle name="Comma 4 3 3 2 8 3" xfId="11236" xr:uid="{E9605489-3E1C-42CB-B645-A65AB41DCA4B}"/>
    <cellStyle name="Comma 4 3 3 2 8 4" xfId="19684" xr:uid="{CCDC6EC9-370E-4192-886C-50336D26C39C}"/>
    <cellStyle name="Comma 4 3 3 2 8 5" xfId="28131" xr:uid="{32F349C5-8FB1-461A-BA4D-8C34444F0C88}"/>
    <cellStyle name="Comma 4 3 3 2 9" xfId="4621" xr:uid="{00000000-0005-0000-0000-000085090000}"/>
    <cellStyle name="Comma 4 3 3 2 9 2" xfId="13071" xr:uid="{E75A8F6C-A349-428F-A9BE-C30AD9E4A4D5}"/>
    <cellStyle name="Comma 4 3 3 2 9 3" xfId="21518" xr:uid="{2E2CD76E-0FC3-4272-AC42-0E6C00B45ECC}"/>
    <cellStyle name="Comma 4 3 3 2 9 4" xfId="29965" xr:uid="{DCAC4CDB-1FE5-4F8C-874D-77705445D06C}"/>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7DBB650A-05B0-409E-8B6B-F6525E3C5827}"/>
    <cellStyle name="Comma 4 3 3 3 2 2 3" xfId="24076" xr:uid="{D5A016EB-97C0-4B39-AB66-1D4FFD9CC09D}"/>
    <cellStyle name="Comma 4 3 3 3 2 2 4" xfId="32523" xr:uid="{3E11710E-42B7-449C-8845-92E6D13DEA99}"/>
    <cellStyle name="Comma 4 3 3 3 2 3" xfId="11411" xr:uid="{85542C0B-BB0F-4A8B-9670-47946BC6A574}"/>
    <cellStyle name="Comma 4 3 3 3 2 4" xfId="19859" xr:uid="{1B03B209-BA46-4977-BCD8-824861D0C4FA}"/>
    <cellStyle name="Comma 4 3 3 3 2 5" xfId="28306" xr:uid="{B44856D4-7FFC-4733-889A-7D455D147148}"/>
    <cellStyle name="Comma 4 3 3 3 3" xfId="5034" xr:uid="{00000000-0005-0000-0000-000089090000}"/>
    <cellStyle name="Comma 4 3 3 3 3 2" xfId="13484" xr:uid="{A777DB89-1821-4A2D-AD5C-E5E89756C383}"/>
    <cellStyle name="Comma 4 3 3 3 3 3" xfId="21931" xr:uid="{7A775B3F-BFCB-48BC-867F-CAF03B711D36}"/>
    <cellStyle name="Comma 4 3 3 3 3 4" xfId="30378" xr:uid="{25220AB9-DCEF-45EC-B345-5111FE39ABF6}"/>
    <cellStyle name="Comma 4 3 3 3 4" xfId="9266" xr:uid="{8ACA51C9-1257-44AE-A7E1-FE2FDF582041}"/>
    <cellStyle name="Comma 4 3 3 3 5" xfId="17714" xr:uid="{248895DB-98B5-44FB-A3CE-2FB4C79F80BD}"/>
    <cellStyle name="Comma 4 3 3 3 6" xfId="26161" xr:uid="{F713DF32-A0C6-4C1B-838A-F076F70F6CFF}"/>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F344F39C-0986-48DA-9660-D7BCD3B03546}"/>
    <cellStyle name="Comma 4 3 3 4 2 2 3" xfId="24489" xr:uid="{D6AB5472-00F9-44F9-A472-3FE8B3C7F600}"/>
    <cellStyle name="Comma 4 3 3 4 2 2 4" xfId="32936" xr:uid="{45F54029-F21E-4A9E-9069-682BD770C303}"/>
    <cellStyle name="Comma 4 3 3 4 2 3" xfId="11824" xr:uid="{08CFBD89-D1D2-41BD-ABF1-D547482AB682}"/>
    <cellStyle name="Comma 4 3 3 4 2 4" xfId="20272" xr:uid="{BE7D8C00-DA97-4657-B85B-4C3B59CB26D3}"/>
    <cellStyle name="Comma 4 3 3 4 2 5" xfId="28719" xr:uid="{9F041A55-28FD-4167-B225-63F262F0B21F}"/>
    <cellStyle name="Comma 4 3 3 4 3" xfId="5447" xr:uid="{00000000-0005-0000-0000-00008D090000}"/>
    <cellStyle name="Comma 4 3 3 4 3 2" xfId="13897" xr:uid="{DE489BDE-C1BD-41B6-AD3B-6341C3CBCC02}"/>
    <cellStyle name="Comma 4 3 3 4 3 3" xfId="22344" xr:uid="{AB7AB9A2-4165-49D0-9AF7-68805A140AB9}"/>
    <cellStyle name="Comma 4 3 3 4 3 4" xfId="30791" xr:uid="{87B683FB-ECA9-4ECF-BA01-D6B52E91D96A}"/>
    <cellStyle name="Comma 4 3 3 4 4" xfId="9679" xr:uid="{D4D317DA-5937-4104-88E7-605A1C3E054C}"/>
    <cellStyle name="Comma 4 3 3 4 5" xfId="18127" xr:uid="{020C6D12-764B-499C-8AD8-7A658E4DD461}"/>
    <cellStyle name="Comma 4 3 3 4 6" xfId="26574" xr:uid="{B5F75429-B775-49B7-9554-A1B89AD3F498}"/>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21C21882-52C1-4A81-A448-AED5B4248D33}"/>
    <cellStyle name="Comma 4 3 3 5 2 2 3" xfId="24902" xr:uid="{42EF1B10-402E-4F64-A5D1-8E45441FCCB1}"/>
    <cellStyle name="Comma 4 3 3 5 2 2 4" xfId="33349" xr:uid="{9C94EEBE-D6D0-4999-85A4-C975869A5047}"/>
    <cellStyle name="Comma 4 3 3 5 2 3" xfId="12237" xr:uid="{431E8327-B598-4357-B511-CF5E4412DD62}"/>
    <cellStyle name="Comma 4 3 3 5 2 4" xfId="20685" xr:uid="{A6118591-CDF5-4E89-8C59-623454646588}"/>
    <cellStyle name="Comma 4 3 3 5 2 5" xfId="29132" xr:uid="{482C3A82-5D14-4D6F-902A-41A66B8B49F5}"/>
    <cellStyle name="Comma 4 3 3 5 3" xfId="5860" xr:uid="{00000000-0005-0000-0000-000091090000}"/>
    <cellStyle name="Comma 4 3 3 5 3 2" xfId="14310" xr:uid="{9DDCFB76-520B-40DF-AC8F-F75A691F6BF2}"/>
    <cellStyle name="Comma 4 3 3 5 3 3" xfId="22757" xr:uid="{985848A5-7400-4FCE-B339-C41398940790}"/>
    <cellStyle name="Comma 4 3 3 5 3 4" xfId="31204" xr:uid="{A160D832-A6E1-4383-B3EA-43B29456B862}"/>
    <cellStyle name="Comma 4 3 3 5 4" xfId="10092" xr:uid="{CF038910-7E88-410D-A5DE-20157E6732C9}"/>
    <cellStyle name="Comma 4 3 3 5 5" xfId="18540" xr:uid="{BF0555E2-A759-4B3E-B823-BB078B93E903}"/>
    <cellStyle name="Comma 4 3 3 5 6" xfId="26987" xr:uid="{A3FA001C-5F4D-4A17-9193-F8A0702C5323}"/>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5D837826-947F-4E02-B2E5-E9D0EFA83C4B}"/>
    <cellStyle name="Comma 4 3 3 6 2 2 3" xfId="25315" xr:uid="{B72F06D3-DA8C-4710-B525-5858091DEAFE}"/>
    <cellStyle name="Comma 4 3 3 6 2 2 4" xfId="33762" xr:uid="{7230E3C9-2A28-4027-9AF7-430C50763011}"/>
    <cellStyle name="Comma 4 3 3 6 2 3" xfId="12650" xr:uid="{98AF7AA6-2C77-4CEC-9B61-998D6870BF0C}"/>
    <cellStyle name="Comma 4 3 3 6 2 4" xfId="21098" xr:uid="{4FEABADC-10E8-43CC-A506-4FFBDE00E919}"/>
    <cellStyle name="Comma 4 3 3 6 2 5" xfId="29545" xr:uid="{9A905CCB-BD22-47B6-8CFE-736A4F4018DA}"/>
    <cellStyle name="Comma 4 3 3 6 3" xfId="6273" xr:uid="{00000000-0005-0000-0000-000095090000}"/>
    <cellStyle name="Comma 4 3 3 6 3 2" xfId="14723" xr:uid="{ED28C0D1-E6F1-4D39-A959-C9A81F557114}"/>
    <cellStyle name="Comma 4 3 3 6 3 3" xfId="23170" xr:uid="{FDE0C951-C794-4A1A-988C-A9B34FE4304D}"/>
    <cellStyle name="Comma 4 3 3 6 3 4" xfId="31617" xr:uid="{40A9CC29-1152-4A7D-8EE7-5F851A42327C}"/>
    <cellStyle name="Comma 4 3 3 6 4" xfId="10505" xr:uid="{B8DFD613-E6C2-46CA-9B0C-2DB7C9F62609}"/>
    <cellStyle name="Comma 4 3 3 6 5" xfId="18953" xr:uid="{6C5C5435-C439-4315-9166-9EE0678A9514}"/>
    <cellStyle name="Comma 4 3 3 6 6" xfId="27400" xr:uid="{B8B41A37-0488-47EC-A54B-0AE9FA59551F}"/>
    <cellStyle name="Comma 4 3 3 7" xfId="2402" xr:uid="{00000000-0005-0000-0000-000096090000}"/>
    <cellStyle name="Comma 4 3 3 7 2" xfId="6686" xr:uid="{00000000-0005-0000-0000-000097090000}"/>
    <cellStyle name="Comma 4 3 3 7 2 2" xfId="15136" xr:uid="{D3CB1A6F-AEB2-43CD-8472-DD329AA8F7FD}"/>
    <cellStyle name="Comma 4 3 3 7 2 3" xfId="23583" xr:uid="{A0A7FA8E-7DF9-4667-BC9E-47EA8E46680D}"/>
    <cellStyle name="Comma 4 3 3 7 2 4" xfId="32030" xr:uid="{019E42EF-F741-4E17-96B0-3DE57B5F4D56}"/>
    <cellStyle name="Comma 4 3 3 7 3" xfId="10918" xr:uid="{64A4C77F-5842-490E-99E5-9937B752840B}"/>
    <cellStyle name="Comma 4 3 3 7 4" xfId="19366" xr:uid="{9F557C09-46D1-4B4D-B2B9-BE7EDBDDF9D5}"/>
    <cellStyle name="Comma 4 3 3 7 5" xfId="27813" xr:uid="{DBB2FCBE-4E49-4416-84A4-C534C1977F09}"/>
    <cellStyle name="Comma 4 3 3 8" xfId="2361" xr:uid="{00000000-0005-0000-0000-000098090000}"/>
    <cellStyle name="Comma 4 3 3 9" xfId="2780" xr:uid="{00000000-0005-0000-0000-000099090000}"/>
    <cellStyle name="Comma 4 3 3 9 2" xfId="7003" xr:uid="{00000000-0005-0000-0000-00009A090000}"/>
    <cellStyle name="Comma 4 3 3 9 2 2" xfId="15453" xr:uid="{19DECF28-F7BB-447D-9102-43AFC7704B81}"/>
    <cellStyle name="Comma 4 3 3 9 2 3" xfId="23900" xr:uid="{7CCFA103-9B7B-4750-B600-2E69D4E31689}"/>
    <cellStyle name="Comma 4 3 3 9 2 4" xfId="32347" xr:uid="{6CF3E3C4-3788-4745-B3C9-1088A8D63915}"/>
    <cellStyle name="Comma 4 3 3 9 3" xfId="11235" xr:uid="{2000D856-F2D9-479E-B8DE-8AFF4D0003BE}"/>
    <cellStyle name="Comma 4 3 3 9 4" xfId="19683" xr:uid="{B8A59339-4635-4E70-8B7F-C4B920F8137B}"/>
    <cellStyle name="Comma 4 3 3 9 5" xfId="28130" xr:uid="{22DE008D-2ADC-4DF2-91BB-4C78C59C1AE7}"/>
    <cellStyle name="Comma 4 3 4" xfId="151" xr:uid="{00000000-0005-0000-0000-00009B090000}"/>
    <cellStyle name="Comma 4 3 4 10" xfId="8854" xr:uid="{5959CE93-D85C-4522-A5B0-BD3D8E52BFF2}"/>
    <cellStyle name="Comma 4 3 4 11" xfId="17302" xr:uid="{F14F44DE-455B-4A52-A6C0-B83A1B2DBDD2}"/>
    <cellStyle name="Comma 4 3 4 12" xfId="25749" xr:uid="{04AD8AF6-D42E-4658-A831-8488D659A195}"/>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E19D00F7-3610-486C-BCEE-9C1D1F4161AB}"/>
    <cellStyle name="Comma 4 3 4 2 2 2 3" xfId="24078" xr:uid="{364E7A8D-5033-4F8D-9CE8-2626410531D6}"/>
    <cellStyle name="Comma 4 3 4 2 2 2 4" xfId="32525" xr:uid="{01BC7E97-88EC-4D0E-B652-36C7DA264C6B}"/>
    <cellStyle name="Comma 4 3 4 2 2 3" xfId="11413" xr:uid="{338CB64D-F0EB-4EB6-A351-AF0061377DD3}"/>
    <cellStyle name="Comma 4 3 4 2 2 4" xfId="19861" xr:uid="{DE976E75-A15A-4811-B05E-C8CE184430CF}"/>
    <cellStyle name="Comma 4 3 4 2 2 5" xfId="28308" xr:uid="{663C540D-E790-4D33-A8B8-E1E4D0F87958}"/>
    <cellStyle name="Comma 4 3 4 2 3" xfId="5036" xr:uid="{00000000-0005-0000-0000-00009F090000}"/>
    <cellStyle name="Comma 4 3 4 2 3 2" xfId="13486" xr:uid="{E49E1FC8-0EC1-4C17-B91F-5B0446E46E50}"/>
    <cellStyle name="Comma 4 3 4 2 3 3" xfId="21933" xr:uid="{97B821E1-0469-41F9-8573-A754675780C2}"/>
    <cellStyle name="Comma 4 3 4 2 3 4" xfId="30380" xr:uid="{DC45BDC1-00D9-4E35-8DA3-89126211EC6B}"/>
    <cellStyle name="Comma 4 3 4 2 4" xfId="9268" xr:uid="{8532BCC0-7DA6-4BCA-9526-B3CBEA9FC616}"/>
    <cellStyle name="Comma 4 3 4 2 5" xfId="17716" xr:uid="{DCBA99FC-2F31-424C-964E-704507DFC355}"/>
    <cellStyle name="Comma 4 3 4 2 6" xfId="26163" xr:uid="{0457E209-F84E-4898-A5DE-5E61FA22187B}"/>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DC6D974D-942D-46B1-9495-0B34962C2FDC}"/>
    <cellStyle name="Comma 4 3 4 3 2 2 3" xfId="24491" xr:uid="{F91642E8-496C-4B91-9FF5-1D0D85E23E12}"/>
    <cellStyle name="Comma 4 3 4 3 2 2 4" xfId="32938" xr:uid="{AA443B50-71F7-45E3-AE01-4FB024721811}"/>
    <cellStyle name="Comma 4 3 4 3 2 3" xfId="11826" xr:uid="{89F909A4-8674-402A-8683-48C3BBE52312}"/>
    <cellStyle name="Comma 4 3 4 3 2 4" xfId="20274" xr:uid="{3C04CEE7-2070-4EF1-98E9-129D7DF7AFCA}"/>
    <cellStyle name="Comma 4 3 4 3 2 5" xfId="28721" xr:uid="{5355188F-56B7-4678-BC03-542F06817319}"/>
    <cellStyle name="Comma 4 3 4 3 3" xfId="5449" xr:uid="{00000000-0005-0000-0000-0000A3090000}"/>
    <cellStyle name="Comma 4 3 4 3 3 2" xfId="13899" xr:uid="{CD51D064-7C3C-47F3-8DF5-EBA409BFB9A1}"/>
    <cellStyle name="Comma 4 3 4 3 3 3" xfId="22346" xr:uid="{D8CEB22B-75E6-4DD6-99B7-08EEA969040D}"/>
    <cellStyle name="Comma 4 3 4 3 3 4" xfId="30793" xr:uid="{51E74DAA-3ABE-46D4-ABDF-950299EDC02A}"/>
    <cellStyle name="Comma 4 3 4 3 4" xfId="9681" xr:uid="{B4E4F217-11BC-4A89-835B-78C64A4770CC}"/>
    <cellStyle name="Comma 4 3 4 3 5" xfId="18129" xr:uid="{D05FBCF7-45B2-4975-B526-F44FEBE562D8}"/>
    <cellStyle name="Comma 4 3 4 3 6" xfId="26576" xr:uid="{5BB35C6E-281C-4044-B36F-191642AD44B8}"/>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C1142114-03BB-4C29-8323-7C975E5CA553}"/>
    <cellStyle name="Comma 4 3 4 4 2 2 3" xfId="24904" xr:uid="{FEA64C66-8C0D-4EED-B1F3-5FCC8B7F231A}"/>
    <cellStyle name="Comma 4 3 4 4 2 2 4" xfId="33351" xr:uid="{940C2EE3-4A78-4733-8B82-71FB3C15EAC6}"/>
    <cellStyle name="Comma 4 3 4 4 2 3" xfId="12239" xr:uid="{BBF01C31-300D-48CB-9AB0-69476FA43280}"/>
    <cellStyle name="Comma 4 3 4 4 2 4" xfId="20687" xr:uid="{E647F66A-9CF2-4894-9F3A-80CA717D4793}"/>
    <cellStyle name="Comma 4 3 4 4 2 5" xfId="29134" xr:uid="{8631A715-721E-4924-9847-14FF0F64B169}"/>
    <cellStyle name="Comma 4 3 4 4 3" xfId="5862" xr:uid="{00000000-0005-0000-0000-0000A7090000}"/>
    <cellStyle name="Comma 4 3 4 4 3 2" xfId="14312" xr:uid="{00BDD7B8-698C-4B74-B708-EA681560A5AD}"/>
    <cellStyle name="Comma 4 3 4 4 3 3" xfId="22759" xr:uid="{EC3F519A-08A5-4EFA-A942-0558424D5273}"/>
    <cellStyle name="Comma 4 3 4 4 3 4" xfId="31206" xr:uid="{EBF75B3F-BD21-4ED7-8D1D-9AA4EF642FC7}"/>
    <cellStyle name="Comma 4 3 4 4 4" xfId="10094" xr:uid="{66837DD7-7658-4A64-A57B-B297B11A1143}"/>
    <cellStyle name="Comma 4 3 4 4 5" xfId="18542" xr:uid="{28AA452E-3768-43C5-8ABD-6EE3D06D9419}"/>
    <cellStyle name="Comma 4 3 4 4 6" xfId="26989" xr:uid="{D9819AE7-719F-4229-9F56-24ABD4AE8CAD}"/>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294783ED-4C58-45B2-A74C-85B9967CC819}"/>
    <cellStyle name="Comma 4 3 4 5 2 2 3" xfId="25317" xr:uid="{3A5D7AC1-1B4B-4848-964C-D2709105A499}"/>
    <cellStyle name="Comma 4 3 4 5 2 2 4" xfId="33764" xr:uid="{3D637DA1-C2B3-41D0-A759-12657F60AA72}"/>
    <cellStyle name="Comma 4 3 4 5 2 3" xfId="12652" xr:uid="{F092CC98-7654-4360-9D7D-60023E1196E4}"/>
    <cellStyle name="Comma 4 3 4 5 2 4" xfId="21100" xr:uid="{933B3364-6AA6-400B-B67D-A4B5FA7D0457}"/>
    <cellStyle name="Comma 4 3 4 5 2 5" xfId="29547" xr:uid="{DDB0414C-AB12-4310-BBFB-C227F8618089}"/>
    <cellStyle name="Comma 4 3 4 5 3" xfId="6275" xr:uid="{00000000-0005-0000-0000-0000AB090000}"/>
    <cellStyle name="Comma 4 3 4 5 3 2" xfId="14725" xr:uid="{915CA6B6-B41E-4130-9CC6-467BFA5CEED9}"/>
    <cellStyle name="Comma 4 3 4 5 3 3" xfId="23172" xr:uid="{5C7FF240-7BD8-4523-B732-6125605273C4}"/>
    <cellStyle name="Comma 4 3 4 5 3 4" xfId="31619" xr:uid="{C4CB6A73-80B0-4A08-B9CB-65CF1C29733B}"/>
    <cellStyle name="Comma 4 3 4 5 4" xfId="10507" xr:uid="{9B9719E9-8BAB-41D2-B880-6059274A03F7}"/>
    <cellStyle name="Comma 4 3 4 5 5" xfId="18955" xr:uid="{0B4511DF-711D-4293-8DEF-C217D1CD8430}"/>
    <cellStyle name="Comma 4 3 4 5 6" xfId="27402" xr:uid="{869F1BCE-2059-4730-B672-C15315A26696}"/>
    <cellStyle name="Comma 4 3 4 6" xfId="2404" xr:uid="{00000000-0005-0000-0000-0000AC090000}"/>
    <cellStyle name="Comma 4 3 4 6 2" xfId="6688" xr:uid="{00000000-0005-0000-0000-0000AD090000}"/>
    <cellStyle name="Comma 4 3 4 6 2 2" xfId="15138" xr:uid="{3AC5E2ED-760D-4995-A799-E8440BA5FBCE}"/>
    <cellStyle name="Comma 4 3 4 6 2 3" xfId="23585" xr:uid="{E628A884-97D5-4C4F-B05D-547B36106D0A}"/>
    <cellStyle name="Comma 4 3 4 6 2 4" xfId="32032" xr:uid="{4D77601F-A61C-450E-8B14-4A504AC2D569}"/>
    <cellStyle name="Comma 4 3 4 6 3" xfId="10920" xr:uid="{97E60830-1972-44F2-BF5D-212894F032E5}"/>
    <cellStyle name="Comma 4 3 4 6 4" xfId="19368" xr:uid="{B2D05C70-7128-4D48-89DA-3C15AA52018A}"/>
    <cellStyle name="Comma 4 3 4 6 5" xfId="27815" xr:uid="{FE904CC3-4585-4629-9BDA-2D5DE0B7F31A}"/>
    <cellStyle name="Comma 4 3 4 7" xfId="2700" xr:uid="{00000000-0005-0000-0000-0000AE090000}"/>
    <cellStyle name="Comma 4 3 4 8" xfId="2782" xr:uid="{00000000-0005-0000-0000-0000AF090000}"/>
    <cellStyle name="Comma 4 3 4 8 2" xfId="7005" xr:uid="{00000000-0005-0000-0000-0000B0090000}"/>
    <cellStyle name="Comma 4 3 4 8 2 2" xfId="15455" xr:uid="{F39C0E71-D102-4160-AFA2-016C0955CBAC}"/>
    <cellStyle name="Comma 4 3 4 8 2 3" xfId="23902" xr:uid="{E69334B1-995D-428B-82B1-0FBE5CFDDF7B}"/>
    <cellStyle name="Comma 4 3 4 8 2 4" xfId="32349" xr:uid="{E3FAAA7A-CD73-4F85-9C8C-144D9F5F2DDB}"/>
    <cellStyle name="Comma 4 3 4 8 3" xfId="11237" xr:uid="{87285A40-9A2F-4BCD-BAB0-4BC3268E4501}"/>
    <cellStyle name="Comma 4 3 4 8 4" xfId="19685" xr:uid="{3DBEFA2E-D530-4CD2-AE21-861F91220DF0}"/>
    <cellStyle name="Comma 4 3 4 8 5" xfId="28132" xr:uid="{61A482AE-2B84-453B-AB30-1ADB1AD6E065}"/>
    <cellStyle name="Comma 4 3 4 9" xfId="4622" xr:uid="{00000000-0005-0000-0000-0000B1090000}"/>
    <cellStyle name="Comma 4 3 4 9 2" xfId="13072" xr:uid="{970CFA63-F6EC-47CD-98E0-0D1346283FE6}"/>
    <cellStyle name="Comma 4 3 4 9 3" xfId="21519" xr:uid="{CD0139BB-830D-499D-8F5C-E69BB1FA164E}"/>
    <cellStyle name="Comma 4 3 4 9 4" xfId="29966" xr:uid="{94D95078-0C6C-455C-88A5-21281654CBA3}"/>
    <cellStyle name="Comma 4 3 5" xfId="152" xr:uid="{00000000-0005-0000-0000-0000B2090000}"/>
    <cellStyle name="Comma 4 3 5 10" xfId="8855" xr:uid="{9FF095CF-1831-4496-ACFC-3F029D13566B}"/>
    <cellStyle name="Comma 4 3 5 11" xfId="17303" xr:uid="{0411756B-72F1-4B65-BDDB-F0FF91ABD871}"/>
    <cellStyle name="Comma 4 3 5 12" xfId="25750" xr:uid="{AF685674-6D48-4D68-850D-179FFBDC603D}"/>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E6104370-A066-459F-8523-748E64B9DF20}"/>
    <cellStyle name="Comma 4 3 5 2 2 2 3" xfId="24079" xr:uid="{FC8DC92F-FD88-4E53-9832-CD0FC418FC45}"/>
    <cellStyle name="Comma 4 3 5 2 2 2 4" xfId="32526" xr:uid="{A9EB5F67-ABA3-4ED6-8869-37D55C568A9D}"/>
    <cellStyle name="Comma 4 3 5 2 2 3" xfId="11414" xr:uid="{DA870757-D1A0-4441-90CC-F81A674A0916}"/>
    <cellStyle name="Comma 4 3 5 2 2 4" xfId="19862" xr:uid="{FE9A7A90-59DC-4CF3-B3E7-EEDF362A1054}"/>
    <cellStyle name="Comma 4 3 5 2 2 5" xfId="28309" xr:uid="{F742034C-F9FF-4CC5-BC18-BD09CB7482BE}"/>
    <cellStyle name="Comma 4 3 5 2 3" xfId="5037" xr:uid="{00000000-0005-0000-0000-0000B6090000}"/>
    <cellStyle name="Comma 4 3 5 2 3 2" xfId="13487" xr:uid="{DA719761-20A1-4DD6-B855-BF915CA3E5B1}"/>
    <cellStyle name="Comma 4 3 5 2 3 3" xfId="21934" xr:uid="{C2C6CA34-15B2-40FE-9F79-08B885EE4DC2}"/>
    <cellStyle name="Comma 4 3 5 2 3 4" xfId="30381" xr:uid="{3C81A4CA-0D35-4A38-A0ED-320B5BC5DF43}"/>
    <cellStyle name="Comma 4 3 5 2 4" xfId="9269" xr:uid="{6E71CD27-52CF-436A-A3D1-A8C3205C9733}"/>
    <cellStyle name="Comma 4 3 5 2 5" xfId="17717" xr:uid="{A1F516BE-8BF1-49D8-9C0A-46A5AD14F36B}"/>
    <cellStyle name="Comma 4 3 5 2 6" xfId="26164" xr:uid="{74BF6B3C-833D-41D0-A209-6BDC0A971109}"/>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971BDB79-5BB7-44C7-8BC7-A48FF745C6DD}"/>
    <cellStyle name="Comma 4 3 5 3 2 2 3" xfId="24492" xr:uid="{97055791-D66B-494C-B3B1-29CC2720261B}"/>
    <cellStyle name="Comma 4 3 5 3 2 2 4" xfId="32939" xr:uid="{21B4669E-D981-48DA-B4C6-AEDABCBF7E8B}"/>
    <cellStyle name="Comma 4 3 5 3 2 3" xfId="11827" xr:uid="{1E007AB3-4A67-4E1E-AEC1-633E0A01E536}"/>
    <cellStyle name="Comma 4 3 5 3 2 4" xfId="20275" xr:uid="{DA3C777D-08F8-49A2-9DEA-5D7AC8BBB131}"/>
    <cellStyle name="Comma 4 3 5 3 2 5" xfId="28722" xr:uid="{B7ED104A-0ED8-428F-840A-4E7DF682B0A4}"/>
    <cellStyle name="Comma 4 3 5 3 3" xfId="5450" xr:uid="{00000000-0005-0000-0000-0000BA090000}"/>
    <cellStyle name="Comma 4 3 5 3 3 2" xfId="13900" xr:uid="{405C8323-0D51-4073-A446-33D0BF897B7A}"/>
    <cellStyle name="Comma 4 3 5 3 3 3" xfId="22347" xr:uid="{A91AAF20-5BFF-43F8-9A66-E86D6901AFD0}"/>
    <cellStyle name="Comma 4 3 5 3 3 4" xfId="30794" xr:uid="{4A43F041-2958-4030-A858-26A7D66B931B}"/>
    <cellStyle name="Comma 4 3 5 3 4" xfId="9682" xr:uid="{AEA84124-6587-4E10-B1C3-105B4C8E2B97}"/>
    <cellStyle name="Comma 4 3 5 3 5" xfId="18130" xr:uid="{EC03B039-51D0-486E-9EAE-2AC984C5E126}"/>
    <cellStyle name="Comma 4 3 5 3 6" xfId="26577" xr:uid="{D377B837-92D0-40E8-9413-554E779C45C2}"/>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26AE1D39-4F92-440E-AD00-E97085AED8DC}"/>
    <cellStyle name="Comma 4 3 5 4 2 2 3" xfId="24905" xr:uid="{24B46DDB-0A80-47D9-8EF6-709223AD23BE}"/>
    <cellStyle name="Comma 4 3 5 4 2 2 4" xfId="33352" xr:uid="{2E1E5056-7C3F-4D9F-A78E-B9326803F9AE}"/>
    <cellStyle name="Comma 4 3 5 4 2 3" xfId="12240" xr:uid="{B9F7C3A1-BC9A-4EFE-B4DF-B88F7E73C830}"/>
    <cellStyle name="Comma 4 3 5 4 2 4" xfId="20688" xr:uid="{F814ADB1-BB11-4042-A95E-1C26575ED963}"/>
    <cellStyle name="Comma 4 3 5 4 2 5" xfId="29135" xr:uid="{F32BD214-0AF7-43E6-9953-1DB6B4E26C55}"/>
    <cellStyle name="Comma 4 3 5 4 3" xfId="5863" xr:uid="{00000000-0005-0000-0000-0000BE090000}"/>
    <cellStyle name="Comma 4 3 5 4 3 2" xfId="14313" xr:uid="{D5C07FAB-1B64-46BC-889C-C38C853378A0}"/>
    <cellStyle name="Comma 4 3 5 4 3 3" xfId="22760" xr:uid="{FD094F28-F1FB-48DA-B4F5-0FBFE976FFAD}"/>
    <cellStyle name="Comma 4 3 5 4 3 4" xfId="31207" xr:uid="{3BE4B674-7A0B-41E8-8036-F99A6A1F78D9}"/>
    <cellStyle name="Comma 4 3 5 4 4" xfId="10095" xr:uid="{CEDC6106-152F-4E2F-A592-81E381DCF179}"/>
    <cellStyle name="Comma 4 3 5 4 5" xfId="18543" xr:uid="{14DE11FD-DDDB-48EC-BE45-0874CCD2AC6F}"/>
    <cellStyle name="Comma 4 3 5 4 6" xfId="26990" xr:uid="{B9D42CFD-C4FD-4383-A251-9B2611405E14}"/>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784100B4-AEC8-4964-85FF-125E05911D2F}"/>
    <cellStyle name="Comma 4 3 5 5 2 2 3" xfId="25318" xr:uid="{89C3E7DF-7FCF-4F89-96E5-EE809F937189}"/>
    <cellStyle name="Comma 4 3 5 5 2 2 4" xfId="33765" xr:uid="{046E4E49-541D-40F0-9993-7A557C1EA10A}"/>
    <cellStyle name="Comma 4 3 5 5 2 3" xfId="12653" xr:uid="{424A247C-21B4-4F7C-AC90-EAA68B066ED3}"/>
    <cellStyle name="Comma 4 3 5 5 2 4" xfId="21101" xr:uid="{E2A04B8A-4249-4CED-B55E-0AB9C7AB8826}"/>
    <cellStyle name="Comma 4 3 5 5 2 5" xfId="29548" xr:uid="{E43C826C-A310-45DE-BB84-C2BB86D0CD0E}"/>
    <cellStyle name="Comma 4 3 5 5 3" xfId="6276" xr:uid="{00000000-0005-0000-0000-0000C2090000}"/>
    <cellStyle name="Comma 4 3 5 5 3 2" xfId="14726" xr:uid="{136EAD88-6F2D-4AD1-8348-E75DE31451E5}"/>
    <cellStyle name="Comma 4 3 5 5 3 3" xfId="23173" xr:uid="{64FF586E-21A9-41D0-AF7C-635D838375AF}"/>
    <cellStyle name="Comma 4 3 5 5 3 4" xfId="31620" xr:uid="{612B6FD5-737A-4263-954F-329435764629}"/>
    <cellStyle name="Comma 4 3 5 5 4" xfId="10508" xr:uid="{E0286CC7-EB41-4E3E-8722-9E6AF81CF0D0}"/>
    <cellStyle name="Comma 4 3 5 5 5" xfId="18956" xr:uid="{721F970F-42CF-4A46-9A3D-A574CD53E348}"/>
    <cellStyle name="Comma 4 3 5 5 6" xfId="27403" xr:uid="{8B18B948-FE2E-4598-9AB0-DB87EE777DAD}"/>
    <cellStyle name="Comma 4 3 5 6" xfId="2405" xr:uid="{00000000-0005-0000-0000-0000C3090000}"/>
    <cellStyle name="Comma 4 3 5 6 2" xfId="6689" xr:uid="{00000000-0005-0000-0000-0000C4090000}"/>
    <cellStyle name="Comma 4 3 5 6 2 2" xfId="15139" xr:uid="{6468B19B-7006-4ED7-A439-1DE58542F6E6}"/>
    <cellStyle name="Comma 4 3 5 6 2 3" xfId="23586" xr:uid="{CBF4EDEC-1D05-4EB6-A0BE-B685406A0A73}"/>
    <cellStyle name="Comma 4 3 5 6 2 4" xfId="32033" xr:uid="{33F501B5-7548-441D-B573-0F5268CC4BF3}"/>
    <cellStyle name="Comma 4 3 5 6 3" xfId="10921" xr:uid="{CBEEF8C5-3A41-4178-9AC8-047E0337F3C0}"/>
    <cellStyle name="Comma 4 3 5 6 4" xfId="19369" xr:uid="{4AAA1FE9-4504-480A-91C7-6D5361DF1265}"/>
    <cellStyle name="Comma 4 3 5 6 5" xfId="27816" xr:uid="{ED856CAC-7BA3-4900-8A04-A87BF699289F}"/>
    <cellStyle name="Comma 4 3 5 7" xfId="2701" xr:uid="{00000000-0005-0000-0000-0000C5090000}"/>
    <cellStyle name="Comma 4 3 5 8" xfId="2783" xr:uid="{00000000-0005-0000-0000-0000C6090000}"/>
    <cellStyle name="Comma 4 3 5 8 2" xfId="7006" xr:uid="{00000000-0005-0000-0000-0000C7090000}"/>
    <cellStyle name="Comma 4 3 5 8 2 2" xfId="15456" xr:uid="{4E2A7C7D-7200-4A79-B401-249B17B7A6A8}"/>
    <cellStyle name="Comma 4 3 5 8 2 3" xfId="23903" xr:uid="{5A23F33E-CB56-4556-AB1D-0F33E84675CF}"/>
    <cellStyle name="Comma 4 3 5 8 2 4" xfId="32350" xr:uid="{10D4522A-69AD-45F0-AF58-157C504B3F54}"/>
    <cellStyle name="Comma 4 3 5 8 3" xfId="11238" xr:uid="{18E134C5-7AA3-4088-99B0-D34E49831819}"/>
    <cellStyle name="Comma 4 3 5 8 4" xfId="19686" xr:uid="{653F3A19-B3EF-4178-B0FB-8D56EBC36983}"/>
    <cellStyle name="Comma 4 3 5 8 5" xfId="28133" xr:uid="{D427C0F8-F84D-4696-9403-92BD67466AAF}"/>
    <cellStyle name="Comma 4 3 5 9" xfId="4623" xr:uid="{00000000-0005-0000-0000-0000C8090000}"/>
    <cellStyle name="Comma 4 3 5 9 2" xfId="13073" xr:uid="{5B6D70E9-67C5-4309-AFB7-C2C83B0B57A2}"/>
    <cellStyle name="Comma 4 3 5 9 3" xfId="21520" xr:uid="{A1593DE1-8CD1-45C5-9C87-63AE3BE0504D}"/>
    <cellStyle name="Comma 4 3 5 9 4" xfId="29967" xr:uid="{3E04E5A3-222D-4D0C-B697-66A6CB6BAFA8}"/>
    <cellStyle name="Comma 4 4" xfId="153" xr:uid="{00000000-0005-0000-0000-0000C9090000}"/>
    <cellStyle name="Comma 4 4 10" xfId="2784" xr:uid="{00000000-0005-0000-0000-0000CA090000}"/>
    <cellStyle name="Comma 4 4 10 2" xfId="7007" xr:uid="{00000000-0005-0000-0000-0000CB090000}"/>
    <cellStyle name="Comma 4 4 10 2 2" xfId="15457" xr:uid="{5EBE3D29-DD98-4C52-8590-4B12100C002F}"/>
    <cellStyle name="Comma 4 4 10 2 3" xfId="23904" xr:uid="{7A41D12C-922C-4308-9730-77556B0F9301}"/>
    <cellStyle name="Comma 4 4 10 2 4" xfId="32351" xr:uid="{6B735A0B-5FD2-417C-9F68-50EF732ECEF9}"/>
    <cellStyle name="Comma 4 4 10 3" xfId="11239" xr:uid="{9F289AD8-369B-4270-B8CE-2C3CACAA23A5}"/>
    <cellStyle name="Comma 4 4 10 4" xfId="19687" xr:uid="{62DB6935-A5DB-4238-B06F-7F6D16FC65CA}"/>
    <cellStyle name="Comma 4 4 10 5" xfId="28134" xr:uid="{B85B23BC-8CA3-4151-B374-A7FC550B862C}"/>
    <cellStyle name="Comma 4 4 11" xfId="4624" xr:uid="{00000000-0005-0000-0000-0000CC090000}"/>
    <cellStyle name="Comma 4 4 11 2" xfId="13074" xr:uid="{C463AD86-1A6A-4DC7-8C7A-FAB6681E23B6}"/>
    <cellStyle name="Comma 4 4 11 3" xfId="21521" xr:uid="{462CDE13-676D-466D-A4A5-395EB0069F04}"/>
    <cellStyle name="Comma 4 4 11 4" xfId="29968" xr:uid="{830BDEFA-B26F-4C34-A2F1-EE08160406E7}"/>
    <cellStyle name="Comma 4 4 12" xfId="8856" xr:uid="{FE22F191-1D77-4F09-B127-3142CB8E9B4F}"/>
    <cellStyle name="Comma 4 4 13" xfId="17304" xr:uid="{FC4BE8B3-5A5A-46B8-B95C-C6FF0BA6268E}"/>
    <cellStyle name="Comma 4 4 14" xfId="25751" xr:uid="{BF0B57D7-F070-41D2-BB3C-C91B9D4DDBAC}"/>
    <cellStyle name="Comma 4 4 2" xfId="154" xr:uid="{00000000-0005-0000-0000-0000CD090000}"/>
    <cellStyle name="Comma 4 4 2 10" xfId="4625" xr:uid="{00000000-0005-0000-0000-0000CE090000}"/>
    <cellStyle name="Comma 4 4 2 10 2" xfId="13075" xr:uid="{F060230E-9A4D-400E-A5AF-452B398D3508}"/>
    <cellStyle name="Comma 4 4 2 10 3" xfId="21522" xr:uid="{ABA61D1A-5B89-4E67-A892-FC89ACA711B3}"/>
    <cellStyle name="Comma 4 4 2 10 4" xfId="29969" xr:uid="{19664D80-7344-4F38-9560-E351AFED560A}"/>
    <cellStyle name="Comma 4 4 2 11" xfId="8857" xr:uid="{2F168DEE-2E0C-4793-94E1-FEE5AD113D7D}"/>
    <cellStyle name="Comma 4 4 2 12" xfId="17305" xr:uid="{44716B3A-44DA-4484-AE7F-23F093D439E6}"/>
    <cellStyle name="Comma 4 4 2 13" xfId="25752" xr:uid="{4DDBC59A-E698-4ADD-BFD4-DABF193F63D8}"/>
    <cellStyle name="Comma 4 4 2 2" xfId="155" xr:uid="{00000000-0005-0000-0000-0000CF090000}"/>
    <cellStyle name="Comma 4 4 2 2 10" xfId="8858" xr:uid="{673B1AAB-DABF-4C6B-8574-8E27C7DD48CC}"/>
    <cellStyle name="Comma 4 4 2 2 11" xfId="17306" xr:uid="{AEC1ABB2-EF2D-4ECA-8AF8-375530E8AB21}"/>
    <cellStyle name="Comma 4 4 2 2 12" xfId="25753" xr:uid="{55A2D817-EADB-4C63-8810-A0A65568E92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3FC6B5FE-5608-4C9A-BDC9-C47DEBE27709}"/>
    <cellStyle name="Comma 4 4 2 2 2 2 2 3" xfId="24082" xr:uid="{EABAD1BC-627A-4C2C-824C-78720D6A7904}"/>
    <cellStyle name="Comma 4 4 2 2 2 2 2 4" xfId="32529" xr:uid="{533E5803-A0FD-4181-9EC6-895A4DE6D7B5}"/>
    <cellStyle name="Comma 4 4 2 2 2 2 3" xfId="11417" xr:uid="{3FB27106-B647-4EFE-B2FB-A4CF4A9EBBB2}"/>
    <cellStyle name="Comma 4 4 2 2 2 2 4" xfId="19865" xr:uid="{81533D0F-4E7C-4DFF-A8C4-81EAF9C3E9D4}"/>
    <cellStyle name="Comma 4 4 2 2 2 2 5" xfId="28312" xr:uid="{F4051BA4-A3A2-4789-8D6B-121DA6C3430C}"/>
    <cellStyle name="Comma 4 4 2 2 2 3" xfId="5040" xr:uid="{00000000-0005-0000-0000-0000D3090000}"/>
    <cellStyle name="Comma 4 4 2 2 2 3 2" xfId="13490" xr:uid="{B754A101-5012-4325-9484-43C9C9BB34AA}"/>
    <cellStyle name="Comma 4 4 2 2 2 3 3" xfId="21937" xr:uid="{9CD8DD9C-4EC2-4EB3-A849-3E5316749A2A}"/>
    <cellStyle name="Comma 4 4 2 2 2 3 4" xfId="30384" xr:uid="{20210CBD-6021-4A09-9F09-D79BEBA3DC1C}"/>
    <cellStyle name="Comma 4 4 2 2 2 4" xfId="9272" xr:uid="{DEB76060-3E89-49C6-A4A6-78BE13EF5E3C}"/>
    <cellStyle name="Comma 4 4 2 2 2 5" xfId="17720" xr:uid="{2D3D59E3-234F-4FA4-8085-D4D2706F611F}"/>
    <cellStyle name="Comma 4 4 2 2 2 6" xfId="26167" xr:uid="{77B63947-A78D-45D2-9275-4FFE39514F4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34640F25-AD39-4AAA-8112-50D54668B8CC}"/>
    <cellStyle name="Comma 4 4 2 2 3 2 2 3" xfId="24495" xr:uid="{D4E501BD-43B2-47E5-86DB-B956EF46F169}"/>
    <cellStyle name="Comma 4 4 2 2 3 2 2 4" xfId="32942" xr:uid="{2557CE1F-4D89-43B1-A456-BCAEB8E4B227}"/>
    <cellStyle name="Comma 4 4 2 2 3 2 3" xfId="11830" xr:uid="{59A69141-A177-4632-91C5-414244CB25C1}"/>
    <cellStyle name="Comma 4 4 2 2 3 2 4" xfId="20278" xr:uid="{F3778287-B3AA-4C07-8258-601A8D707714}"/>
    <cellStyle name="Comma 4 4 2 2 3 2 5" xfId="28725" xr:uid="{2962E159-88B1-4E60-A901-A02F68B74C1E}"/>
    <cellStyle name="Comma 4 4 2 2 3 3" xfId="5453" xr:uid="{00000000-0005-0000-0000-0000D7090000}"/>
    <cellStyle name="Comma 4 4 2 2 3 3 2" xfId="13903" xr:uid="{5354B8B2-E63D-4F83-8C72-3B643879FA4A}"/>
    <cellStyle name="Comma 4 4 2 2 3 3 3" xfId="22350" xr:uid="{E8358E73-C2B1-4551-BEEA-6DE37DE6A436}"/>
    <cellStyle name="Comma 4 4 2 2 3 3 4" xfId="30797" xr:uid="{C5502C2C-5A27-47EB-9B7C-7EE9CB1E441A}"/>
    <cellStyle name="Comma 4 4 2 2 3 4" xfId="9685" xr:uid="{9C8B0878-6CDE-4655-8A58-C3E0CC17E585}"/>
    <cellStyle name="Comma 4 4 2 2 3 5" xfId="18133" xr:uid="{0825DC18-346A-4AC7-9C91-922D4BE29C48}"/>
    <cellStyle name="Comma 4 4 2 2 3 6" xfId="26580" xr:uid="{7C4031DD-598E-4E7F-9809-3C01AE0F01DD}"/>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314216B4-0A7D-46D6-BA74-935A31711628}"/>
    <cellStyle name="Comma 4 4 2 2 4 2 2 3" xfId="24908" xr:uid="{CC0C19D3-084B-4F62-8BB5-3F61B8B67E7B}"/>
    <cellStyle name="Comma 4 4 2 2 4 2 2 4" xfId="33355" xr:uid="{BC0BC79D-1F0E-4E86-8F0F-2A3D0B3A36CB}"/>
    <cellStyle name="Comma 4 4 2 2 4 2 3" xfId="12243" xr:uid="{04B9FBCC-6663-4C7D-AD05-62B09B7E19D7}"/>
    <cellStyle name="Comma 4 4 2 2 4 2 4" xfId="20691" xr:uid="{0F0DA2EF-67B2-424D-898D-3D56C4306F47}"/>
    <cellStyle name="Comma 4 4 2 2 4 2 5" xfId="29138" xr:uid="{92BCA25B-4FCA-4B93-B16A-48D2B25349F6}"/>
    <cellStyle name="Comma 4 4 2 2 4 3" xfId="5866" xr:uid="{00000000-0005-0000-0000-0000DB090000}"/>
    <cellStyle name="Comma 4 4 2 2 4 3 2" xfId="14316" xr:uid="{E9158DB1-A579-4792-AAAA-421E88A0A761}"/>
    <cellStyle name="Comma 4 4 2 2 4 3 3" xfId="22763" xr:uid="{40614CEF-EE16-4A19-B120-36D5C5F7C06D}"/>
    <cellStyle name="Comma 4 4 2 2 4 3 4" xfId="31210" xr:uid="{B070667C-C17E-4BA6-9CF3-0FD39641FE34}"/>
    <cellStyle name="Comma 4 4 2 2 4 4" xfId="10098" xr:uid="{9317AADC-C417-4403-B2A1-E55F065DE8BB}"/>
    <cellStyle name="Comma 4 4 2 2 4 5" xfId="18546" xr:uid="{2C60CBB7-74F5-476B-9033-7F1DD0AF6DB5}"/>
    <cellStyle name="Comma 4 4 2 2 4 6" xfId="26993" xr:uid="{EEE80DE8-607B-47AB-BEE9-59BF4EF0DE3A}"/>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0284AD61-B26B-412A-9CEF-082F45F8BAF4}"/>
    <cellStyle name="Comma 4 4 2 2 5 2 2 3" xfId="25321" xr:uid="{B6C3BA5C-933F-456F-B4B8-4BE6B0277A06}"/>
    <cellStyle name="Comma 4 4 2 2 5 2 2 4" xfId="33768" xr:uid="{2045E54B-66B9-4D72-9D2C-61AF2E13B173}"/>
    <cellStyle name="Comma 4 4 2 2 5 2 3" xfId="12656" xr:uid="{BBB2D0AF-3EB1-47DD-A9C4-E893C4FBB4DA}"/>
    <cellStyle name="Comma 4 4 2 2 5 2 4" xfId="21104" xr:uid="{0B672712-2114-42BB-A23B-332A15CC1940}"/>
    <cellStyle name="Comma 4 4 2 2 5 2 5" xfId="29551" xr:uid="{8FBAD9E1-5337-4095-8B23-6E6F5E263B1A}"/>
    <cellStyle name="Comma 4 4 2 2 5 3" xfId="6279" xr:uid="{00000000-0005-0000-0000-0000DF090000}"/>
    <cellStyle name="Comma 4 4 2 2 5 3 2" xfId="14729" xr:uid="{03E2FC5B-1107-4B74-BF68-0A829415F4AD}"/>
    <cellStyle name="Comma 4 4 2 2 5 3 3" xfId="23176" xr:uid="{8923848E-9B4D-4982-8A4D-D056E9F0E953}"/>
    <cellStyle name="Comma 4 4 2 2 5 3 4" xfId="31623" xr:uid="{87A98E07-9627-4D81-BCEA-F0EBC7CDE921}"/>
    <cellStyle name="Comma 4 4 2 2 5 4" xfId="10511" xr:uid="{89CAE8F0-9386-4109-B21E-F1B0ED5F38AF}"/>
    <cellStyle name="Comma 4 4 2 2 5 5" xfId="18959" xr:uid="{3ECFBD44-B6F3-4B67-B64F-DBAC08DC4536}"/>
    <cellStyle name="Comma 4 4 2 2 5 6" xfId="27406" xr:uid="{F9AF009E-BFC2-43AA-B1E4-1F9511B6F72E}"/>
    <cellStyle name="Comma 4 4 2 2 6" xfId="2408" xr:uid="{00000000-0005-0000-0000-0000E0090000}"/>
    <cellStyle name="Comma 4 4 2 2 6 2" xfId="6692" xr:uid="{00000000-0005-0000-0000-0000E1090000}"/>
    <cellStyle name="Comma 4 4 2 2 6 2 2" xfId="15142" xr:uid="{B74ECB0B-A489-447D-8DD5-547355C05B59}"/>
    <cellStyle name="Comma 4 4 2 2 6 2 3" xfId="23589" xr:uid="{20969411-765F-4FC0-8F00-ABB29406AA75}"/>
    <cellStyle name="Comma 4 4 2 2 6 2 4" xfId="32036" xr:uid="{A407C4CC-B6BE-4C4B-9B24-9C24BC7691BC}"/>
    <cellStyle name="Comma 4 4 2 2 6 3" xfId="10924" xr:uid="{848C9B19-34C8-48C3-8E43-8134F37B6D43}"/>
    <cellStyle name="Comma 4 4 2 2 6 4" xfId="19372" xr:uid="{4E89F51E-D877-47EC-B65B-2A2D7E3DA1FB}"/>
    <cellStyle name="Comma 4 4 2 2 6 5" xfId="27819" xr:uid="{90F7F93E-ED49-4880-B5A6-753133133C13}"/>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7430E041-7A87-4A73-BD2D-04F7E3421D1C}"/>
    <cellStyle name="Comma 4 4 2 2 8 2 3" xfId="23906" xr:uid="{65AB9ABC-A92E-49D9-86DC-BFE16DAFF485}"/>
    <cellStyle name="Comma 4 4 2 2 8 2 4" xfId="32353" xr:uid="{50906520-8775-4BBD-B20C-6A3306210472}"/>
    <cellStyle name="Comma 4 4 2 2 8 3" xfId="11241" xr:uid="{CBF13D0E-CB16-44D2-B13B-CC2D28A5FE80}"/>
    <cellStyle name="Comma 4 4 2 2 8 4" xfId="19689" xr:uid="{29829699-2505-4DE3-A38D-24D7E4F76A3E}"/>
    <cellStyle name="Comma 4 4 2 2 8 5" xfId="28136" xr:uid="{CF4726EE-27AD-4020-A269-FBECCA348C91}"/>
    <cellStyle name="Comma 4 4 2 2 9" xfId="4626" xr:uid="{00000000-0005-0000-0000-0000E5090000}"/>
    <cellStyle name="Comma 4 4 2 2 9 2" xfId="13076" xr:uid="{2820AF43-35EB-46CE-843B-B09160280A64}"/>
    <cellStyle name="Comma 4 4 2 2 9 3" xfId="21523" xr:uid="{079D1777-5E13-4A58-AFCE-12A31F7D01D9}"/>
    <cellStyle name="Comma 4 4 2 2 9 4" xfId="29970" xr:uid="{F584E87A-2C28-422A-A3ED-5E4464480271}"/>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25271D8E-C4CB-4BF8-844C-3B4C2AACE85D}"/>
    <cellStyle name="Comma 4 4 2 3 2 2 3" xfId="24081" xr:uid="{6976896A-D919-4146-9630-1E47C7042F3A}"/>
    <cellStyle name="Comma 4 4 2 3 2 2 4" xfId="32528" xr:uid="{08DA04BE-FDB4-4257-8E8C-1AB26CB2485E}"/>
    <cellStyle name="Comma 4 4 2 3 2 3" xfId="11416" xr:uid="{602AC88B-35D2-4BE6-B978-99E8B313F1F4}"/>
    <cellStyle name="Comma 4 4 2 3 2 4" xfId="19864" xr:uid="{326571C2-A32D-4E13-B996-D9F3E422764F}"/>
    <cellStyle name="Comma 4 4 2 3 2 5" xfId="28311" xr:uid="{8046C24D-68CF-4661-BC6E-4483A9DF5B1B}"/>
    <cellStyle name="Comma 4 4 2 3 3" xfId="5039" xr:uid="{00000000-0005-0000-0000-0000E9090000}"/>
    <cellStyle name="Comma 4 4 2 3 3 2" xfId="13489" xr:uid="{3B456A24-9A8B-4A77-8575-84675A958215}"/>
    <cellStyle name="Comma 4 4 2 3 3 3" xfId="21936" xr:uid="{68826DCC-87A8-48F9-ADA1-07BA6E0AFC6C}"/>
    <cellStyle name="Comma 4 4 2 3 3 4" xfId="30383" xr:uid="{EE6FA387-98D9-400C-B186-67B0A92347C7}"/>
    <cellStyle name="Comma 4 4 2 3 4" xfId="9271" xr:uid="{539C45F1-681F-4E8B-AD34-8AA6E9422CFE}"/>
    <cellStyle name="Comma 4 4 2 3 5" xfId="17719" xr:uid="{BC301977-6A83-4CFD-AB50-FC12DF4DCAB4}"/>
    <cellStyle name="Comma 4 4 2 3 6" xfId="26166" xr:uid="{E148DDB0-8A25-4C64-A68D-C489217E57EF}"/>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A9C087B8-05BC-436A-8DDB-59BCEF3D759A}"/>
    <cellStyle name="Comma 4 4 2 4 2 2 3" xfId="24494" xr:uid="{E83E5D37-55CF-4AA6-B28A-3D233E83F827}"/>
    <cellStyle name="Comma 4 4 2 4 2 2 4" xfId="32941" xr:uid="{A9939A21-935F-48A8-AA0C-5EDCE5716E36}"/>
    <cellStyle name="Comma 4 4 2 4 2 3" xfId="11829" xr:uid="{2F30399C-A7BF-4977-9433-213DCCA62E31}"/>
    <cellStyle name="Comma 4 4 2 4 2 4" xfId="20277" xr:uid="{BE4E57D4-04BD-47DC-9500-367759F5AB27}"/>
    <cellStyle name="Comma 4 4 2 4 2 5" xfId="28724" xr:uid="{A2A0D0C3-3A35-4013-96D9-61CB656516E4}"/>
    <cellStyle name="Comma 4 4 2 4 3" xfId="5452" xr:uid="{00000000-0005-0000-0000-0000ED090000}"/>
    <cellStyle name="Comma 4 4 2 4 3 2" xfId="13902" xr:uid="{D2208798-4A04-4FD9-8DDC-B66287B23038}"/>
    <cellStyle name="Comma 4 4 2 4 3 3" xfId="22349" xr:uid="{270E322D-A28E-416B-A38D-BDA0CED1EF55}"/>
    <cellStyle name="Comma 4 4 2 4 3 4" xfId="30796" xr:uid="{850DC5BD-854C-4571-B885-CD92E851E428}"/>
    <cellStyle name="Comma 4 4 2 4 4" xfId="9684" xr:uid="{C977DD94-9702-4CEE-BB6F-755A280C182A}"/>
    <cellStyle name="Comma 4 4 2 4 5" xfId="18132" xr:uid="{F11CAA80-E7C7-4244-B451-0C5CF04CE2B7}"/>
    <cellStyle name="Comma 4 4 2 4 6" xfId="26579" xr:uid="{80FD35A0-C697-4075-9C81-313B13FD70D5}"/>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D8390A44-8BE2-4952-A6BE-C36297599960}"/>
    <cellStyle name="Comma 4 4 2 5 2 2 3" xfId="24907" xr:uid="{6372F4EA-DF1E-4A86-A1EE-06E6F5E22A17}"/>
    <cellStyle name="Comma 4 4 2 5 2 2 4" xfId="33354" xr:uid="{989BBCFC-3FAD-4658-A725-3EBF14A33921}"/>
    <cellStyle name="Comma 4 4 2 5 2 3" xfId="12242" xr:uid="{34771851-2FA2-4A8B-B39F-6D2D5E4E95AA}"/>
    <cellStyle name="Comma 4 4 2 5 2 4" xfId="20690" xr:uid="{4C89EAA1-F85A-4975-8547-98CCB28603C9}"/>
    <cellStyle name="Comma 4 4 2 5 2 5" xfId="29137" xr:uid="{3D9623D7-2619-44D8-9B36-FD085C1CC529}"/>
    <cellStyle name="Comma 4 4 2 5 3" xfId="5865" xr:uid="{00000000-0005-0000-0000-0000F1090000}"/>
    <cellStyle name="Comma 4 4 2 5 3 2" xfId="14315" xr:uid="{9AFE21F9-2684-4B09-A57E-BA35C092C868}"/>
    <cellStyle name="Comma 4 4 2 5 3 3" xfId="22762" xr:uid="{209303B0-D851-435C-816D-D60596647682}"/>
    <cellStyle name="Comma 4 4 2 5 3 4" xfId="31209" xr:uid="{D9ACB327-8AE0-412A-89DB-C837999BF180}"/>
    <cellStyle name="Comma 4 4 2 5 4" xfId="10097" xr:uid="{AA4FAC98-13A3-4D41-A0FD-750335E8EE4B}"/>
    <cellStyle name="Comma 4 4 2 5 5" xfId="18545" xr:uid="{09427C5F-B778-4D80-8A96-61656AE037AA}"/>
    <cellStyle name="Comma 4 4 2 5 6" xfId="26992" xr:uid="{89E92C8C-EBE6-48CA-A3BA-7B6E7BB85F65}"/>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60AA61EC-7C3E-4C3B-A992-F2FA8D691EBB}"/>
    <cellStyle name="Comma 4 4 2 6 2 2 3" xfId="25320" xr:uid="{35F38490-6770-4A49-8D91-63B7C79A13E5}"/>
    <cellStyle name="Comma 4 4 2 6 2 2 4" xfId="33767" xr:uid="{78C57FA8-5F1B-4801-B69A-A9769BD63561}"/>
    <cellStyle name="Comma 4 4 2 6 2 3" xfId="12655" xr:uid="{76FA4906-CACD-46F2-95B7-731423BA0226}"/>
    <cellStyle name="Comma 4 4 2 6 2 4" xfId="21103" xr:uid="{DBE9804B-71E9-436A-AAD1-A85ECE66DFA2}"/>
    <cellStyle name="Comma 4 4 2 6 2 5" xfId="29550" xr:uid="{3264FA6A-50B6-46AA-AA85-77067D13C81B}"/>
    <cellStyle name="Comma 4 4 2 6 3" xfId="6278" xr:uid="{00000000-0005-0000-0000-0000F5090000}"/>
    <cellStyle name="Comma 4 4 2 6 3 2" xfId="14728" xr:uid="{B66CC777-0495-468C-B50C-AD85C18134F8}"/>
    <cellStyle name="Comma 4 4 2 6 3 3" xfId="23175" xr:uid="{885EA445-B764-4D48-BDC4-B27402BFB5F5}"/>
    <cellStyle name="Comma 4 4 2 6 3 4" xfId="31622" xr:uid="{B63CBEB9-FFD5-4DC7-9D1F-E5EFE7100453}"/>
    <cellStyle name="Comma 4 4 2 6 4" xfId="10510" xr:uid="{E4C13EA1-2262-4E16-84AD-40E0B6B974EF}"/>
    <cellStyle name="Comma 4 4 2 6 5" xfId="18958" xr:uid="{B4ADD7CA-E29E-4417-A55F-7125481FCAA0}"/>
    <cellStyle name="Comma 4 4 2 6 6" xfId="27405" xr:uid="{D53FD8E8-501A-40A5-A4C5-E11486A2C35F}"/>
    <cellStyle name="Comma 4 4 2 7" xfId="2407" xr:uid="{00000000-0005-0000-0000-0000F6090000}"/>
    <cellStyle name="Comma 4 4 2 7 2" xfId="6691" xr:uid="{00000000-0005-0000-0000-0000F7090000}"/>
    <cellStyle name="Comma 4 4 2 7 2 2" xfId="15141" xr:uid="{F44D3EFE-1644-4219-A8FD-E9CE983D48AC}"/>
    <cellStyle name="Comma 4 4 2 7 2 3" xfId="23588" xr:uid="{AAD5A3E5-804D-4624-8BAD-2F1A9ABBD91E}"/>
    <cellStyle name="Comma 4 4 2 7 2 4" xfId="32035" xr:uid="{B117D752-7551-41AF-9824-62F69E5C6BB7}"/>
    <cellStyle name="Comma 4 4 2 7 3" xfId="10923" xr:uid="{51B5E277-A9EE-414C-9BD3-D830946E911A}"/>
    <cellStyle name="Comma 4 4 2 7 4" xfId="19371" xr:uid="{320F3D1D-44DC-4978-9DC8-7631776AED08}"/>
    <cellStyle name="Comma 4 4 2 7 5" xfId="27818" xr:uid="{2CF9DAB9-6817-4E3B-A1B2-740B6BFAEDB3}"/>
    <cellStyle name="Comma 4 4 2 8" xfId="2703" xr:uid="{00000000-0005-0000-0000-0000F8090000}"/>
    <cellStyle name="Comma 4 4 2 9" xfId="2785" xr:uid="{00000000-0005-0000-0000-0000F9090000}"/>
    <cellStyle name="Comma 4 4 2 9 2" xfId="7008" xr:uid="{00000000-0005-0000-0000-0000FA090000}"/>
    <cellStyle name="Comma 4 4 2 9 2 2" xfId="15458" xr:uid="{089F2B81-1A2E-4A3F-BCC7-F87BC692F880}"/>
    <cellStyle name="Comma 4 4 2 9 2 3" xfId="23905" xr:uid="{E56CEC2D-D9BF-4102-8A4C-C3575064C2AE}"/>
    <cellStyle name="Comma 4 4 2 9 2 4" xfId="32352" xr:uid="{EDC59BDE-69A8-4EF2-BC66-82C28D79CAB1}"/>
    <cellStyle name="Comma 4 4 2 9 3" xfId="11240" xr:uid="{0CD38CD9-F410-4CBC-8A0B-CE1E4C14BA7A}"/>
    <cellStyle name="Comma 4 4 2 9 4" xfId="19688" xr:uid="{371560A7-D247-4593-AE7A-9AA15A28D487}"/>
    <cellStyle name="Comma 4 4 2 9 5" xfId="28135" xr:uid="{D8F99B88-7EC7-4976-877D-A1E42BF7A6EC}"/>
    <cellStyle name="Comma 4 4 3" xfId="156" xr:uid="{00000000-0005-0000-0000-0000FB090000}"/>
    <cellStyle name="Comma 4 4 3 10" xfId="8859" xr:uid="{D1E51C3A-3EFC-4325-BD06-84466DBC630C}"/>
    <cellStyle name="Comma 4 4 3 11" xfId="17307" xr:uid="{566CD8C0-81F2-4200-86A7-CD770474DCB3}"/>
    <cellStyle name="Comma 4 4 3 12" xfId="25754" xr:uid="{0541EEAF-BFDD-4ABB-80E1-8FB1332CFEFA}"/>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945C770C-63E1-44D6-80E5-2D8D662FCAB1}"/>
    <cellStyle name="Comma 4 4 3 2 2 2 3" xfId="24083" xr:uid="{E33F0AB0-0E54-4C6F-90E1-0FC75EABC791}"/>
    <cellStyle name="Comma 4 4 3 2 2 2 4" xfId="32530" xr:uid="{64411911-4575-4217-9CC0-09D765BB3789}"/>
    <cellStyle name="Comma 4 4 3 2 2 3" xfId="11418" xr:uid="{01F197BD-72F7-4645-A0F5-B33BC537583A}"/>
    <cellStyle name="Comma 4 4 3 2 2 4" xfId="19866" xr:uid="{93D1C63D-708C-4A26-B4F9-19F7CB4DD672}"/>
    <cellStyle name="Comma 4 4 3 2 2 5" xfId="28313" xr:uid="{743FE42A-4365-4551-A884-849B6225B7E8}"/>
    <cellStyle name="Comma 4 4 3 2 3" xfId="5041" xr:uid="{00000000-0005-0000-0000-0000FF090000}"/>
    <cellStyle name="Comma 4 4 3 2 3 2" xfId="13491" xr:uid="{3FA5A03B-18FA-4A16-AAF0-93192C168AC2}"/>
    <cellStyle name="Comma 4 4 3 2 3 3" xfId="21938" xr:uid="{0EE4A2FC-C791-4756-A24E-06C865DE9480}"/>
    <cellStyle name="Comma 4 4 3 2 3 4" xfId="30385" xr:uid="{60627762-14E0-4015-B1C9-EE1E6D9A016F}"/>
    <cellStyle name="Comma 4 4 3 2 4" xfId="9273" xr:uid="{593EDA81-2F17-4E4E-ADD0-D6B8B2AB4DC6}"/>
    <cellStyle name="Comma 4 4 3 2 5" xfId="17721" xr:uid="{49B1B80D-B58F-4F6C-8BE9-02886BA9E137}"/>
    <cellStyle name="Comma 4 4 3 2 6" xfId="26168" xr:uid="{C4AA7D08-8AA3-4894-B8EF-F57BA54C31D6}"/>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A8D6043C-E9F4-44E4-B201-B5AAC9A633A8}"/>
    <cellStyle name="Comma 4 4 3 3 2 2 3" xfId="24496" xr:uid="{45D85E37-FAF1-4E62-A92E-BC76D8037724}"/>
    <cellStyle name="Comma 4 4 3 3 2 2 4" xfId="32943" xr:uid="{C3C5936B-4E9F-4BFB-B9E5-53D2316AC6D2}"/>
    <cellStyle name="Comma 4 4 3 3 2 3" xfId="11831" xr:uid="{4917CD92-2915-4AF9-B0C6-93D905FB0FDC}"/>
    <cellStyle name="Comma 4 4 3 3 2 4" xfId="20279" xr:uid="{B2730CC6-ED7B-429D-B5D4-E33A333EF883}"/>
    <cellStyle name="Comma 4 4 3 3 2 5" xfId="28726" xr:uid="{4ACD2B86-5629-4459-B3FA-8E1A6E2C0F50}"/>
    <cellStyle name="Comma 4 4 3 3 3" xfId="5454" xr:uid="{00000000-0005-0000-0000-0000030A0000}"/>
    <cellStyle name="Comma 4 4 3 3 3 2" xfId="13904" xr:uid="{8BFEBD52-B9CA-49F8-990A-81BC901A4EFF}"/>
    <cellStyle name="Comma 4 4 3 3 3 3" xfId="22351" xr:uid="{6E7EFF18-12BE-4CA4-A479-6A27E730EA0B}"/>
    <cellStyle name="Comma 4 4 3 3 3 4" xfId="30798" xr:uid="{FC0A329A-06B0-4E21-AC34-3CC8BDE03700}"/>
    <cellStyle name="Comma 4 4 3 3 4" xfId="9686" xr:uid="{28326FBF-24DC-4B53-8B8F-BC87E7F9F8C0}"/>
    <cellStyle name="Comma 4 4 3 3 5" xfId="18134" xr:uid="{AF16E7F2-C2BC-49F6-BF58-ADBDCC64CEB2}"/>
    <cellStyle name="Comma 4 4 3 3 6" xfId="26581" xr:uid="{55C822A2-24A6-4AFD-929A-9BCFC1B3858D}"/>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7E131719-C23D-4F06-8382-AC547C1CD5DE}"/>
    <cellStyle name="Comma 4 4 3 4 2 2 3" xfId="24909" xr:uid="{D850D482-733E-4928-92A4-DACEB7E4ECEB}"/>
    <cellStyle name="Comma 4 4 3 4 2 2 4" xfId="33356" xr:uid="{13F81590-CA7A-4A95-AD41-7576632446F1}"/>
    <cellStyle name="Comma 4 4 3 4 2 3" xfId="12244" xr:uid="{762B1091-83E2-4E2D-9DE1-C3749B6F0457}"/>
    <cellStyle name="Comma 4 4 3 4 2 4" xfId="20692" xr:uid="{27F2DDFB-4382-470A-97FE-304DD7412A9C}"/>
    <cellStyle name="Comma 4 4 3 4 2 5" xfId="29139" xr:uid="{B2FBF1B2-19EF-4CE1-A726-41A35EA8AF70}"/>
    <cellStyle name="Comma 4 4 3 4 3" xfId="5867" xr:uid="{00000000-0005-0000-0000-0000070A0000}"/>
    <cellStyle name="Comma 4 4 3 4 3 2" xfId="14317" xr:uid="{A83CDA73-2B6F-4E1D-A1BA-489DE4F5D274}"/>
    <cellStyle name="Comma 4 4 3 4 3 3" xfId="22764" xr:uid="{1D3DDA50-A52C-487A-B07A-4D9656C430DC}"/>
    <cellStyle name="Comma 4 4 3 4 3 4" xfId="31211" xr:uid="{C39C93D4-D482-4EF6-AD27-B47268CE02BF}"/>
    <cellStyle name="Comma 4 4 3 4 4" xfId="10099" xr:uid="{AFCBA590-520A-47AE-A025-6102BBB4396D}"/>
    <cellStyle name="Comma 4 4 3 4 5" xfId="18547" xr:uid="{621DAA7F-9DB8-4955-B140-7660E4691CBA}"/>
    <cellStyle name="Comma 4 4 3 4 6" xfId="26994" xr:uid="{D8F0678D-56E0-457C-8375-D5D333881DF6}"/>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B5E81540-B5A5-495E-95AA-6BD0DCD2604A}"/>
    <cellStyle name="Comma 4 4 3 5 2 2 3" xfId="25322" xr:uid="{71DA3865-1BC7-440E-9CC0-61C7E369CD9A}"/>
    <cellStyle name="Comma 4 4 3 5 2 2 4" xfId="33769" xr:uid="{B5E347AC-10A8-4A7E-9D83-AF4C2B745E11}"/>
    <cellStyle name="Comma 4 4 3 5 2 3" xfId="12657" xr:uid="{84E3B50E-F842-45D2-9A34-97AD0EB7A08C}"/>
    <cellStyle name="Comma 4 4 3 5 2 4" xfId="21105" xr:uid="{D7DE1B0E-85B9-477D-B400-B6BE4343DCE8}"/>
    <cellStyle name="Comma 4 4 3 5 2 5" xfId="29552" xr:uid="{35EA0546-183F-4A3A-A461-D6A81BBD2FF6}"/>
    <cellStyle name="Comma 4 4 3 5 3" xfId="6280" xr:uid="{00000000-0005-0000-0000-00000B0A0000}"/>
    <cellStyle name="Comma 4 4 3 5 3 2" xfId="14730" xr:uid="{3953EDEC-D2FA-4891-86A1-5C784D6E9052}"/>
    <cellStyle name="Comma 4 4 3 5 3 3" xfId="23177" xr:uid="{A1EB73DC-A495-4A4F-AF01-FCAFF440BF84}"/>
    <cellStyle name="Comma 4 4 3 5 3 4" xfId="31624" xr:uid="{A71066DB-E959-482B-A47D-0CB6D4900707}"/>
    <cellStyle name="Comma 4 4 3 5 4" xfId="10512" xr:uid="{883570C5-797E-43B0-BEE2-D734D0749036}"/>
    <cellStyle name="Comma 4 4 3 5 5" xfId="18960" xr:uid="{EAD26F61-D320-4DC3-AD47-74A9DDFE55C3}"/>
    <cellStyle name="Comma 4 4 3 5 6" xfId="27407" xr:uid="{742D5B9D-47B5-40C5-BE7F-66AE03C86A0A}"/>
    <cellStyle name="Comma 4 4 3 6" xfId="2409" xr:uid="{00000000-0005-0000-0000-00000C0A0000}"/>
    <cellStyle name="Comma 4 4 3 6 2" xfId="6693" xr:uid="{00000000-0005-0000-0000-00000D0A0000}"/>
    <cellStyle name="Comma 4 4 3 6 2 2" xfId="15143" xr:uid="{137B1112-1C0A-4686-B607-F5232846DF61}"/>
    <cellStyle name="Comma 4 4 3 6 2 3" xfId="23590" xr:uid="{BC87EBEC-805F-4970-BCB2-1C19B1F50348}"/>
    <cellStyle name="Comma 4 4 3 6 2 4" xfId="32037" xr:uid="{501AFE93-8880-4F01-8F86-04BB3566F33A}"/>
    <cellStyle name="Comma 4 4 3 6 3" xfId="10925" xr:uid="{93F47B63-0F16-4419-93A0-2539AB313E25}"/>
    <cellStyle name="Comma 4 4 3 6 4" xfId="19373" xr:uid="{A5F5DC45-2D4D-4097-B0A8-F3B3B530567C}"/>
    <cellStyle name="Comma 4 4 3 6 5" xfId="27820" xr:uid="{60385E34-05A0-4725-8585-7A6DF5D32D10}"/>
    <cellStyle name="Comma 4 4 3 7" xfId="2705" xr:uid="{00000000-0005-0000-0000-00000E0A0000}"/>
    <cellStyle name="Comma 4 4 3 8" xfId="2787" xr:uid="{00000000-0005-0000-0000-00000F0A0000}"/>
    <cellStyle name="Comma 4 4 3 8 2" xfId="7010" xr:uid="{00000000-0005-0000-0000-0000100A0000}"/>
    <cellStyle name="Comma 4 4 3 8 2 2" xfId="15460" xr:uid="{D815A5E7-9438-4ED6-9CBE-BAFF08834A90}"/>
    <cellStyle name="Comma 4 4 3 8 2 3" xfId="23907" xr:uid="{377C9081-470B-4A0B-B351-AFE02182585B}"/>
    <cellStyle name="Comma 4 4 3 8 2 4" xfId="32354" xr:uid="{A8AB2FD7-2414-436C-A4B3-6CD70AA76140}"/>
    <cellStyle name="Comma 4 4 3 8 3" xfId="11242" xr:uid="{462C5A25-DFF5-483E-B956-713F3E1A350E}"/>
    <cellStyle name="Comma 4 4 3 8 4" xfId="19690" xr:uid="{8905CAFF-5C31-4F01-88AE-E8AC55691411}"/>
    <cellStyle name="Comma 4 4 3 8 5" xfId="28137" xr:uid="{15FC39FF-9549-4C18-8CF3-F55F0E9B2B26}"/>
    <cellStyle name="Comma 4 4 3 9" xfId="4627" xr:uid="{00000000-0005-0000-0000-0000110A0000}"/>
    <cellStyle name="Comma 4 4 3 9 2" xfId="13077" xr:uid="{83C436F2-51D7-4E68-A7AC-EFE1FC3481B7}"/>
    <cellStyle name="Comma 4 4 3 9 3" xfId="21524" xr:uid="{D5E4C2DB-C9B2-4185-B178-E66648A35552}"/>
    <cellStyle name="Comma 4 4 3 9 4" xfId="29971" xr:uid="{4A60946A-A928-41EA-8A8A-19C54EE0EDF4}"/>
    <cellStyle name="Comma 4 4 4" xfId="690" xr:uid="{00000000-0005-0000-0000-0000120A0000}"/>
    <cellStyle name="Comma 4 4 4 2" xfId="2961" xr:uid="{00000000-0005-0000-0000-0000130A0000}"/>
    <cellStyle name="Comma 4 4 4 2 2" xfId="7183" xr:uid="{00000000-0005-0000-0000-0000140A0000}"/>
    <cellStyle name="Comma 4 4 4 2 2 2" xfId="15633" xr:uid="{78961E31-D981-43F8-802D-7EE3D0F582EA}"/>
    <cellStyle name="Comma 4 4 4 2 2 3" xfId="24080" xr:uid="{1A1A9478-C10B-4F16-AF2F-07601B04096E}"/>
    <cellStyle name="Comma 4 4 4 2 2 4" xfId="32527" xr:uid="{45C9F3DA-B3DA-4682-A5B2-00553E124B18}"/>
    <cellStyle name="Comma 4 4 4 2 3" xfId="11415" xr:uid="{114E7EA6-0D90-4F19-BF38-58A5EB4A0182}"/>
    <cellStyle name="Comma 4 4 4 2 4" xfId="19863" xr:uid="{117F3970-EF65-4E3E-86D9-BC92372EB9E2}"/>
    <cellStyle name="Comma 4 4 4 2 5" xfId="28310" xr:uid="{E9A62F8E-FE67-4489-8E6A-CC3668D3EE54}"/>
    <cellStyle name="Comma 4 4 4 3" xfId="5038" xr:uid="{00000000-0005-0000-0000-0000150A0000}"/>
    <cellStyle name="Comma 4 4 4 3 2" xfId="13488" xr:uid="{BC9C58BC-1DA9-445F-AE74-D6F186946996}"/>
    <cellStyle name="Comma 4 4 4 3 3" xfId="21935" xr:uid="{3A734481-AC3F-4263-8232-A9B59E2C0CE3}"/>
    <cellStyle name="Comma 4 4 4 3 4" xfId="30382" xr:uid="{8BEC3BA8-1489-4113-9588-482787F63DD9}"/>
    <cellStyle name="Comma 4 4 4 4" xfId="9270" xr:uid="{A6ECC057-31D5-42FD-8239-4508034D0645}"/>
    <cellStyle name="Comma 4 4 4 5" xfId="17718" xr:uid="{298AC645-F600-44C0-8626-1F61ADB4CEE7}"/>
    <cellStyle name="Comma 4 4 4 6" xfId="26165" xr:uid="{0A4D4B12-99C4-4813-AB59-1F5E56F9C2F3}"/>
    <cellStyle name="Comma 4 4 5" xfId="1143" xr:uid="{00000000-0005-0000-0000-0000160A0000}"/>
    <cellStyle name="Comma 4 4 5 2" xfId="3374" xr:uid="{00000000-0005-0000-0000-0000170A0000}"/>
    <cellStyle name="Comma 4 4 5 2 2" xfId="7596" xr:uid="{00000000-0005-0000-0000-0000180A0000}"/>
    <cellStyle name="Comma 4 4 5 2 2 2" xfId="16046" xr:uid="{F1845FAE-792B-46B2-A8C5-4A0FAD597AA9}"/>
    <cellStyle name="Comma 4 4 5 2 2 3" xfId="24493" xr:uid="{C84F1654-3092-4970-9D35-1CEE6DA4F319}"/>
    <cellStyle name="Comma 4 4 5 2 2 4" xfId="32940" xr:uid="{8FF9D8E2-137D-4E0B-9444-61CF6BAFB844}"/>
    <cellStyle name="Comma 4 4 5 2 3" xfId="11828" xr:uid="{63218827-CFF1-4AB3-83E8-235A60719A83}"/>
    <cellStyle name="Comma 4 4 5 2 4" xfId="20276" xr:uid="{9BDC98C6-61B4-4E8D-9CAB-3A3EA73879B4}"/>
    <cellStyle name="Comma 4 4 5 2 5" xfId="28723" xr:uid="{CEF174F6-023A-4D00-9DA0-6169C0609474}"/>
    <cellStyle name="Comma 4 4 5 3" xfId="5451" xr:uid="{00000000-0005-0000-0000-0000190A0000}"/>
    <cellStyle name="Comma 4 4 5 3 2" xfId="13901" xr:uid="{47284025-4185-438C-8778-CA6F1808C1C1}"/>
    <cellStyle name="Comma 4 4 5 3 3" xfId="22348" xr:uid="{BBCEE52D-1BB6-4C7B-AC0B-5C9171C559DA}"/>
    <cellStyle name="Comma 4 4 5 3 4" xfId="30795" xr:uid="{B9812AAD-19FC-4B72-AE8A-951AFF7647D8}"/>
    <cellStyle name="Comma 4 4 5 4" xfId="9683" xr:uid="{2367292B-D758-4F40-814C-D7196170852A}"/>
    <cellStyle name="Comma 4 4 5 5" xfId="18131" xr:uid="{1AEF50C3-FC7E-4B5C-B5D5-6314C11B49A1}"/>
    <cellStyle name="Comma 4 4 5 6" xfId="26578" xr:uid="{71F87559-AE92-4C5F-80D1-4D10B89891B2}"/>
    <cellStyle name="Comma 4 4 6" xfId="1557" xr:uid="{00000000-0005-0000-0000-00001A0A0000}"/>
    <cellStyle name="Comma 4 4 6 2" xfId="3787" xr:uid="{00000000-0005-0000-0000-00001B0A0000}"/>
    <cellStyle name="Comma 4 4 6 2 2" xfId="8009" xr:uid="{00000000-0005-0000-0000-00001C0A0000}"/>
    <cellStyle name="Comma 4 4 6 2 2 2" xfId="16459" xr:uid="{1D155303-D6DA-408F-9748-D4A56A4C10C8}"/>
    <cellStyle name="Comma 4 4 6 2 2 3" xfId="24906" xr:uid="{900A43B8-E339-48B0-AE52-8825519B86B4}"/>
    <cellStyle name="Comma 4 4 6 2 2 4" xfId="33353" xr:uid="{E17FAE01-5805-4C9A-9A65-0B09123586DD}"/>
    <cellStyle name="Comma 4 4 6 2 3" xfId="12241" xr:uid="{0C4D3F4B-11C7-4104-BDFB-243466141A8E}"/>
    <cellStyle name="Comma 4 4 6 2 4" xfId="20689" xr:uid="{65DC39C9-619D-4EE2-A615-EBE04E688CF6}"/>
    <cellStyle name="Comma 4 4 6 2 5" xfId="29136" xr:uid="{66708625-AF27-4D21-9134-C9DFFC24A87A}"/>
    <cellStyle name="Comma 4 4 6 3" xfId="5864" xr:uid="{00000000-0005-0000-0000-00001D0A0000}"/>
    <cellStyle name="Comma 4 4 6 3 2" xfId="14314" xr:uid="{C43819E2-BE82-425E-9704-0DD45187BAE3}"/>
    <cellStyle name="Comma 4 4 6 3 3" xfId="22761" xr:uid="{A572D90B-1644-4C47-BE49-D21665857FD2}"/>
    <cellStyle name="Comma 4 4 6 3 4" xfId="31208" xr:uid="{1DBC70F2-ADD7-4686-9DEE-62FFF6237BFA}"/>
    <cellStyle name="Comma 4 4 6 4" xfId="10096" xr:uid="{2A5EC26A-A177-4F88-B94C-BE99C2582099}"/>
    <cellStyle name="Comma 4 4 6 5" xfId="18544" xr:uid="{EDE01170-62E2-45CF-BAA3-88E6E48821AA}"/>
    <cellStyle name="Comma 4 4 6 6" xfId="26991" xr:uid="{BBE70011-417C-4835-9BD4-A04C67F35F94}"/>
    <cellStyle name="Comma 4 4 7" xfId="1971" xr:uid="{00000000-0005-0000-0000-00001E0A0000}"/>
    <cellStyle name="Comma 4 4 7 2" xfId="4200" xr:uid="{00000000-0005-0000-0000-00001F0A0000}"/>
    <cellStyle name="Comma 4 4 7 2 2" xfId="8422" xr:uid="{00000000-0005-0000-0000-0000200A0000}"/>
    <cellStyle name="Comma 4 4 7 2 2 2" xfId="16872" xr:uid="{F0774CB8-1FEA-45CA-A27B-8A2024FAA6EF}"/>
    <cellStyle name="Comma 4 4 7 2 2 3" xfId="25319" xr:uid="{80F3EA5B-F62E-4708-8AF4-A6ECEEA113A6}"/>
    <cellStyle name="Comma 4 4 7 2 2 4" xfId="33766" xr:uid="{A0E798B0-8F49-40FF-88A7-D21B496C49E1}"/>
    <cellStyle name="Comma 4 4 7 2 3" xfId="12654" xr:uid="{B85511B5-8188-4A5B-97D5-6E595EADE3A1}"/>
    <cellStyle name="Comma 4 4 7 2 4" xfId="21102" xr:uid="{5B319FC0-6990-4DCE-8DE2-FC99164F9337}"/>
    <cellStyle name="Comma 4 4 7 2 5" xfId="29549" xr:uid="{BF4E4CE8-ADFF-44A5-A50C-844ABD9633CB}"/>
    <cellStyle name="Comma 4 4 7 3" xfId="6277" xr:uid="{00000000-0005-0000-0000-0000210A0000}"/>
    <cellStyle name="Comma 4 4 7 3 2" xfId="14727" xr:uid="{B259CB15-0AD2-4F0E-A6CB-9B5004166E2A}"/>
    <cellStyle name="Comma 4 4 7 3 3" xfId="23174" xr:uid="{15F2B07C-B01D-47E1-BE6B-5E9C57BCBD25}"/>
    <cellStyle name="Comma 4 4 7 3 4" xfId="31621" xr:uid="{BABADC28-8FF4-4BBC-B2FB-1A3FB9E73E87}"/>
    <cellStyle name="Comma 4 4 7 4" xfId="10509" xr:uid="{0F5FD859-3F06-4E20-ADF5-B06F897B1EB1}"/>
    <cellStyle name="Comma 4 4 7 5" xfId="18957" xr:uid="{D0F7CC1E-3074-4D98-B10C-4A7F1173F7A3}"/>
    <cellStyle name="Comma 4 4 7 6" xfId="27404" xr:uid="{A17C6AB8-3199-497E-83DC-F364646848E0}"/>
    <cellStyle name="Comma 4 4 8" xfId="2406" xr:uid="{00000000-0005-0000-0000-0000220A0000}"/>
    <cellStyle name="Comma 4 4 8 2" xfId="6690" xr:uid="{00000000-0005-0000-0000-0000230A0000}"/>
    <cellStyle name="Comma 4 4 8 2 2" xfId="15140" xr:uid="{9E80C949-05E3-4DA3-B32D-89B5833013AE}"/>
    <cellStyle name="Comma 4 4 8 2 3" xfId="23587" xr:uid="{3175AC08-C1AA-4F44-8F35-FC5A27D64D67}"/>
    <cellStyle name="Comma 4 4 8 2 4" xfId="32034" xr:uid="{B854566E-3618-488B-8F68-CB20EDEF65B5}"/>
    <cellStyle name="Comma 4 4 8 3" xfId="10922" xr:uid="{548AAD24-1076-4A12-AC49-1B92428D214A}"/>
    <cellStyle name="Comma 4 4 8 4" xfId="19370" xr:uid="{802F18A9-FAEC-423D-A54B-D694F5D16D22}"/>
    <cellStyle name="Comma 4 4 8 5" xfId="27817" xr:uid="{C77E90A2-95E9-44CB-B76F-E194DB3B7D0E}"/>
    <cellStyle name="Comma 4 4 9" xfId="2702" xr:uid="{00000000-0005-0000-0000-0000240A0000}"/>
    <cellStyle name="Comma 4 5" xfId="157" xr:uid="{00000000-0005-0000-0000-0000250A0000}"/>
    <cellStyle name="Comma 4 5 10" xfId="4628" xr:uid="{00000000-0005-0000-0000-0000260A0000}"/>
    <cellStyle name="Comma 4 5 10 2" xfId="13078" xr:uid="{AB1FCEB1-D174-4094-8E25-18379BFE2CD6}"/>
    <cellStyle name="Comma 4 5 10 3" xfId="21525" xr:uid="{1E77A92A-149B-4740-97DB-1316BAE01022}"/>
    <cellStyle name="Comma 4 5 10 4" xfId="29972" xr:uid="{FC577C30-8592-46D9-AFC1-66916BE8E962}"/>
    <cellStyle name="Comma 4 5 11" xfId="8860" xr:uid="{0E7BC628-B711-4DD2-8ABD-D17A9CE6AE3B}"/>
    <cellStyle name="Comma 4 5 12" xfId="17308" xr:uid="{EAA161EF-E7DD-4032-A7CC-4185305F6A7E}"/>
    <cellStyle name="Comma 4 5 13" xfId="25755" xr:uid="{9A6172BC-ACBF-4EE7-BBF5-764FF1AF0CEE}"/>
    <cellStyle name="Comma 4 5 2" xfId="158" xr:uid="{00000000-0005-0000-0000-0000270A0000}"/>
    <cellStyle name="Comma 4 5 2 10" xfId="8861" xr:uid="{D1D95776-B00A-4D9E-B9CD-88B8F68D4416}"/>
    <cellStyle name="Comma 4 5 2 11" xfId="17309" xr:uid="{A67C92DD-6A2F-48D9-9A12-EFAF3C087037}"/>
    <cellStyle name="Comma 4 5 2 12" xfId="25756" xr:uid="{60118423-004E-4F84-A47C-546FE74FC91C}"/>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984C21CC-9FFD-4E25-BB1F-BCF1626FC8FF}"/>
    <cellStyle name="Comma 4 5 2 2 2 2 3" xfId="24085" xr:uid="{E1F4C85B-6E85-4316-BCA1-FF563A5C9C58}"/>
    <cellStyle name="Comma 4 5 2 2 2 2 4" xfId="32532" xr:uid="{93A5BB59-1F50-45DB-AFCB-BAA0CCF98B17}"/>
    <cellStyle name="Comma 4 5 2 2 2 3" xfId="11420" xr:uid="{0D2571B6-35B9-43D4-9700-1D5A9783A0D3}"/>
    <cellStyle name="Comma 4 5 2 2 2 4" xfId="19868" xr:uid="{BDB14B94-63F9-4B5D-A8E7-53FCAF027846}"/>
    <cellStyle name="Comma 4 5 2 2 2 5" xfId="28315" xr:uid="{4DF4994E-05F4-4DEE-A107-366B1D2F79D4}"/>
    <cellStyle name="Comma 4 5 2 2 3" xfId="5043" xr:uid="{00000000-0005-0000-0000-00002B0A0000}"/>
    <cellStyle name="Comma 4 5 2 2 3 2" xfId="13493" xr:uid="{7C8DBE2D-2340-454D-8571-122790754B05}"/>
    <cellStyle name="Comma 4 5 2 2 3 3" xfId="21940" xr:uid="{A726AF12-31D4-4491-8373-F49266766AD9}"/>
    <cellStyle name="Comma 4 5 2 2 3 4" xfId="30387" xr:uid="{29B26422-B4A7-463B-A6B7-05DA98B04F5E}"/>
    <cellStyle name="Comma 4 5 2 2 4" xfId="9275" xr:uid="{9059E919-9EF7-4217-99C4-4B0AF337AAD7}"/>
    <cellStyle name="Comma 4 5 2 2 5" xfId="17723" xr:uid="{B57ECC9E-54E9-42D8-A4C0-CB606E3E9F2B}"/>
    <cellStyle name="Comma 4 5 2 2 6" xfId="26170" xr:uid="{BE2430EE-E883-4260-A71F-77067119E2DD}"/>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B6FBD15E-11C9-4E24-AD6C-DAB213E34D86}"/>
    <cellStyle name="Comma 4 5 2 3 2 2 3" xfId="24498" xr:uid="{48A659FB-8F0C-4290-90B0-880775910F8D}"/>
    <cellStyle name="Comma 4 5 2 3 2 2 4" xfId="32945" xr:uid="{964B6281-34C5-4584-904D-02322B77EB90}"/>
    <cellStyle name="Comma 4 5 2 3 2 3" xfId="11833" xr:uid="{579B998C-3DCF-4DE7-98E0-F7BB613AFF98}"/>
    <cellStyle name="Comma 4 5 2 3 2 4" xfId="20281" xr:uid="{B88D5E3A-19CF-43F1-A836-0D396FDEFB10}"/>
    <cellStyle name="Comma 4 5 2 3 2 5" xfId="28728" xr:uid="{0BE16644-D2F7-4161-B126-3357CE278CD3}"/>
    <cellStyle name="Comma 4 5 2 3 3" xfId="5456" xr:uid="{00000000-0005-0000-0000-00002F0A0000}"/>
    <cellStyle name="Comma 4 5 2 3 3 2" xfId="13906" xr:uid="{6F528E3D-3AB0-408D-BF77-696AFD1D1AB7}"/>
    <cellStyle name="Comma 4 5 2 3 3 3" xfId="22353" xr:uid="{D1D8D338-A92D-4BCE-A2B1-9F4E773A70D0}"/>
    <cellStyle name="Comma 4 5 2 3 3 4" xfId="30800" xr:uid="{502AE010-F98F-480E-971A-7C6DFFCA21FD}"/>
    <cellStyle name="Comma 4 5 2 3 4" xfId="9688" xr:uid="{21D86599-8685-4F9B-99E7-235B4C3B645E}"/>
    <cellStyle name="Comma 4 5 2 3 5" xfId="18136" xr:uid="{32E822B9-9177-4AC7-A690-86DC8493A337}"/>
    <cellStyle name="Comma 4 5 2 3 6" xfId="26583" xr:uid="{F0D162D8-196F-455F-BC18-CAEB0F855885}"/>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75F31C52-6D8A-4236-9D72-2702D1F3BE31}"/>
    <cellStyle name="Comma 4 5 2 4 2 2 3" xfId="24911" xr:uid="{0217E6C9-94AF-45DF-AB35-1C825A25114C}"/>
    <cellStyle name="Comma 4 5 2 4 2 2 4" xfId="33358" xr:uid="{19199BE1-019E-41AE-9284-38649A57A01E}"/>
    <cellStyle name="Comma 4 5 2 4 2 3" xfId="12246" xr:uid="{6F218092-704B-41AD-BC24-BA25DC1A7439}"/>
    <cellStyle name="Comma 4 5 2 4 2 4" xfId="20694" xr:uid="{A0D493F2-B4F4-43E0-8432-985EAE68CCF5}"/>
    <cellStyle name="Comma 4 5 2 4 2 5" xfId="29141" xr:uid="{1B3C5374-3A08-4751-A7E6-0A4C9411772C}"/>
    <cellStyle name="Comma 4 5 2 4 3" xfId="5869" xr:uid="{00000000-0005-0000-0000-0000330A0000}"/>
    <cellStyle name="Comma 4 5 2 4 3 2" xfId="14319" xr:uid="{21538F01-B4F5-40A4-8DAA-07CFD25494C4}"/>
    <cellStyle name="Comma 4 5 2 4 3 3" xfId="22766" xr:uid="{0298514E-4E9D-4809-B2F3-D88F4960C7D1}"/>
    <cellStyle name="Comma 4 5 2 4 3 4" xfId="31213" xr:uid="{2E6EF405-55E3-49C6-A68C-3CF14D094B99}"/>
    <cellStyle name="Comma 4 5 2 4 4" xfId="10101" xr:uid="{0A1F99C9-64A1-4F27-B93F-0E79B4EDB821}"/>
    <cellStyle name="Comma 4 5 2 4 5" xfId="18549" xr:uid="{D9AC8EA7-D320-42A2-A494-764B768BE434}"/>
    <cellStyle name="Comma 4 5 2 4 6" xfId="26996" xr:uid="{EC998856-E24B-4D4D-89E8-9729CBD2D30B}"/>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B5CF3EEC-033C-4148-966B-B806F0C12144}"/>
    <cellStyle name="Comma 4 5 2 5 2 2 3" xfId="25324" xr:uid="{CDC02F28-62D9-4266-BEBF-EB5C7BD96D22}"/>
    <cellStyle name="Comma 4 5 2 5 2 2 4" xfId="33771" xr:uid="{36DD9B25-325B-4C7E-B92E-DB2F47647FFB}"/>
    <cellStyle name="Comma 4 5 2 5 2 3" xfId="12659" xr:uid="{8E7FB349-9CD6-4853-9D72-CC33E1B85CF5}"/>
    <cellStyle name="Comma 4 5 2 5 2 4" xfId="21107" xr:uid="{5018682F-B5AD-4D7A-A3A8-18A27744D339}"/>
    <cellStyle name="Comma 4 5 2 5 2 5" xfId="29554" xr:uid="{24B4E52D-B510-46D4-B2D1-48182851D7AB}"/>
    <cellStyle name="Comma 4 5 2 5 3" xfId="6282" xr:uid="{00000000-0005-0000-0000-0000370A0000}"/>
    <cellStyle name="Comma 4 5 2 5 3 2" xfId="14732" xr:uid="{CC8C752F-BD0B-4D84-B518-6D9AC6D954F6}"/>
    <cellStyle name="Comma 4 5 2 5 3 3" xfId="23179" xr:uid="{5147D8E6-7619-4CB2-A597-B02F840C6497}"/>
    <cellStyle name="Comma 4 5 2 5 3 4" xfId="31626" xr:uid="{B883D21B-B297-4A6F-ABAE-06A1ECFD88F9}"/>
    <cellStyle name="Comma 4 5 2 5 4" xfId="10514" xr:uid="{477B91FF-CC8A-49D7-861E-CDE4B2D25D97}"/>
    <cellStyle name="Comma 4 5 2 5 5" xfId="18962" xr:uid="{27ABD0C3-97BC-4A03-AA46-7820E4AD2DA8}"/>
    <cellStyle name="Comma 4 5 2 5 6" xfId="27409" xr:uid="{5E7F255C-5DF7-42F1-84E4-51EF02ECA203}"/>
    <cellStyle name="Comma 4 5 2 6" xfId="2411" xr:uid="{00000000-0005-0000-0000-0000380A0000}"/>
    <cellStyle name="Comma 4 5 2 6 2" xfId="6695" xr:uid="{00000000-0005-0000-0000-0000390A0000}"/>
    <cellStyle name="Comma 4 5 2 6 2 2" xfId="15145" xr:uid="{25DA5590-BB44-4D70-8CD9-EA109BFED1C4}"/>
    <cellStyle name="Comma 4 5 2 6 2 3" xfId="23592" xr:uid="{CF8F26A0-F045-4D72-ADEF-2A5BF1A354B0}"/>
    <cellStyle name="Comma 4 5 2 6 2 4" xfId="32039" xr:uid="{03E3EE48-221D-42F8-B7E0-051BCCAFBAEC}"/>
    <cellStyle name="Comma 4 5 2 6 3" xfId="10927" xr:uid="{3DB67427-0C51-4920-85C8-4CFFB367C940}"/>
    <cellStyle name="Comma 4 5 2 6 4" xfId="19375" xr:uid="{37FBEEEE-1EC7-41C6-9F47-B4FD4A82BD29}"/>
    <cellStyle name="Comma 4 5 2 6 5" xfId="27822" xr:uid="{DA5F8469-8B50-411A-8AD2-3E357AABD47E}"/>
    <cellStyle name="Comma 4 5 2 7" xfId="2707" xr:uid="{00000000-0005-0000-0000-00003A0A0000}"/>
    <cellStyle name="Comma 4 5 2 8" xfId="2789" xr:uid="{00000000-0005-0000-0000-00003B0A0000}"/>
    <cellStyle name="Comma 4 5 2 8 2" xfId="7012" xr:uid="{00000000-0005-0000-0000-00003C0A0000}"/>
    <cellStyle name="Comma 4 5 2 8 2 2" xfId="15462" xr:uid="{912EA429-9AC2-4BFA-8C50-C80457734DC3}"/>
    <cellStyle name="Comma 4 5 2 8 2 3" xfId="23909" xr:uid="{9533435D-1731-4EE5-8158-3F711A557CF3}"/>
    <cellStyle name="Comma 4 5 2 8 2 4" xfId="32356" xr:uid="{9ED56629-62FD-4764-903D-C261F7CAE1AC}"/>
    <cellStyle name="Comma 4 5 2 8 3" xfId="11244" xr:uid="{F54B3AAE-650E-4E01-AD62-45B68454FB6F}"/>
    <cellStyle name="Comma 4 5 2 8 4" xfId="19692" xr:uid="{AA96A433-B700-41A7-AAEA-24D48EEC5E34}"/>
    <cellStyle name="Comma 4 5 2 8 5" xfId="28139" xr:uid="{BC726D71-5A96-4029-B125-BC31DD56E635}"/>
    <cellStyle name="Comma 4 5 2 9" xfId="4629" xr:uid="{00000000-0005-0000-0000-00003D0A0000}"/>
    <cellStyle name="Comma 4 5 2 9 2" xfId="13079" xr:uid="{F0CD5A59-A956-4496-950A-D668629C21F5}"/>
    <cellStyle name="Comma 4 5 2 9 3" xfId="21526" xr:uid="{5BD27E72-D18E-4E51-9F0C-0FEC0E9F02B6}"/>
    <cellStyle name="Comma 4 5 2 9 4" xfId="29973" xr:uid="{F3EBEEAE-196C-49F6-9B22-D4A3583CCCA2}"/>
    <cellStyle name="Comma 4 5 3" xfId="694" xr:uid="{00000000-0005-0000-0000-00003E0A0000}"/>
    <cellStyle name="Comma 4 5 3 2" xfId="2965" xr:uid="{00000000-0005-0000-0000-00003F0A0000}"/>
    <cellStyle name="Comma 4 5 3 2 2" xfId="7187" xr:uid="{00000000-0005-0000-0000-0000400A0000}"/>
    <cellStyle name="Comma 4 5 3 2 2 2" xfId="15637" xr:uid="{AE71D709-8E32-4124-A28D-4EF4F3EB3051}"/>
    <cellStyle name="Comma 4 5 3 2 2 3" xfId="24084" xr:uid="{A9F75EB7-8386-4104-A062-EEDE658A182D}"/>
    <cellStyle name="Comma 4 5 3 2 2 4" xfId="32531" xr:uid="{E31C8CF8-40EF-45F4-8E14-2A81C2B2F3C3}"/>
    <cellStyle name="Comma 4 5 3 2 3" xfId="11419" xr:uid="{0D371C4A-2AC1-4907-A824-6B626FE42EB3}"/>
    <cellStyle name="Comma 4 5 3 2 4" xfId="19867" xr:uid="{FA4924CD-AD95-45DF-9FEE-710650537348}"/>
    <cellStyle name="Comma 4 5 3 2 5" xfId="28314" xr:uid="{86A07475-1071-4E90-9B79-E0AAA5134C06}"/>
    <cellStyle name="Comma 4 5 3 3" xfId="5042" xr:uid="{00000000-0005-0000-0000-0000410A0000}"/>
    <cellStyle name="Comma 4 5 3 3 2" xfId="13492" xr:uid="{2B3BE75F-470C-4D62-A63B-4F20B080C474}"/>
    <cellStyle name="Comma 4 5 3 3 3" xfId="21939" xr:uid="{458F878D-D9F7-4976-91E0-40EB7600D6EC}"/>
    <cellStyle name="Comma 4 5 3 3 4" xfId="30386" xr:uid="{42A05C02-DF8E-4890-8DE6-2851A57AE7AC}"/>
    <cellStyle name="Comma 4 5 3 4" xfId="9274" xr:uid="{F867CFB5-24E5-4E57-9455-3FD3D8BE711B}"/>
    <cellStyle name="Comma 4 5 3 5" xfId="17722" xr:uid="{A5CC2DC9-98EB-4970-944E-C52B3862FF9F}"/>
    <cellStyle name="Comma 4 5 3 6" xfId="26169" xr:uid="{C2718102-FC0D-486C-B1D5-9D1152E14B24}"/>
    <cellStyle name="Comma 4 5 4" xfId="1147" xr:uid="{00000000-0005-0000-0000-0000420A0000}"/>
    <cellStyle name="Comma 4 5 4 2" xfId="3378" xr:uid="{00000000-0005-0000-0000-0000430A0000}"/>
    <cellStyle name="Comma 4 5 4 2 2" xfId="7600" xr:uid="{00000000-0005-0000-0000-0000440A0000}"/>
    <cellStyle name="Comma 4 5 4 2 2 2" xfId="16050" xr:uid="{60C2237E-10C5-48AD-ABAD-00B24891933D}"/>
    <cellStyle name="Comma 4 5 4 2 2 3" xfId="24497" xr:uid="{77D8C430-15FC-4745-8414-1FCA3867EEFE}"/>
    <cellStyle name="Comma 4 5 4 2 2 4" xfId="32944" xr:uid="{1C980B78-6E99-4573-AE12-2B3250C315B5}"/>
    <cellStyle name="Comma 4 5 4 2 3" xfId="11832" xr:uid="{F64D590B-1CCF-4813-B129-F43FBB98BC4B}"/>
    <cellStyle name="Comma 4 5 4 2 4" xfId="20280" xr:uid="{1D8997C7-EAC4-4C54-85D6-9532EA32C2C0}"/>
    <cellStyle name="Comma 4 5 4 2 5" xfId="28727" xr:uid="{556534D2-B361-4EA7-B2B0-881B549D50A4}"/>
    <cellStyle name="Comma 4 5 4 3" xfId="5455" xr:uid="{00000000-0005-0000-0000-0000450A0000}"/>
    <cellStyle name="Comma 4 5 4 3 2" xfId="13905" xr:uid="{36580276-658E-4E74-A434-19C5F9F59198}"/>
    <cellStyle name="Comma 4 5 4 3 3" xfId="22352" xr:uid="{AE9D1E18-A3D4-44A9-A1A7-5CFEECA61B88}"/>
    <cellStyle name="Comma 4 5 4 3 4" xfId="30799" xr:uid="{90BF46A4-4F0E-43C2-913D-107B3A8CBC2C}"/>
    <cellStyle name="Comma 4 5 4 4" xfId="9687" xr:uid="{66B15221-FD54-45D7-8EBD-6A5E79118B23}"/>
    <cellStyle name="Comma 4 5 4 5" xfId="18135" xr:uid="{AAD9D3A5-DF18-4C58-8552-E0B7E84D7F04}"/>
    <cellStyle name="Comma 4 5 4 6" xfId="26582" xr:uid="{D820E99E-AEA8-4512-9515-F325CFE4B03B}"/>
    <cellStyle name="Comma 4 5 5" xfId="1561" xr:uid="{00000000-0005-0000-0000-0000460A0000}"/>
    <cellStyle name="Comma 4 5 5 2" xfId="3791" xr:uid="{00000000-0005-0000-0000-0000470A0000}"/>
    <cellStyle name="Comma 4 5 5 2 2" xfId="8013" xr:uid="{00000000-0005-0000-0000-0000480A0000}"/>
    <cellStyle name="Comma 4 5 5 2 2 2" xfId="16463" xr:uid="{7EACA374-1985-46ED-B0D8-20DA47B95CC7}"/>
    <cellStyle name="Comma 4 5 5 2 2 3" xfId="24910" xr:uid="{902B3FA7-42AA-4240-905B-B717489A1E92}"/>
    <cellStyle name="Comma 4 5 5 2 2 4" xfId="33357" xr:uid="{A5638F08-0ADE-498A-A589-DDF86DA36A98}"/>
    <cellStyle name="Comma 4 5 5 2 3" xfId="12245" xr:uid="{7513ECEA-1382-4EBE-A9A7-3FEDBDFE536F}"/>
    <cellStyle name="Comma 4 5 5 2 4" xfId="20693" xr:uid="{F5B803B8-216B-4010-9CE5-6EFA93342646}"/>
    <cellStyle name="Comma 4 5 5 2 5" xfId="29140" xr:uid="{3A4A2AEB-8050-4A4A-A636-35BED2A10B38}"/>
    <cellStyle name="Comma 4 5 5 3" xfId="5868" xr:uid="{00000000-0005-0000-0000-0000490A0000}"/>
    <cellStyle name="Comma 4 5 5 3 2" xfId="14318" xr:uid="{8FE35DD1-A7BC-49B6-9F85-DBF761D12A1C}"/>
    <cellStyle name="Comma 4 5 5 3 3" xfId="22765" xr:uid="{A6290ADF-62B2-410C-B9D0-5331ECD28B7B}"/>
    <cellStyle name="Comma 4 5 5 3 4" xfId="31212" xr:uid="{8F4504F2-2F62-4780-B54F-C587954BF8EA}"/>
    <cellStyle name="Comma 4 5 5 4" xfId="10100" xr:uid="{7C531115-86EE-49D3-B5A2-06FB5CF5EDA3}"/>
    <cellStyle name="Comma 4 5 5 5" xfId="18548" xr:uid="{53F039EA-0166-45DE-B5D4-A87CD52A6A67}"/>
    <cellStyle name="Comma 4 5 5 6" xfId="26995" xr:uid="{EF508295-1B79-4EFD-B733-6712256AF100}"/>
    <cellStyle name="Comma 4 5 6" xfId="1975" xr:uid="{00000000-0005-0000-0000-00004A0A0000}"/>
    <cellStyle name="Comma 4 5 6 2" xfId="4204" xr:uid="{00000000-0005-0000-0000-00004B0A0000}"/>
    <cellStyle name="Comma 4 5 6 2 2" xfId="8426" xr:uid="{00000000-0005-0000-0000-00004C0A0000}"/>
    <cellStyle name="Comma 4 5 6 2 2 2" xfId="16876" xr:uid="{4C95D0C3-32B6-4077-8C5F-55BEA67399C0}"/>
    <cellStyle name="Comma 4 5 6 2 2 3" xfId="25323" xr:uid="{49D3D99C-CA3B-403E-BBAD-C5A7A1E362DF}"/>
    <cellStyle name="Comma 4 5 6 2 2 4" xfId="33770" xr:uid="{CE40F996-112C-4D6C-A5B8-DC63BD5AA314}"/>
    <cellStyle name="Comma 4 5 6 2 3" xfId="12658" xr:uid="{482EB898-B1B5-433B-9470-0BF93096959A}"/>
    <cellStyle name="Comma 4 5 6 2 4" xfId="21106" xr:uid="{BAB5BE5F-AA07-467D-BCA6-CDF1464E96EC}"/>
    <cellStyle name="Comma 4 5 6 2 5" xfId="29553" xr:uid="{023870FB-A39B-44DA-B811-3385EBEB14FF}"/>
    <cellStyle name="Comma 4 5 6 3" xfId="6281" xr:uid="{00000000-0005-0000-0000-00004D0A0000}"/>
    <cellStyle name="Comma 4 5 6 3 2" xfId="14731" xr:uid="{0B0B9951-6CCB-40E1-807C-7835430E067D}"/>
    <cellStyle name="Comma 4 5 6 3 3" xfId="23178" xr:uid="{3F669901-966F-47D3-9173-EDF3ADED72D7}"/>
    <cellStyle name="Comma 4 5 6 3 4" xfId="31625" xr:uid="{FAF7428C-F2B4-4E5C-8308-00A0F53242E6}"/>
    <cellStyle name="Comma 4 5 6 4" xfId="10513" xr:uid="{AAC7E0A8-76ED-454F-A060-4EC1B4BA1AC9}"/>
    <cellStyle name="Comma 4 5 6 5" xfId="18961" xr:uid="{308D3341-7DF8-4272-989C-C748B7542EB0}"/>
    <cellStyle name="Comma 4 5 6 6" xfId="27408" xr:uid="{761B01ED-0355-46FD-91F6-2E64AC7C3766}"/>
    <cellStyle name="Comma 4 5 7" xfId="2410" xr:uid="{00000000-0005-0000-0000-00004E0A0000}"/>
    <cellStyle name="Comma 4 5 7 2" xfId="6694" xr:uid="{00000000-0005-0000-0000-00004F0A0000}"/>
    <cellStyle name="Comma 4 5 7 2 2" xfId="15144" xr:uid="{94E080A2-21B6-4721-8A66-2E04876FA7C1}"/>
    <cellStyle name="Comma 4 5 7 2 3" xfId="23591" xr:uid="{826EF2DF-2271-4D68-B9C8-D1DEF1BB323C}"/>
    <cellStyle name="Comma 4 5 7 2 4" xfId="32038" xr:uid="{844FA3EE-EBB7-48C8-A9A6-CA4DD2FB157B}"/>
    <cellStyle name="Comma 4 5 7 3" xfId="10926" xr:uid="{D68CC6E4-C1AD-40B4-84BC-0A51B931C40D}"/>
    <cellStyle name="Comma 4 5 7 4" xfId="19374" xr:uid="{15DD6326-C2C3-48E0-9883-48C713B2A130}"/>
    <cellStyle name="Comma 4 5 7 5" xfId="27821" xr:uid="{ECB076B0-BC77-4E08-8A4D-44DCAC2B3B45}"/>
    <cellStyle name="Comma 4 5 8" xfId="2706" xr:uid="{00000000-0005-0000-0000-0000500A0000}"/>
    <cellStyle name="Comma 4 5 9" xfId="2788" xr:uid="{00000000-0005-0000-0000-0000510A0000}"/>
    <cellStyle name="Comma 4 5 9 2" xfId="7011" xr:uid="{00000000-0005-0000-0000-0000520A0000}"/>
    <cellStyle name="Comma 4 5 9 2 2" xfId="15461" xr:uid="{7E93466D-7526-476F-84B1-B215DBC74D0E}"/>
    <cellStyle name="Comma 4 5 9 2 3" xfId="23908" xr:uid="{6E14AADF-1714-484F-B686-F4D047049826}"/>
    <cellStyle name="Comma 4 5 9 2 4" xfId="32355" xr:uid="{A140CD8B-9CDC-499C-A71E-389D2D9EB2B1}"/>
    <cellStyle name="Comma 4 5 9 3" xfId="11243" xr:uid="{60E4BEEB-6D74-42E5-8C59-94221298C731}"/>
    <cellStyle name="Comma 4 5 9 4" xfId="19691" xr:uid="{89B019E2-7DF0-4424-BB07-167F156D434E}"/>
    <cellStyle name="Comma 4 5 9 5" xfId="28138" xr:uid="{E41E892B-FD67-4D42-9B08-00F8B79D3F8D}"/>
    <cellStyle name="Comma 4 6" xfId="159" xr:uid="{00000000-0005-0000-0000-0000530A0000}"/>
    <cellStyle name="Comma 4 6 10" xfId="8862" xr:uid="{1C1C976F-379F-43D8-B209-96868693B071}"/>
    <cellStyle name="Comma 4 6 11" xfId="17310" xr:uid="{9B9CA40C-942B-4791-965C-8C77C5D69E5B}"/>
    <cellStyle name="Comma 4 6 12" xfId="25757" xr:uid="{D54B1920-C54C-4D9F-BF63-534EE31FE6B5}"/>
    <cellStyle name="Comma 4 6 2" xfId="696" xr:uid="{00000000-0005-0000-0000-0000540A0000}"/>
    <cellStyle name="Comma 4 6 2 2" xfId="2967" xr:uid="{00000000-0005-0000-0000-0000550A0000}"/>
    <cellStyle name="Comma 4 6 2 2 2" xfId="7189" xr:uid="{00000000-0005-0000-0000-0000560A0000}"/>
    <cellStyle name="Comma 4 6 2 2 2 2" xfId="15639" xr:uid="{F16A823F-24BD-4C0E-AE47-F2730D903AB3}"/>
    <cellStyle name="Comma 4 6 2 2 2 3" xfId="24086" xr:uid="{75742A33-323C-4B76-AF5C-D04642A11C19}"/>
    <cellStyle name="Comma 4 6 2 2 2 4" xfId="32533" xr:uid="{0547AADE-5BD7-4A90-8369-394D7F2F07B2}"/>
    <cellStyle name="Comma 4 6 2 2 3" xfId="11421" xr:uid="{4B63D6B2-1772-4B53-8BCB-3C9BD209C621}"/>
    <cellStyle name="Comma 4 6 2 2 4" xfId="19869" xr:uid="{83998CF1-CC1C-407D-9229-F9F42B0F6FCF}"/>
    <cellStyle name="Comma 4 6 2 2 5" xfId="28316" xr:uid="{070F1BF1-A9D6-4904-897E-88CCAD581A33}"/>
    <cellStyle name="Comma 4 6 2 3" xfId="5044" xr:uid="{00000000-0005-0000-0000-0000570A0000}"/>
    <cellStyle name="Comma 4 6 2 3 2" xfId="13494" xr:uid="{1CFB3981-82CC-45B9-90C9-71654291424E}"/>
    <cellStyle name="Comma 4 6 2 3 3" xfId="21941" xr:uid="{553B250B-79DD-47C8-8F6C-632C039DF8C2}"/>
    <cellStyle name="Comma 4 6 2 3 4" xfId="30388" xr:uid="{9DC98057-FDCE-4E37-8FC5-F8381EB7BC08}"/>
    <cellStyle name="Comma 4 6 2 4" xfId="9276" xr:uid="{DAC4D12C-E6E1-4B8B-B9F0-061E1CE9626C}"/>
    <cellStyle name="Comma 4 6 2 5" xfId="17724" xr:uid="{3C2AED1D-7D4F-4000-8F20-CD48FD770072}"/>
    <cellStyle name="Comma 4 6 2 6" xfId="26171" xr:uid="{C7F065E0-D1B3-465B-BC2A-95E0B46EF9CC}"/>
    <cellStyle name="Comma 4 6 3" xfId="1149" xr:uid="{00000000-0005-0000-0000-0000580A0000}"/>
    <cellStyle name="Comma 4 6 3 2" xfId="3380" xr:uid="{00000000-0005-0000-0000-0000590A0000}"/>
    <cellStyle name="Comma 4 6 3 2 2" xfId="7602" xr:uid="{00000000-0005-0000-0000-00005A0A0000}"/>
    <cellStyle name="Comma 4 6 3 2 2 2" xfId="16052" xr:uid="{95D31154-AAE8-4063-8B80-BEA568F6B917}"/>
    <cellStyle name="Comma 4 6 3 2 2 3" xfId="24499" xr:uid="{68870CBC-4EBF-42FF-BCA5-3156CD605B1B}"/>
    <cellStyle name="Comma 4 6 3 2 2 4" xfId="32946" xr:uid="{B0007EF1-1423-485C-AEB6-CBDF09BEE69B}"/>
    <cellStyle name="Comma 4 6 3 2 3" xfId="11834" xr:uid="{DE31FC46-8ADD-412D-9C6F-E9E2087247F8}"/>
    <cellStyle name="Comma 4 6 3 2 4" xfId="20282" xr:uid="{0FDB2A67-B1C9-474E-A6DC-58D566219031}"/>
    <cellStyle name="Comma 4 6 3 2 5" xfId="28729" xr:uid="{3C1B3CBE-FF8B-4486-A433-6DE73C2ABB5C}"/>
    <cellStyle name="Comma 4 6 3 3" xfId="5457" xr:uid="{00000000-0005-0000-0000-00005B0A0000}"/>
    <cellStyle name="Comma 4 6 3 3 2" xfId="13907" xr:uid="{7FEA78B0-FF4D-4AA9-9FC8-3C62599C2452}"/>
    <cellStyle name="Comma 4 6 3 3 3" xfId="22354" xr:uid="{4F29F17E-9BC2-4477-9F27-D6D0B2ECCB2E}"/>
    <cellStyle name="Comma 4 6 3 3 4" xfId="30801" xr:uid="{9F38D259-B5E8-4876-85E2-2E4869159F09}"/>
    <cellStyle name="Comma 4 6 3 4" xfId="9689" xr:uid="{E8EE9105-1F0D-4D30-A794-A777E5D6861F}"/>
    <cellStyle name="Comma 4 6 3 5" xfId="18137" xr:uid="{79A4EC3D-9167-4F0D-AAAD-DA0490D37B35}"/>
    <cellStyle name="Comma 4 6 3 6" xfId="26584" xr:uid="{45348A75-65E5-4AA3-82FC-F2A7929CDD92}"/>
    <cellStyle name="Comma 4 6 4" xfId="1563" xr:uid="{00000000-0005-0000-0000-00005C0A0000}"/>
    <cellStyle name="Comma 4 6 4 2" xfId="3793" xr:uid="{00000000-0005-0000-0000-00005D0A0000}"/>
    <cellStyle name="Comma 4 6 4 2 2" xfId="8015" xr:uid="{00000000-0005-0000-0000-00005E0A0000}"/>
    <cellStyle name="Comma 4 6 4 2 2 2" xfId="16465" xr:uid="{348175E0-BFE0-4728-B357-E0A53EA98294}"/>
    <cellStyle name="Comma 4 6 4 2 2 3" xfId="24912" xr:uid="{892D9961-95A9-48B8-8C12-E102E06898A3}"/>
    <cellStyle name="Comma 4 6 4 2 2 4" xfId="33359" xr:uid="{0C9DA445-F44B-47EA-9BBE-8DA56BD9876B}"/>
    <cellStyle name="Comma 4 6 4 2 3" xfId="12247" xr:uid="{B7EE3537-D088-4519-AF89-EC7E1086AD00}"/>
    <cellStyle name="Comma 4 6 4 2 4" xfId="20695" xr:uid="{802A42EB-C364-49B4-8C7A-4424F8786135}"/>
    <cellStyle name="Comma 4 6 4 2 5" xfId="29142" xr:uid="{A54917C2-1602-48FB-9FD4-479338804159}"/>
    <cellStyle name="Comma 4 6 4 3" xfId="5870" xr:uid="{00000000-0005-0000-0000-00005F0A0000}"/>
    <cellStyle name="Comma 4 6 4 3 2" xfId="14320" xr:uid="{9DA4FB3F-40D4-4E53-996E-937587280C78}"/>
    <cellStyle name="Comma 4 6 4 3 3" xfId="22767" xr:uid="{59154242-F093-4848-9B94-D4EB6FF045B4}"/>
    <cellStyle name="Comma 4 6 4 3 4" xfId="31214" xr:uid="{A082B6D6-F110-4915-A32C-8950527197C2}"/>
    <cellStyle name="Comma 4 6 4 4" xfId="10102" xr:uid="{B31CBDB3-205D-4CD9-947D-D3C119E75F9F}"/>
    <cellStyle name="Comma 4 6 4 5" xfId="18550" xr:uid="{B227D5FD-7D3B-463F-A2C7-F0A0B4673376}"/>
    <cellStyle name="Comma 4 6 4 6" xfId="26997" xr:uid="{285D2EDF-651C-4CDE-B156-323C68BDDE4B}"/>
    <cellStyle name="Comma 4 6 5" xfId="1977" xr:uid="{00000000-0005-0000-0000-0000600A0000}"/>
    <cellStyle name="Comma 4 6 5 2" xfId="4206" xr:uid="{00000000-0005-0000-0000-0000610A0000}"/>
    <cellStyle name="Comma 4 6 5 2 2" xfId="8428" xr:uid="{00000000-0005-0000-0000-0000620A0000}"/>
    <cellStyle name="Comma 4 6 5 2 2 2" xfId="16878" xr:uid="{1CE79C62-93F8-444F-87A1-D68A4CB246B0}"/>
    <cellStyle name="Comma 4 6 5 2 2 3" xfId="25325" xr:uid="{D5B4D056-D0E1-4819-B161-4E0BF43FE9E0}"/>
    <cellStyle name="Comma 4 6 5 2 2 4" xfId="33772" xr:uid="{99D9219C-8267-4BC4-B7D2-7F1601654725}"/>
    <cellStyle name="Comma 4 6 5 2 3" xfId="12660" xr:uid="{2B669280-594A-4663-84C8-726356772C27}"/>
    <cellStyle name="Comma 4 6 5 2 4" xfId="21108" xr:uid="{D6483C98-4452-431A-B46C-E272B97687C7}"/>
    <cellStyle name="Comma 4 6 5 2 5" xfId="29555" xr:uid="{2DA17D29-92DE-4254-8F1A-F5D33A3D8FF7}"/>
    <cellStyle name="Comma 4 6 5 3" xfId="6283" xr:uid="{00000000-0005-0000-0000-0000630A0000}"/>
    <cellStyle name="Comma 4 6 5 3 2" xfId="14733" xr:uid="{D660061F-0B38-4191-B55C-4C414AD82878}"/>
    <cellStyle name="Comma 4 6 5 3 3" xfId="23180" xr:uid="{A962B056-6CBE-4C6C-A7DA-29DF33400A31}"/>
    <cellStyle name="Comma 4 6 5 3 4" xfId="31627" xr:uid="{22715CE2-F1B8-4FEB-B85C-A470036292E7}"/>
    <cellStyle name="Comma 4 6 5 4" xfId="10515" xr:uid="{4BED2058-0E29-4A9B-8F5A-2353EB5B31AF}"/>
    <cellStyle name="Comma 4 6 5 5" xfId="18963" xr:uid="{1A245FFA-AF93-4610-88AE-A690380733C6}"/>
    <cellStyle name="Comma 4 6 5 6" xfId="27410" xr:uid="{16211A85-3098-47EE-BC99-9896140F25BB}"/>
    <cellStyle name="Comma 4 6 6" xfId="2412" xr:uid="{00000000-0005-0000-0000-0000640A0000}"/>
    <cellStyle name="Comma 4 6 6 2" xfId="6696" xr:uid="{00000000-0005-0000-0000-0000650A0000}"/>
    <cellStyle name="Comma 4 6 6 2 2" xfId="15146" xr:uid="{C7FA28AA-7390-466A-A4CE-DFFF1A7937E7}"/>
    <cellStyle name="Comma 4 6 6 2 3" xfId="23593" xr:uid="{27E23B2D-5171-4686-A777-860B82FC2878}"/>
    <cellStyle name="Comma 4 6 6 2 4" xfId="32040" xr:uid="{7B42468D-C435-447B-86C7-B77300F56ACB}"/>
    <cellStyle name="Comma 4 6 6 3" xfId="10928" xr:uid="{D6935878-C7A2-4C7C-84A0-002EFF1F555A}"/>
    <cellStyle name="Comma 4 6 6 4" xfId="19376" xr:uid="{63A9BEFE-0399-4008-AB2F-F42F47F4F5F5}"/>
    <cellStyle name="Comma 4 6 6 5" xfId="27823" xr:uid="{7B9FBE64-9B32-4008-A991-DEFD312B0582}"/>
    <cellStyle name="Comma 4 6 7" xfId="2708" xr:uid="{00000000-0005-0000-0000-0000660A0000}"/>
    <cellStyle name="Comma 4 6 8" xfId="2790" xr:uid="{00000000-0005-0000-0000-0000670A0000}"/>
    <cellStyle name="Comma 4 6 8 2" xfId="7013" xr:uid="{00000000-0005-0000-0000-0000680A0000}"/>
    <cellStyle name="Comma 4 6 8 2 2" xfId="15463" xr:uid="{C3DA6F43-F97E-419C-B81C-21E96B02F975}"/>
    <cellStyle name="Comma 4 6 8 2 3" xfId="23910" xr:uid="{DE2AA9CF-270B-4464-A09F-623301E4400E}"/>
    <cellStyle name="Comma 4 6 8 2 4" xfId="32357" xr:uid="{4ED6A4D3-4097-483F-93C2-3E93C28D6D5F}"/>
    <cellStyle name="Comma 4 6 8 3" xfId="11245" xr:uid="{F572C480-5218-466A-B0F8-C821858A41C3}"/>
    <cellStyle name="Comma 4 6 8 4" xfId="19693" xr:uid="{E3E3F5EF-0E6D-4DDA-A214-E8C34F5E199B}"/>
    <cellStyle name="Comma 4 6 8 5" xfId="28140" xr:uid="{7999B51A-B227-4DB2-92F1-C67D6D00130F}"/>
    <cellStyle name="Comma 4 6 9" xfId="4630" xr:uid="{00000000-0005-0000-0000-0000690A0000}"/>
    <cellStyle name="Comma 4 6 9 2" xfId="13080" xr:uid="{9B45EDEE-DEE6-4210-9959-4B9CAE4433B7}"/>
    <cellStyle name="Comma 4 6 9 3" xfId="21527" xr:uid="{4C3BDF20-CEF7-4BE4-956D-DC2691D8822A}"/>
    <cellStyle name="Comma 4 6 9 4" xfId="29974" xr:uid="{2C07D61D-AC8E-426F-8D47-BFED6D63ECF5}"/>
    <cellStyle name="Comma 4 7" xfId="160" xr:uid="{00000000-0005-0000-0000-00006A0A0000}"/>
    <cellStyle name="Comma 4 7 10" xfId="8863" xr:uid="{FE9943BC-162A-4DEF-8619-6FB09EE02AA5}"/>
    <cellStyle name="Comma 4 7 11" xfId="17311" xr:uid="{4EE3FC29-AD03-4980-B7FC-9B2B6C21D079}"/>
    <cellStyle name="Comma 4 7 12" xfId="25758" xr:uid="{FA0EF81C-E232-4DE4-89E4-E31FFA6A7986}"/>
    <cellStyle name="Comma 4 7 2" xfId="697" xr:uid="{00000000-0005-0000-0000-00006B0A0000}"/>
    <cellStyle name="Comma 4 7 2 2" xfId="2968" xr:uid="{00000000-0005-0000-0000-00006C0A0000}"/>
    <cellStyle name="Comma 4 7 2 2 2" xfId="7190" xr:uid="{00000000-0005-0000-0000-00006D0A0000}"/>
    <cellStyle name="Comma 4 7 2 2 2 2" xfId="15640" xr:uid="{43D307F7-2A1E-4784-9D0C-D551DF085F77}"/>
    <cellStyle name="Comma 4 7 2 2 2 3" xfId="24087" xr:uid="{6FE94F45-7FA8-404F-ABD5-E46B48CE0BA4}"/>
    <cellStyle name="Comma 4 7 2 2 2 4" xfId="32534" xr:uid="{0E0CA7A6-40E8-492A-B4CA-BB0E42711F0D}"/>
    <cellStyle name="Comma 4 7 2 2 3" xfId="11422" xr:uid="{3E4E923D-CCC4-488A-88BE-CD74F71D81B1}"/>
    <cellStyle name="Comma 4 7 2 2 4" xfId="19870" xr:uid="{CA728DC6-B0B1-479C-81FC-A1D22E1EAA85}"/>
    <cellStyle name="Comma 4 7 2 2 5" xfId="28317" xr:uid="{44FBB3C7-F8FC-4F1B-B998-DFDB9867BF5D}"/>
    <cellStyle name="Comma 4 7 2 3" xfId="5045" xr:uid="{00000000-0005-0000-0000-00006E0A0000}"/>
    <cellStyle name="Comma 4 7 2 3 2" xfId="13495" xr:uid="{5EA3F9D6-FF12-4481-B9FA-D8E4E6BF8519}"/>
    <cellStyle name="Comma 4 7 2 3 3" xfId="21942" xr:uid="{B7CA2F2C-5FF0-46A6-AC6A-8C9968E0AFA9}"/>
    <cellStyle name="Comma 4 7 2 3 4" xfId="30389" xr:uid="{95C75A58-C99D-4332-915A-EBA018AD6E17}"/>
    <cellStyle name="Comma 4 7 2 4" xfId="9277" xr:uid="{6E0F61FD-A321-43EF-8966-B24530E57BFE}"/>
    <cellStyle name="Comma 4 7 2 5" xfId="17725" xr:uid="{87784743-E4D3-435C-9E96-554337640FC4}"/>
    <cellStyle name="Comma 4 7 2 6" xfId="26172" xr:uid="{CD60F4B2-9936-4298-A26E-5846257A352A}"/>
    <cellStyle name="Comma 4 7 3" xfId="1150" xr:uid="{00000000-0005-0000-0000-00006F0A0000}"/>
    <cellStyle name="Comma 4 7 3 2" xfId="3381" xr:uid="{00000000-0005-0000-0000-0000700A0000}"/>
    <cellStyle name="Comma 4 7 3 2 2" xfId="7603" xr:uid="{00000000-0005-0000-0000-0000710A0000}"/>
    <cellStyle name="Comma 4 7 3 2 2 2" xfId="16053" xr:uid="{739F475F-1693-4F2D-B09F-81CE81A8F7BB}"/>
    <cellStyle name="Comma 4 7 3 2 2 3" xfId="24500" xr:uid="{A79A57A3-9DE2-471F-A5F1-9F67B2FCBF98}"/>
    <cellStyle name="Comma 4 7 3 2 2 4" xfId="32947" xr:uid="{DFCF8781-AFD2-4D16-988B-054D043D042C}"/>
    <cellStyle name="Comma 4 7 3 2 3" xfId="11835" xr:uid="{6943C197-C521-464A-8387-1B3C1FA5F698}"/>
    <cellStyle name="Comma 4 7 3 2 4" xfId="20283" xr:uid="{5741A001-46BA-466A-8B2A-9DFAD8EEFBD2}"/>
    <cellStyle name="Comma 4 7 3 2 5" xfId="28730" xr:uid="{B63D1D17-A454-4816-98E1-9A0B12555B37}"/>
    <cellStyle name="Comma 4 7 3 3" xfId="5458" xr:uid="{00000000-0005-0000-0000-0000720A0000}"/>
    <cellStyle name="Comma 4 7 3 3 2" xfId="13908" xr:uid="{926DD09F-25D8-4E57-96E8-A61B2C04DAEC}"/>
    <cellStyle name="Comma 4 7 3 3 3" xfId="22355" xr:uid="{1173EC7E-ABDD-46DE-856F-E9342211EF66}"/>
    <cellStyle name="Comma 4 7 3 3 4" xfId="30802" xr:uid="{64FAC16E-1A34-4D26-A431-0EEB68C0FA01}"/>
    <cellStyle name="Comma 4 7 3 4" xfId="9690" xr:uid="{42514BCB-554E-487C-8942-4A3B45372932}"/>
    <cellStyle name="Comma 4 7 3 5" xfId="18138" xr:uid="{0C268393-0576-4E7B-A9F5-848B14F874AD}"/>
    <cellStyle name="Comma 4 7 3 6" xfId="26585" xr:uid="{85DD766E-F9D7-4835-9550-2363C12F71D8}"/>
    <cellStyle name="Comma 4 7 4" xfId="1564" xr:uid="{00000000-0005-0000-0000-0000730A0000}"/>
    <cellStyle name="Comma 4 7 4 2" xfId="3794" xr:uid="{00000000-0005-0000-0000-0000740A0000}"/>
    <cellStyle name="Comma 4 7 4 2 2" xfId="8016" xr:uid="{00000000-0005-0000-0000-0000750A0000}"/>
    <cellStyle name="Comma 4 7 4 2 2 2" xfId="16466" xr:uid="{4D402668-D101-47A6-A1AE-C59E5CC149BD}"/>
    <cellStyle name="Comma 4 7 4 2 2 3" xfId="24913" xr:uid="{A982350C-F57E-49BB-AFD9-CA8F8A847D2F}"/>
    <cellStyle name="Comma 4 7 4 2 2 4" xfId="33360" xr:uid="{DB7312AE-F10F-4F07-8929-0B66CF81BDEB}"/>
    <cellStyle name="Comma 4 7 4 2 3" xfId="12248" xr:uid="{301FA6B8-9399-40C0-9389-DA04BE315415}"/>
    <cellStyle name="Comma 4 7 4 2 4" xfId="20696" xr:uid="{BA3CC100-4CA1-4D34-9795-97F5940A7545}"/>
    <cellStyle name="Comma 4 7 4 2 5" xfId="29143" xr:uid="{8CD0D8A7-98A1-434C-87EF-3C97ED8757ED}"/>
    <cellStyle name="Comma 4 7 4 3" xfId="5871" xr:uid="{00000000-0005-0000-0000-0000760A0000}"/>
    <cellStyle name="Comma 4 7 4 3 2" xfId="14321" xr:uid="{75896360-BD13-43A8-9E6C-E7D921EC8E47}"/>
    <cellStyle name="Comma 4 7 4 3 3" xfId="22768" xr:uid="{25703BA4-4C6F-4046-8740-FE04F0EE0E01}"/>
    <cellStyle name="Comma 4 7 4 3 4" xfId="31215" xr:uid="{B4B4D218-203E-4659-A095-7E3429B574B2}"/>
    <cellStyle name="Comma 4 7 4 4" xfId="10103" xr:uid="{4129252F-ACE7-4C5E-B255-44E5DC9D89DF}"/>
    <cellStyle name="Comma 4 7 4 5" xfId="18551" xr:uid="{10686FD6-0645-41AB-845C-E7ECA00F6F4C}"/>
    <cellStyle name="Comma 4 7 4 6" xfId="26998" xr:uid="{6CE767B8-8636-4305-9C9C-4DF35E276E77}"/>
    <cellStyle name="Comma 4 7 5" xfId="1978" xr:uid="{00000000-0005-0000-0000-0000770A0000}"/>
    <cellStyle name="Comma 4 7 5 2" xfId="4207" xr:uid="{00000000-0005-0000-0000-0000780A0000}"/>
    <cellStyle name="Comma 4 7 5 2 2" xfId="8429" xr:uid="{00000000-0005-0000-0000-0000790A0000}"/>
    <cellStyle name="Comma 4 7 5 2 2 2" xfId="16879" xr:uid="{F41A92AD-F302-4DEC-9B03-F51BCAD36C1B}"/>
    <cellStyle name="Comma 4 7 5 2 2 3" xfId="25326" xr:uid="{FE9073CC-C15C-4DBB-8977-7316A07F9E29}"/>
    <cellStyle name="Comma 4 7 5 2 2 4" xfId="33773" xr:uid="{5848D914-BE60-4A75-9525-9C86453E32E2}"/>
    <cellStyle name="Comma 4 7 5 2 3" xfId="12661" xr:uid="{D1AF7B91-E026-4DAA-9FE0-01AE5367E1FF}"/>
    <cellStyle name="Comma 4 7 5 2 4" xfId="21109" xr:uid="{112FD1F8-B6C6-4747-B8AA-06E99C907A3D}"/>
    <cellStyle name="Comma 4 7 5 2 5" xfId="29556" xr:uid="{0EC264B9-885F-4230-AC04-547AEA91EC73}"/>
    <cellStyle name="Comma 4 7 5 3" xfId="6284" xr:uid="{00000000-0005-0000-0000-00007A0A0000}"/>
    <cellStyle name="Comma 4 7 5 3 2" xfId="14734" xr:uid="{A17CCCE5-050F-443A-9734-517C8ECB1B12}"/>
    <cellStyle name="Comma 4 7 5 3 3" xfId="23181" xr:uid="{7FB695E7-1C7A-4A5D-B501-46B81A952DD9}"/>
    <cellStyle name="Comma 4 7 5 3 4" xfId="31628" xr:uid="{8C73222E-EFA8-4543-96F0-DFF67760C305}"/>
    <cellStyle name="Comma 4 7 5 4" xfId="10516" xr:uid="{6CC8B072-5EA5-4BFA-B55A-CB30E2075D7B}"/>
    <cellStyle name="Comma 4 7 5 5" xfId="18964" xr:uid="{3F680873-6422-4D30-8FF6-A862347671E3}"/>
    <cellStyle name="Comma 4 7 5 6" xfId="27411" xr:uid="{C827CE05-32A9-4AC3-B8E8-83777284A2A5}"/>
    <cellStyle name="Comma 4 7 6" xfId="2413" xr:uid="{00000000-0005-0000-0000-00007B0A0000}"/>
    <cellStyle name="Comma 4 7 6 2" xfId="6697" xr:uid="{00000000-0005-0000-0000-00007C0A0000}"/>
    <cellStyle name="Comma 4 7 6 2 2" xfId="15147" xr:uid="{33F824D5-4B82-41C4-97F2-E1B83E1000C6}"/>
    <cellStyle name="Comma 4 7 6 2 3" xfId="23594" xr:uid="{AA9354C2-00D9-47E9-B42F-E3AD8EAD5687}"/>
    <cellStyle name="Comma 4 7 6 2 4" xfId="32041" xr:uid="{9A419E85-7912-4FBD-B049-0D1A7ABC01A5}"/>
    <cellStyle name="Comma 4 7 6 3" xfId="10929" xr:uid="{83B9A3C8-CE99-44FA-9F58-AA0B9E6FE234}"/>
    <cellStyle name="Comma 4 7 6 4" xfId="19377" xr:uid="{57B89A4D-1045-4F34-8AC5-AF04B36876BC}"/>
    <cellStyle name="Comma 4 7 6 5" xfId="27824" xr:uid="{80CFF8F0-7982-4467-9BB4-25428FF6E7A5}"/>
    <cellStyle name="Comma 4 7 7" xfId="2709" xr:uid="{00000000-0005-0000-0000-00007D0A0000}"/>
    <cellStyle name="Comma 4 7 8" xfId="2791" xr:uid="{00000000-0005-0000-0000-00007E0A0000}"/>
    <cellStyle name="Comma 4 7 8 2" xfId="7014" xr:uid="{00000000-0005-0000-0000-00007F0A0000}"/>
    <cellStyle name="Comma 4 7 8 2 2" xfId="15464" xr:uid="{172247BB-0C39-4F51-AFFB-7A7EE795BF39}"/>
    <cellStyle name="Comma 4 7 8 2 3" xfId="23911" xr:uid="{39C23D4B-3113-4693-9B49-62932F618F5F}"/>
    <cellStyle name="Comma 4 7 8 2 4" xfId="32358" xr:uid="{71A57B6F-C2E8-433A-9E3A-DF45A4BAB84D}"/>
    <cellStyle name="Comma 4 7 8 3" xfId="11246" xr:uid="{6C9CFC98-5CE7-4615-A89E-FB6C3D47FDFC}"/>
    <cellStyle name="Comma 4 7 8 4" xfId="19694" xr:uid="{1A3F67D9-B4A7-4CDA-B537-DD0C9DA434B3}"/>
    <cellStyle name="Comma 4 7 8 5" xfId="28141" xr:uid="{776C8BE9-A86D-486D-9777-166A291706D1}"/>
    <cellStyle name="Comma 4 7 9" xfId="4631" xr:uid="{00000000-0005-0000-0000-0000800A0000}"/>
    <cellStyle name="Comma 4 7 9 2" xfId="13081" xr:uid="{DED4E4B2-50E2-4222-B360-407B05E466F0}"/>
    <cellStyle name="Comma 4 7 9 3" xfId="21528" xr:uid="{B373609E-A8CC-40ED-8921-D43B9BB71782}"/>
    <cellStyle name="Comma 4 7 9 4" xfId="29975" xr:uid="{29177948-7E3A-443B-B0E6-29034A5BBF8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F50903EB-018A-4679-8AB0-A74C56D3A239}"/>
    <cellStyle name="Comma 7 3" xfId="21396" xr:uid="{5D977C3F-E9FB-492B-8E28-CE1F83CA45EC}"/>
    <cellStyle name="Comma 7 4" xfId="29843" xr:uid="{84A95ECB-0BBA-4D00-8026-EB886FDA9E0B}"/>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EC542AE8-4E75-4DDC-BADA-884874BBEF11}"/>
    <cellStyle name="Currency 14 2 3" xfId="25613" xr:uid="{E2AFE85A-C17F-4B2B-A619-F9FB6C75BD11}"/>
    <cellStyle name="Currency 14 2 4" xfId="34060" xr:uid="{AC1B109B-B4D1-44E7-BE7A-304B54E5679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C0EE6C3E-A071-4B47-B2F3-755C15CE9DA8}"/>
    <cellStyle name="Currency 14 3 2 2 2 2 3" xfId="25629" xr:uid="{D39A69D3-BBC2-4773-9DA4-AAAD1AD69710}"/>
    <cellStyle name="Currency 14 3 2 2 2 2 4" xfId="34076" xr:uid="{3571E895-76EB-4D70-9A92-711D282557D3}"/>
    <cellStyle name="Currency 14 3 2 2 2 3" xfId="17179" xr:uid="{63F4442E-E51B-4C9E-B6D5-1C29D5435BFC}"/>
    <cellStyle name="Currency 14 3 2 2 2 4" xfId="25626" xr:uid="{5CFD4325-4203-4892-B4FA-87B12D09F929}"/>
    <cellStyle name="Currency 14 3 2 2 2 5" xfId="34073" xr:uid="{04740102-23DD-4E25-8CB8-AC1861994883}"/>
    <cellStyle name="Currency 14 3 2 2 3" xfId="17175" xr:uid="{6ED9D032-E54D-486E-9D84-BB6DCF26F79F}"/>
    <cellStyle name="Currency 14 3 2 2 4" xfId="25622" xr:uid="{5BB1D1B0-4A16-4C49-89A5-00D84CFC925D}"/>
    <cellStyle name="Currency 14 3 2 2 5" xfId="34069" xr:uid="{E9D9D9C1-7796-4B44-9BE2-22BC45EDACA5}"/>
    <cellStyle name="Currency 14 3 2 3" xfId="17172" xr:uid="{5C3EE2CE-BF9E-49DB-AC04-98F5395E8A05}"/>
    <cellStyle name="Currency 14 3 2 4" xfId="25619" xr:uid="{6197D870-74F5-4A11-A23E-0999D9A5379A}"/>
    <cellStyle name="Currency 14 3 2 5" xfId="34066" xr:uid="{6D43B4FA-FB56-4AE9-A7FD-D2917CC75849}"/>
    <cellStyle name="Currency 14 3 3" xfId="17169" xr:uid="{85EC1316-20BA-4E54-A33F-D8D5B002EA73}"/>
    <cellStyle name="Currency 14 3 4" xfId="25616" xr:uid="{6A09832F-0453-408D-A768-68F07703C2C8}"/>
    <cellStyle name="Currency 14 3 5" xfId="34063" xr:uid="{15C108BE-2ACB-4259-86FC-5DA860898E94}"/>
    <cellStyle name="Currency 14 4" xfId="12952" xr:uid="{2A9461F5-08A2-48A7-A49F-3E34BBE7044C}"/>
    <cellStyle name="Currency 14 5" xfId="21399" xr:uid="{079DDDBB-9749-407D-B15C-DB990152F8D4}"/>
    <cellStyle name="Currency 14 6" xfId="29846" xr:uid="{185ECDC4-3678-4EF3-A00E-077BA10D69D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51568A31-75D2-4257-A965-F8F204A812C0}"/>
    <cellStyle name="Currency 3 2 2 10 2 3" xfId="23912" xr:uid="{44B1A6CC-757C-476E-BF8A-F3DF43A5E126}"/>
    <cellStyle name="Currency 3 2 2 10 2 4" xfId="32359" xr:uid="{B1A10766-62F9-4EE1-BEDA-92BB70D734F2}"/>
    <cellStyle name="Currency 3 2 2 10 3" xfId="11247" xr:uid="{2A6EA10B-6C3D-49B2-B2C4-DB4648960205}"/>
    <cellStyle name="Currency 3 2 2 10 4" xfId="19695" xr:uid="{9218611D-70F0-48EA-961C-59BF6A57C83B}"/>
    <cellStyle name="Currency 3 2 2 10 5" xfId="28142" xr:uid="{E8841B4B-E9D5-4AD2-9555-6393DF3B2BC0}"/>
    <cellStyle name="Currency 3 2 2 11" xfId="4632" xr:uid="{00000000-0005-0000-0000-0000A50A0000}"/>
    <cellStyle name="Currency 3 2 2 11 2" xfId="13082" xr:uid="{59403FBA-5294-44FD-A7C0-8C36EA3C8878}"/>
    <cellStyle name="Currency 3 2 2 11 3" xfId="21529" xr:uid="{A35F06FD-8434-440D-A41A-E8DA88A365FE}"/>
    <cellStyle name="Currency 3 2 2 11 4" xfId="29976" xr:uid="{D0006792-E1BB-4208-B026-072CAEC338F7}"/>
    <cellStyle name="Currency 3 2 2 12" xfId="8864" xr:uid="{99249EAC-D639-47C2-9A30-8746F62A60BC}"/>
    <cellStyle name="Currency 3 2 2 13" xfId="17312" xr:uid="{B6E35A56-FAE3-415F-AAA4-C69215E0F64D}"/>
    <cellStyle name="Currency 3 2 2 14" xfId="25759" xr:uid="{67048B7A-6F0A-4D2B-B682-563B29C5CA77}"/>
    <cellStyle name="Currency 3 2 2 2" xfId="179" xr:uid="{00000000-0005-0000-0000-0000A60A0000}"/>
    <cellStyle name="Currency 3 2 2 2 10" xfId="4633" xr:uid="{00000000-0005-0000-0000-0000A70A0000}"/>
    <cellStyle name="Currency 3 2 2 2 10 2" xfId="13083" xr:uid="{B95F1E3D-90ED-4D15-A548-65C2BD25CB8F}"/>
    <cellStyle name="Currency 3 2 2 2 10 3" xfId="21530" xr:uid="{00007CE9-4D55-402D-9666-E244B5BF8503}"/>
    <cellStyle name="Currency 3 2 2 2 10 4" xfId="29977" xr:uid="{C06CF4A8-87F6-4F21-A675-767F30BA384C}"/>
    <cellStyle name="Currency 3 2 2 2 11" xfId="8865" xr:uid="{97F73C59-AE1A-4BD2-BBB6-B4B8A9138AA0}"/>
    <cellStyle name="Currency 3 2 2 2 12" xfId="17313" xr:uid="{9E389A14-D733-466D-9EC1-42B6DA804878}"/>
    <cellStyle name="Currency 3 2 2 2 13" xfId="25760" xr:uid="{05F0010A-1334-4EEA-8C3D-4535D0D940FE}"/>
    <cellStyle name="Currency 3 2 2 2 2" xfId="180" xr:uid="{00000000-0005-0000-0000-0000A80A0000}"/>
    <cellStyle name="Currency 3 2 2 2 2 10" xfId="8866" xr:uid="{61C4E53F-FC17-4683-93C1-402AF3FE7213}"/>
    <cellStyle name="Currency 3 2 2 2 2 11" xfId="17314" xr:uid="{5D24704E-C8AC-4F37-BD05-291A6E3A43BB}"/>
    <cellStyle name="Currency 3 2 2 2 2 12" xfId="25761" xr:uid="{6A3E9C6A-7CB0-4A30-8CEE-4D72FB0002B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98A90C56-E000-4033-8A41-36D75EAFDEAC}"/>
    <cellStyle name="Currency 3 2 2 2 2 2 2 2 3" xfId="24090" xr:uid="{218D3857-7A39-423D-B618-15E0333B8F35}"/>
    <cellStyle name="Currency 3 2 2 2 2 2 2 2 4" xfId="32537" xr:uid="{67ADA932-BACC-40F5-9BFB-3E452C467FAE}"/>
    <cellStyle name="Currency 3 2 2 2 2 2 2 3" xfId="11425" xr:uid="{9F32EB38-7A2C-4C6A-B9AB-5457DA47C5EC}"/>
    <cellStyle name="Currency 3 2 2 2 2 2 2 4" xfId="19873" xr:uid="{E1EE7D81-3A28-4DB2-8C3C-61A2140E46F0}"/>
    <cellStyle name="Currency 3 2 2 2 2 2 2 5" xfId="28320" xr:uid="{08534C9F-91EC-4C97-8217-B7DE64352705}"/>
    <cellStyle name="Currency 3 2 2 2 2 2 3" xfId="5048" xr:uid="{00000000-0005-0000-0000-0000AC0A0000}"/>
    <cellStyle name="Currency 3 2 2 2 2 2 3 2" xfId="13498" xr:uid="{D70BC78D-2EC6-4B27-BBCF-DA87B8FA4B05}"/>
    <cellStyle name="Currency 3 2 2 2 2 2 3 3" xfId="21945" xr:uid="{0BA48792-2AFE-43DB-8A17-FA8505E49627}"/>
    <cellStyle name="Currency 3 2 2 2 2 2 3 4" xfId="30392" xr:uid="{A8BB35B3-EF01-47FF-8C28-B2B31372F794}"/>
    <cellStyle name="Currency 3 2 2 2 2 2 4" xfId="9280" xr:uid="{9B720CF1-BFE7-42F0-8F0D-05280CE420D3}"/>
    <cellStyle name="Currency 3 2 2 2 2 2 5" xfId="17728" xr:uid="{72D9C922-9152-48EF-B27F-089191C2E871}"/>
    <cellStyle name="Currency 3 2 2 2 2 2 6" xfId="26175" xr:uid="{7AE3191F-7981-4D57-A1AA-14EA5AC3304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32C4FDE2-3942-4BCA-9505-4D9063E43334}"/>
    <cellStyle name="Currency 3 2 2 2 2 3 2 2 3" xfId="24503" xr:uid="{E54E17CC-8CC4-42DB-84D6-7901B3F2F181}"/>
    <cellStyle name="Currency 3 2 2 2 2 3 2 2 4" xfId="32950" xr:uid="{379EA7A3-FED3-454F-9F54-C33B0625820E}"/>
    <cellStyle name="Currency 3 2 2 2 2 3 2 3" xfId="11838" xr:uid="{84D20685-1482-4899-8CB9-EF867E30319D}"/>
    <cellStyle name="Currency 3 2 2 2 2 3 2 4" xfId="20286" xr:uid="{93B9036A-4446-4879-8A88-0FB35B27856D}"/>
    <cellStyle name="Currency 3 2 2 2 2 3 2 5" xfId="28733" xr:uid="{6A93A5E7-BA19-44C8-AAB0-E874D9DBB84B}"/>
    <cellStyle name="Currency 3 2 2 2 2 3 3" xfId="5461" xr:uid="{00000000-0005-0000-0000-0000B00A0000}"/>
    <cellStyle name="Currency 3 2 2 2 2 3 3 2" xfId="13911" xr:uid="{D4910485-8611-4879-877C-DE147D374072}"/>
    <cellStyle name="Currency 3 2 2 2 2 3 3 3" xfId="22358" xr:uid="{D3EA3EF8-6274-42D9-B751-F28751E08727}"/>
    <cellStyle name="Currency 3 2 2 2 2 3 3 4" xfId="30805" xr:uid="{38202B22-BCBD-44E6-BA38-7934675122C5}"/>
    <cellStyle name="Currency 3 2 2 2 2 3 4" xfId="9693" xr:uid="{D9FAA59A-C3E1-4173-A326-A59BB535489A}"/>
    <cellStyle name="Currency 3 2 2 2 2 3 5" xfId="18141" xr:uid="{7338A02C-0377-4E06-AEE1-540772E7E4EF}"/>
    <cellStyle name="Currency 3 2 2 2 2 3 6" xfId="26588" xr:uid="{26B5DB23-DDAA-456D-8E48-2554DC8CE41F}"/>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957AB562-673E-4AAB-8727-35AAE743C7D4}"/>
    <cellStyle name="Currency 3 2 2 2 2 4 2 2 3" xfId="24916" xr:uid="{BDFC9449-A631-43DA-83AE-E3C4D8981EB4}"/>
    <cellStyle name="Currency 3 2 2 2 2 4 2 2 4" xfId="33363" xr:uid="{6CAAF232-220A-4FA5-B6D9-9CBEC249B7E6}"/>
    <cellStyle name="Currency 3 2 2 2 2 4 2 3" xfId="12251" xr:uid="{6BBD0709-3DCD-4EC8-A207-64303633C434}"/>
    <cellStyle name="Currency 3 2 2 2 2 4 2 4" xfId="20699" xr:uid="{1B195889-21F6-42F7-88D5-0B3D7779EDAD}"/>
    <cellStyle name="Currency 3 2 2 2 2 4 2 5" xfId="29146" xr:uid="{C6884498-6B38-45AB-9D59-247704DCBB9D}"/>
    <cellStyle name="Currency 3 2 2 2 2 4 3" xfId="5874" xr:uid="{00000000-0005-0000-0000-0000B40A0000}"/>
    <cellStyle name="Currency 3 2 2 2 2 4 3 2" xfId="14324" xr:uid="{A30A053D-DCD7-404A-AA03-93A100E1D922}"/>
    <cellStyle name="Currency 3 2 2 2 2 4 3 3" xfId="22771" xr:uid="{5DACA1A2-9E0A-4B60-9100-FD502809B8C8}"/>
    <cellStyle name="Currency 3 2 2 2 2 4 3 4" xfId="31218" xr:uid="{799F4737-877E-4747-A55B-9ABD6A154AF3}"/>
    <cellStyle name="Currency 3 2 2 2 2 4 4" xfId="10106" xr:uid="{07445367-2E71-4FB8-924D-FB73AE59FC0A}"/>
    <cellStyle name="Currency 3 2 2 2 2 4 5" xfId="18554" xr:uid="{70784174-8386-46D9-BFD2-E040BA1B3D33}"/>
    <cellStyle name="Currency 3 2 2 2 2 4 6" xfId="27001" xr:uid="{49C55547-9756-42C7-9112-C7651C11BD1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18E724FA-3E0E-40A3-9563-7BD66D87ECCB}"/>
    <cellStyle name="Currency 3 2 2 2 2 5 2 2 3" xfId="25329" xr:uid="{164DBE96-EC59-45D4-94D6-87829F10460A}"/>
    <cellStyle name="Currency 3 2 2 2 2 5 2 2 4" xfId="33776" xr:uid="{1427C69F-08A0-4731-84CA-234FCFF92377}"/>
    <cellStyle name="Currency 3 2 2 2 2 5 2 3" xfId="12664" xr:uid="{2647B07C-CFC3-42A0-AB4B-235E284E8016}"/>
    <cellStyle name="Currency 3 2 2 2 2 5 2 4" xfId="21112" xr:uid="{B27DFAD1-2EFE-4F8D-BCB1-2790330C6B3B}"/>
    <cellStyle name="Currency 3 2 2 2 2 5 2 5" xfId="29559" xr:uid="{CE2A9D85-22CF-4225-80DA-90B239B15084}"/>
    <cellStyle name="Currency 3 2 2 2 2 5 3" xfId="6287" xr:uid="{00000000-0005-0000-0000-0000B80A0000}"/>
    <cellStyle name="Currency 3 2 2 2 2 5 3 2" xfId="14737" xr:uid="{4D5E8F27-C3C2-442B-B69E-7CD26890FBC7}"/>
    <cellStyle name="Currency 3 2 2 2 2 5 3 3" xfId="23184" xr:uid="{F2293A36-6A58-42E2-93A0-D0603CACB9A5}"/>
    <cellStyle name="Currency 3 2 2 2 2 5 3 4" xfId="31631" xr:uid="{32870447-A1C8-40C5-A4AE-8AE02745068A}"/>
    <cellStyle name="Currency 3 2 2 2 2 5 4" xfId="10519" xr:uid="{8DBC6167-CF74-4898-9501-C5AC518B7FA5}"/>
    <cellStyle name="Currency 3 2 2 2 2 5 5" xfId="18967" xr:uid="{A36331D3-355B-416C-8734-7109C09E0397}"/>
    <cellStyle name="Currency 3 2 2 2 2 5 6" xfId="27414" xr:uid="{8380B6E3-4A29-4AFA-AB68-CDFC0D837A3E}"/>
    <cellStyle name="Currency 3 2 2 2 2 6" xfId="2416" xr:uid="{00000000-0005-0000-0000-0000B90A0000}"/>
    <cellStyle name="Currency 3 2 2 2 2 6 2" xfId="6700" xr:uid="{00000000-0005-0000-0000-0000BA0A0000}"/>
    <cellStyle name="Currency 3 2 2 2 2 6 2 2" xfId="15150" xr:uid="{AE5D2873-B8D0-47CE-9C38-6E5320E97B5A}"/>
    <cellStyle name="Currency 3 2 2 2 2 6 2 3" xfId="23597" xr:uid="{52729EF8-A746-4D76-89FE-B0466D9121D6}"/>
    <cellStyle name="Currency 3 2 2 2 2 6 2 4" xfId="32044" xr:uid="{D02C5AAA-CBA6-482A-A5E3-B0DCFBDFF152}"/>
    <cellStyle name="Currency 3 2 2 2 2 6 3" xfId="10932" xr:uid="{A4FB4F0C-BEA7-4803-93C3-053B0D49FF0A}"/>
    <cellStyle name="Currency 3 2 2 2 2 6 4" xfId="19380" xr:uid="{3A505D97-23F1-4F3F-8D2D-05ADDC8C0F67}"/>
    <cellStyle name="Currency 3 2 2 2 2 6 5" xfId="27827" xr:uid="{E5D8D0B8-D54C-488E-BF61-4FA8BA1A52EB}"/>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F481F818-B37B-4EAA-98CB-302E71AD53C4}"/>
    <cellStyle name="Currency 3 2 2 2 2 8 2 3" xfId="23914" xr:uid="{56AEA15D-635B-4515-ABD3-52C13D5A9506}"/>
    <cellStyle name="Currency 3 2 2 2 2 8 2 4" xfId="32361" xr:uid="{068B90BE-B1D0-4074-B5B9-410B7877A9C1}"/>
    <cellStyle name="Currency 3 2 2 2 2 8 3" xfId="11249" xr:uid="{80BD8CD3-1C4E-400B-B13E-46E71C9CECA9}"/>
    <cellStyle name="Currency 3 2 2 2 2 8 4" xfId="19697" xr:uid="{7F54D46A-887C-4B15-8F57-C387E9B9BFB3}"/>
    <cellStyle name="Currency 3 2 2 2 2 8 5" xfId="28144" xr:uid="{A6F545FB-42DB-433F-84D1-0DB69AED8799}"/>
    <cellStyle name="Currency 3 2 2 2 2 9" xfId="4634" xr:uid="{00000000-0005-0000-0000-0000BE0A0000}"/>
    <cellStyle name="Currency 3 2 2 2 2 9 2" xfId="13084" xr:uid="{2C6CF88E-3605-4222-8B92-20F4B139ED0A}"/>
    <cellStyle name="Currency 3 2 2 2 2 9 3" xfId="21531" xr:uid="{7AFFB637-BAC7-4A8E-8CD8-49910F442A0D}"/>
    <cellStyle name="Currency 3 2 2 2 2 9 4" xfId="29978" xr:uid="{494A7A2C-534F-4E8B-B69A-533EDC9FAE09}"/>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2BC3E95F-1B5B-40BD-A902-04A976CAF04B}"/>
    <cellStyle name="Currency 3 2 2 2 3 2 2 3" xfId="24089" xr:uid="{6D96E0D5-15BD-4258-831A-C5D09DC59145}"/>
    <cellStyle name="Currency 3 2 2 2 3 2 2 4" xfId="32536" xr:uid="{4EE805DC-BA94-4D82-A527-071FF7728DF3}"/>
    <cellStyle name="Currency 3 2 2 2 3 2 3" xfId="11424" xr:uid="{3717D1C2-9F73-4A2C-9ACB-69E3D58C59EA}"/>
    <cellStyle name="Currency 3 2 2 2 3 2 4" xfId="19872" xr:uid="{C2F2D41B-8E4A-45AE-BE16-10156AC48190}"/>
    <cellStyle name="Currency 3 2 2 2 3 2 5" xfId="28319" xr:uid="{E0C5AEAD-F876-4EDA-9A8F-FB6AA3A47CCC}"/>
    <cellStyle name="Currency 3 2 2 2 3 3" xfId="5047" xr:uid="{00000000-0005-0000-0000-0000C20A0000}"/>
    <cellStyle name="Currency 3 2 2 2 3 3 2" xfId="13497" xr:uid="{330C7D25-2909-4DA6-902A-781E33E077EC}"/>
    <cellStyle name="Currency 3 2 2 2 3 3 3" xfId="21944" xr:uid="{A583E158-7270-44DA-B77C-C5208AC78B15}"/>
    <cellStyle name="Currency 3 2 2 2 3 3 4" xfId="30391" xr:uid="{AABDE3FC-E89B-4384-B225-78F07761B0C0}"/>
    <cellStyle name="Currency 3 2 2 2 3 4" xfId="9279" xr:uid="{CC4F4116-C736-489D-A648-8FAF949BBFBB}"/>
    <cellStyle name="Currency 3 2 2 2 3 5" xfId="17727" xr:uid="{DD592AA5-530A-4745-8387-98D74114422B}"/>
    <cellStyle name="Currency 3 2 2 2 3 6" xfId="26174" xr:uid="{67B05CF2-AB74-430C-8569-B56935A209B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BEAE4C5A-4EDD-4A58-9A4F-14090C50ABC2}"/>
    <cellStyle name="Currency 3 2 2 2 4 2 2 3" xfId="24502" xr:uid="{9650F3ED-25DA-4B8A-ADEC-7A0CA797E649}"/>
    <cellStyle name="Currency 3 2 2 2 4 2 2 4" xfId="32949" xr:uid="{4F98EF97-2176-4A90-BBCE-39420D77B184}"/>
    <cellStyle name="Currency 3 2 2 2 4 2 3" xfId="11837" xr:uid="{A7B5E86E-FE17-4B1E-8CCD-E41261A5B30A}"/>
    <cellStyle name="Currency 3 2 2 2 4 2 4" xfId="20285" xr:uid="{01B1C76F-8041-4760-B2B2-C0E3A88ADD58}"/>
    <cellStyle name="Currency 3 2 2 2 4 2 5" xfId="28732" xr:uid="{EFD6C210-3702-4267-B723-502D3C9ACC72}"/>
    <cellStyle name="Currency 3 2 2 2 4 3" xfId="5460" xr:uid="{00000000-0005-0000-0000-0000C60A0000}"/>
    <cellStyle name="Currency 3 2 2 2 4 3 2" xfId="13910" xr:uid="{C2B0847B-B156-4357-A9BE-7246D0F1F36B}"/>
    <cellStyle name="Currency 3 2 2 2 4 3 3" xfId="22357" xr:uid="{E59C102D-C00D-4B23-A956-20208AE24B88}"/>
    <cellStyle name="Currency 3 2 2 2 4 3 4" xfId="30804" xr:uid="{CDD14971-204D-4173-A381-78FE6D0C7ED8}"/>
    <cellStyle name="Currency 3 2 2 2 4 4" xfId="9692" xr:uid="{0170841B-14EE-423D-8B60-5A5A6637DFA0}"/>
    <cellStyle name="Currency 3 2 2 2 4 5" xfId="18140" xr:uid="{7594A4BA-EDDF-4C5A-83F5-051BB04878C2}"/>
    <cellStyle name="Currency 3 2 2 2 4 6" xfId="26587" xr:uid="{8888F6B5-C7A5-4372-B63D-B240C14A1094}"/>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00AA2D8A-A752-43CD-B0C2-8780C7718B54}"/>
    <cellStyle name="Currency 3 2 2 2 5 2 2 3" xfId="24915" xr:uid="{FD4F1137-C2DF-4BCE-A800-DFBA07F8EC12}"/>
    <cellStyle name="Currency 3 2 2 2 5 2 2 4" xfId="33362" xr:uid="{505DE0B7-0B55-42E4-ACF1-67D1BC182E03}"/>
    <cellStyle name="Currency 3 2 2 2 5 2 3" xfId="12250" xr:uid="{71769809-949A-4F48-811A-F4FF9BC82A5A}"/>
    <cellStyle name="Currency 3 2 2 2 5 2 4" xfId="20698" xr:uid="{ADD1294D-AE6B-423C-AAED-A826AF1F7636}"/>
    <cellStyle name="Currency 3 2 2 2 5 2 5" xfId="29145" xr:uid="{64AA4656-5BC9-41F7-BD3E-552E7874CE74}"/>
    <cellStyle name="Currency 3 2 2 2 5 3" xfId="5873" xr:uid="{00000000-0005-0000-0000-0000CA0A0000}"/>
    <cellStyle name="Currency 3 2 2 2 5 3 2" xfId="14323" xr:uid="{8ED4FC22-AD36-492E-AECE-CF849533432C}"/>
    <cellStyle name="Currency 3 2 2 2 5 3 3" xfId="22770" xr:uid="{EAD11E82-68B4-4E1C-8737-49429D652190}"/>
    <cellStyle name="Currency 3 2 2 2 5 3 4" xfId="31217" xr:uid="{B1C43ACD-7A58-4529-982D-F6BF90BF170F}"/>
    <cellStyle name="Currency 3 2 2 2 5 4" xfId="10105" xr:uid="{F99F40C8-DE97-4AB8-B759-F70D22C5E4AF}"/>
    <cellStyle name="Currency 3 2 2 2 5 5" xfId="18553" xr:uid="{503016A3-8B18-4360-A1D5-44AF2829BA90}"/>
    <cellStyle name="Currency 3 2 2 2 5 6" xfId="27000" xr:uid="{1652BCAD-8EE1-4B91-A2C3-B8A5A379C081}"/>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308549AB-C840-40A3-A8E3-823242A56A29}"/>
    <cellStyle name="Currency 3 2 2 2 6 2 2 3" xfId="25328" xr:uid="{9EF11CAC-E538-4637-86D2-D2C3F8EEDA56}"/>
    <cellStyle name="Currency 3 2 2 2 6 2 2 4" xfId="33775" xr:uid="{966EBF1F-7260-43B1-ACCD-BE462456BAAB}"/>
    <cellStyle name="Currency 3 2 2 2 6 2 3" xfId="12663" xr:uid="{69ABF18F-57A5-44C5-9F0E-01B586D5CD1E}"/>
    <cellStyle name="Currency 3 2 2 2 6 2 4" xfId="21111" xr:uid="{7C0545F2-B856-4A08-848D-92D8D1E1E013}"/>
    <cellStyle name="Currency 3 2 2 2 6 2 5" xfId="29558" xr:uid="{69985905-A74F-417D-A9F1-963792498EF7}"/>
    <cellStyle name="Currency 3 2 2 2 6 3" xfId="6286" xr:uid="{00000000-0005-0000-0000-0000CE0A0000}"/>
    <cellStyle name="Currency 3 2 2 2 6 3 2" xfId="14736" xr:uid="{DE3B1558-CB04-495F-B585-7E19F2F28CD9}"/>
    <cellStyle name="Currency 3 2 2 2 6 3 3" xfId="23183" xr:uid="{F4407D66-F8C4-4D52-B4D1-BC9DA0B2D045}"/>
    <cellStyle name="Currency 3 2 2 2 6 3 4" xfId="31630" xr:uid="{6C9DCE6D-F902-4B79-9DE8-F4E4234D6B4A}"/>
    <cellStyle name="Currency 3 2 2 2 6 4" xfId="10518" xr:uid="{EDC935B2-B191-469E-B6EA-DBB300E594D8}"/>
    <cellStyle name="Currency 3 2 2 2 6 5" xfId="18966" xr:uid="{11B7A826-5112-4CC4-B4E2-7A61BD8F1F1D}"/>
    <cellStyle name="Currency 3 2 2 2 6 6" xfId="27413" xr:uid="{3C11AFCF-7A2C-4C5F-9BA0-C5A12FD207D5}"/>
    <cellStyle name="Currency 3 2 2 2 7" xfId="2415" xr:uid="{00000000-0005-0000-0000-0000CF0A0000}"/>
    <cellStyle name="Currency 3 2 2 2 7 2" xfId="6699" xr:uid="{00000000-0005-0000-0000-0000D00A0000}"/>
    <cellStyle name="Currency 3 2 2 2 7 2 2" xfId="15149" xr:uid="{538BFF07-FFB2-46E9-9488-F130D9E9CC0A}"/>
    <cellStyle name="Currency 3 2 2 2 7 2 3" xfId="23596" xr:uid="{49F1F061-F0F7-4426-805A-D8029196029E}"/>
    <cellStyle name="Currency 3 2 2 2 7 2 4" xfId="32043" xr:uid="{FCBE65CF-3ED0-492E-9248-15780034CBEE}"/>
    <cellStyle name="Currency 3 2 2 2 7 3" xfId="10931" xr:uid="{B51EDF82-3088-4937-93E2-F90C32FEDDD3}"/>
    <cellStyle name="Currency 3 2 2 2 7 4" xfId="19379" xr:uid="{8F8D0AF8-0146-4A07-96F9-EFF8F381F952}"/>
    <cellStyle name="Currency 3 2 2 2 7 5" xfId="27826" xr:uid="{4623D00D-D409-46EB-994A-A6619077657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6E5572ED-1D64-4ADA-B472-5B4126CDABEA}"/>
    <cellStyle name="Currency 3 2 2 2 9 2 3" xfId="23913" xr:uid="{2E61143F-08D6-48D8-A490-27869383E822}"/>
    <cellStyle name="Currency 3 2 2 2 9 2 4" xfId="32360" xr:uid="{3EE588BF-EE9F-486B-BBD1-2D099E297EAD}"/>
    <cellStyle name="Currency 3 2 2 2 9 3" xfId="11248" xr:uid="{CA41D68C-7519-4069-BFB3-D6931F6BD20B}"/>
    <cellStyle name="Currency 3 2 2 2 9 4" xfId="19696" xr:uid="{95382175-3DAC-4DF2-BFC2-8720682C13AA}"/>
    <cellStyle name="Currency 3 2 2 2 9 5" xfId="28143" xr:uid="{21D9AE47-8019-4CCF-8219-6683FA69E7B6}"/>
    <cellStyle name="Currency 3 2 2 3" xfId="181" xr:uid="{00000000-0005-0000-0000-0000D40A0000}"/>
    <cellStyle name="Currency 3 2 2 3 10" xfId="8867" xr:uid="{8B215221-C791-4506-A7DA-F1FDD7976419}"/>
    <cellStyle name="Currency 3 2 2 3 11" xfId="17315" xr:uid="{3A6B990E-3504-4B6F-A70D-3BDF6B9A0064}"/>
    <cellStyle name="Currency 3 2 2 3 12" xfId="25762" xr:uid="{BD1B9F81-9A6E-4093-B79B-DBFE9C1AB02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E10DA606-3CED-47E0-88FE-ED4B2936637C}"/>
    <cellStyle name="Currency 3 2 2 3 2 2 2 3" xfId="24091" xr:uid="{B956CF7C-CCED-4291-A906-318AE6404A92}"/>
    <cellStyle name="Currency 3 2 2 3 2 2 2 4" xfId="32538" xr:uid="{73B246AB-61B4-4359-B7A6-A6470823828B}"/>
    <cellStyle name="Currency 3 2 2 3 2 2 3" xfId="11426" xr:uid="{5FC979AF-BF9C-4D5B-B24B-58627E9C2777}"/>
    <cellStyle name="Currency 3 2 2 3 2 2 4" xfId="19874" xr:uid="{C525C81B-9026-4786-95EB-41A67B7EA169}"/>
    <cellStyle name="Currency 3 2 2 3 2 2 5" xfId="28321" xr:uid="{8717DCED-93B2-4232-84D9-9027A67462D1}"/>
    <cellStyle name="Currency 3 2 2 3 2 3" xfId="5049" xr:uid="{00000000-0005-0000-0000-0000D80A0000}"/>
    <cellStyle name="Currency 3 2 2 3 2 3 2" xfId="13499" xr:uid="{ED6ED044-6D28-472E-A05F-27A9A92D0162}"/>
    <cellStyle name="Currency 3 2 2 3 2 3 3" xfId="21946" xr:uid="{3DEA5FA2-0D49-4C21-BF6A-AAA495F9C921}"/>
    <cellStyle name="Currency 3 2 2 3 2 3 4" xfId="30393" xr:uid="{8D8FABBB-992B-497E-A994-DFC420425222}"/>
    <cellStyle name="Currency 3 2 2 3 2 4" xfId="9281" xr:uid="{C0AC47B3-0F28-4927-9557-DC6150B464B9}"/>
    <cellStyle name="Currency 3 2 2 3 2 5" xfId="17729" xr:uid="{C51085F4-7C88-478C-B8D3-33795F57DD46}"/>
    <cellStyle name="Currency 3 2 2 3 2 6" xfId="26176" xr:uid="{861C30C1-72F5-470E-B54F-E49D9312EBE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5DFB2053-4F5F-4F01-8A2E-99CB22EA8399}"/>
    <cellStyle name="Currency 3 2 2 3 3 2 2 3" xfId="24504" xr:uid="{3E7EE801-6B02-4075-8BEB-A721A9D7B9E6}"/>
    <cellStyle name="Currency 3 2 2 3 3 2 2 4" xfId="32951" xr:uid="{DEC1D906-A48B-499B-87DD-8F14F55A53A7}"/>
    <cellStyle name="Currency 3 2 2 3 3 2 3" xfId="11839" xr:uid="{2D95CC36-94F8-46B9-BAFD-7991EF6AA231}"/>
    <cellStyle name="Currency 3 2 2 3 3 2 4" xfId="20287" xr:uid="{0EE0928C-7D9B-45F9-8EB2-4F969EF0BDC2}"/>
    <cellStyle name="Currency 3 2 2 3 3 2 5" xfId="28734" xr:uid="{BD4E8368-8A36-45EA-AA30-0A9D1CF5DCD9}"/>
    <cellStyle name="Currency 3 2 2 3 3 3" xfId="5462" xr:uid="{00000000-0005-0000-0000-0000DC0A0000}"/>
    <cellStyle name="Currency 3 2 2 3 3 3 2" xfId="13912" xr:uid="{7C5CA6C0-4F4A-4036-B869-B2836021503F}"/>
    <cellStyle name="Currency 3 2 2 3 3 3 3" xfId="22359" xr:uid="{7C3128D6-0F56-4227-B0C8-31DB6B0FB274}"/>
    <cellStyle name="Currency 3 2 2 3 3 3 4" xfId="30806" xr:uid="{4D57F419-8EAC-46C9-ADDB-A3CD95C5218E}"/>
    <cellStyle name="Currency 3 2 2 3 3 4" xfId="9694" xr:uid="{688B163B-107D-40B2-AAEB-2F79B683B056}"/>
    <cellStyle name="Currency 3 2 2 3 3 5" xfId="18142" xr:uid="{AB322A92-8D41-45BE-BF7B-262F053697FD}"/>
    <cellStyle name="Currency 3 2 2 3 3 6" xfId="26589" xr:uid="{E2F348C7-3E95-467A-9986-7F8AC8AB600A}"/>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94207D8D-C823-43B0-90CC-E3754685136E}"/>
    <cellStyle name="Currency 3 2 2 3 4 2 2 3" xfId="24917" xr:uid="{D7BD1E59-B2D1-41E3-9D86-439161E24ED6}"/>
    <cellStyle name="Currency 3 2 2 3 4 2 2 4" xfId="33364" xr:uid="{4DEEA3CD-932C-443F-85A9-1511AA57E50F}"/>
    <cellStyle name="Currency 3 2 2 3 4 2 3" xfId="12252" xr:uid="{45376444-4251-4C52-8F98-D6B87693AEDE}"/>
    <cellStyle name="Currency 3 2 2 3 4 2 4" xfId="20700" xr:uid="{1A2BE4AB-1FA9-43EB-B67A-C075C5C1EFAE}"/>
    <cellStyle name="Currency 3 2 2 3 4 2 5" xfId="29147" xr:uid="{932BE4F8-6CA2-4D0A-80E5-A4CF7C21156B}"/>
    <cellStyle name="Currency 3 2 2 3 4 3" xfId="5875" xr:uid="{00000000-0005-0000-0000-0000E00A0000}"/>
    <cellStyle name="Currency 3 2 2 3 4 3 2" xfId="14325" xr:uid="{CBC48D9D-1F38-4F5C-96F8-75CCBB2A66D9}"/>
    <cellStyle name="Currency 3 2 2 3 4 3 3" xfId="22772" xr:uid="{8DB0C6AE-64F8-4FA2-9DBA-7081064A6345}"/>
    <cellStyle name="Currency 3 2 2 3 4 3 4" xfId="31219" xr:uid="{E4A4E033-CCC7-4E70-8302-5BB8D63B6EA7}"/>
    <cellStyle name="Currency 3 2 2 3 4 4" xfId="10107" xr:uid="{EF7FC420-6E03-44D4-ADE0-A1402B2751E7}"/>
    <cellStyle name="Currency 3 2 2 3 4 5" xfId="18555" xr:uid="{B4A0DF8B-8419-4DD5-BE0F-76AED04566F8}"/>
    <cellStyle name="Currency 3 2 2 3 4 6" xfId="27002" xr:uid="{A778D132-E8D4-4904-B673-10CF88FCB305}"/>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2885BE21-B154-41A5-8825-E15059C87EA6}"/>
    <cellStyle name="Currency 3 2 2 3 5 2 2 3" xfId="25330" xr:uid="{2449235D-247B-4967-9A6F-46D971A3ABD9}"/>
    <cellStyle name="Currency 3 2 2 3 5 2 2 4" xfId="33777" xr:uid="{32AB99C9-9508-47D7-AFE4-C2741B6F2363}"/>
    <cellStyle name="Currency 3 2 2 3 5 2 3" xfId="12665" xr:uid="{6DE14005-AA0F-4F79-BCF1-3D897E3FF6BE}"/>
    <cellStyle name="Currency 3 2 2 3 5 2 4" xfId="21113" xr:uid="{45417D6D-E437-4F6F-A316-60AEFF95C9F3}"/>
    <cellStyle name="Currency 3 2 2 3 5 2 5" xfId="29560" xr:uid="{05435A7E-8A09-4A28-A519-21AB5F36258D}"/>
    <cellStyle name="Currency 3 2 2 3 5 3" xfId="6288" xr:uid="{00000000-0005-0000-0000-0000E40A0000}"/>
    <cellStyle name="Currency 3 2 2 3 5 3 2" xfId="14738" xr:uid="{022BCB2D-09EC-4B4D-BA42-3CCCF3EC471F}"/>
    <cellStyle name="Currency 3 2 2 3 5 3 3" xfId="23185" xr:uid="{29BADA13-A553-4492-9C0E-17F85F19FDF1}"/>
    <cellStyle name="Currency 3 2 2 3 5 3 4" xfId="31632" xr:uid="{A1358559-71E5-42C8-A655-131F3CAD4BC7}"/>
    <cellStyle name="Currency 3 2 2 3 5 4" xfId="10520" xr:uid="{BF6D0B89-E4A2-48AA-A7D8-C8E2B17D0569}"/>
    <cellStyle name="Currency 3 2 2 3 5 5" xfId="18968" xr:uid="{7F263B23-0BCA-4479-BCCD-E5A48F05A99C}"/>
    <cellStyle name="Currency 3 2 2 3 5 6" xfId="27415" xr:uid="{39F9A3F3-8AF3-4845-8D30-6AD7CEAD65F9}"/>
    <cellStyle name="Currency 3 2 2 3 6" xfId="2417" xr:uid="{00000000-0005-0000-0000-0000E50A0000}"/>
    <cellStyle name="Currency 3 2 2 3 6 2" xfId="6701" xr:uid="{00000000-0005-0000-0000-0000E60A0000}"/>
    <cellStyle name="Currency 3 2 2 3 6 2 2" xfId="15151" xr:uid="{037899A8-30E8-453D-8067-09878B4C2AB7}"/>
    <cellStyle name="Currency 3 2 2 3 6 2 3" xfId="23598" xr:uid="{8E0426BB-63E5-49F3-B6EE-6B26CAB18E65}"/>
    <cellStyle name="Currency 3 2 2 3 6 2 4" xfId="32045" xr:uid="{7BD4505A-CB54-45A5-BA91-E44A8075C313}"/>
    <cellStyle name="Currency 3 2 2 3 6 3" xfId="10933" xr:uid="{6EC7C2EF-ABEB-400C-A1C8-A3E9BAEC41E0}"/>
    <cellStyle name="Currency 3 2 2 3 6 4" xfId="19381" xr:uid="{93B6E860-04E5-4388-9E7A-E09664A6F9B1}"/>
    <cellStyle name="Currency 3 2 2 3 6 5" xfId="27828" xr:uid="{4375BBA5-9D3A-4AE3-A803-1AB5B6C9AE83}"/>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BEB5701E-8411-4A99-9B8A-2A09E7E3987F}"/>
    <cellStyle name="Currency 3 2 2 3 8 2 3" xfId="23915" xr:uid="{441D56C3-0590-479A-B201-DCE7644792B9}"/>
    <cellStyle name="Currency 3 2 2 3 8 2 4" xfId="32362" xr:uid="{32888E2D-A74E-4EF3-A298-26519A94FDBF}"/>
    <cellStyle name="Currency 3 2 2 3 8 3" xfId="11250" xr:uid="{CBDDA6F2-35E3-4C0E-843A-14D4C26F70D1}"/>
    <cellStyle name="Currency 3 2 2 3 8 4" xfId="19698" xr:uid="{C50BD83E-586D-4A45-AB92-8196C83D1481}"/>
    <cellStyle name="Currency 3 2 2 3 8 5" xfId="28145" xr:uid="{721DF700-EAD6-4261-A7F4-CA1F6A84D81A}"/>
    <cellStyle name="Currency 3 2 2 3 9" xfId="4635" xr:uid="{00000000-0005-0000-0000-0000EA0A0000}"/>
    <cellStyle name="Currency 3 2 2 3 9 2" xfId="13085" xr:uid="{323FDE8D-6946-4F92-A26A-DF9185FA4B97}"/>
    <cellStyle name="Currency 3 2 2 3 9 3" xfId="21532" xr:uid="{5837681A-FE69-452E-898B-A8AC87A6E673}"/>
    <cellStyle name="Currency 3 2 2 3 9 4" xfId="29979" xr:uid="{71C86280-C5A0-4CC7-9DB0-3BAF145BC59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7FD6EB10-FEFE-421A-B4B0-675225A31E6C}"/>
    <cellStyle name="Currency 3 2 2 4 2 2 3" xfId="24088" xr:uid="{9BA2737E-A882-4782-AD61-00B1CA844CBB}"/>
    <cellStyle name="Currency 3 2 2 4 2 2 4" xfId="32535" xr:uid="{A8A7244D-9578-4E23-BBD3-2CEF2D6A0E3A}"/>
    <cellStyle name="Currency 3 2 2 4 2 3" xfId="11423" xr:uid="{3114D050-7A0D-4292-933C-0EE8A93F39B9}"/>
    <cellStyle name="Currency 3 2 2 4 2 4" xfId="19871" xr:uid="{98241D19-5353-4C93-9C31-F6E33298A323}"/>
    <cellStyle name="Currency 3 2 2 4 2 5" xfId="28318" xr:uid="{CD07029A-96B3-4EBA-B617-C8F53A0497DF}"/>
    <cellStyle name="Currency 3 2 2 4 3" xfId="5046" xr:uid="{00000000-0005-0000-0000-0000EE0A0000}"/>
    <cellStyle name="Currency 3 2 2 4 3 2" xfId="13496" xr:uid="{062FA9BA-7159-425E-90DE-CFB5B22EDB46}"/>
    <cellStyle name="Currency 3 2 2 4 3 3" xfId="21943" xr:uid="{EDF6FF56-C5E9-4A0A-8B6A-EDA104D173E3}"/>
    <cellStyle name="Currency 3 2 2 4 3 4" xfId="30390" xr:uid="{C72E55CC-FA3D-4AA5-81DB-49D0F4CB7B24}"/>
    <cellStyle name="Currency 3 2 2 4 4" xfId="9278" xr:uid="{73248220-D566-421B-9F4D-0ADDC6AC7E3D}"/>
    <cellStyle name="Currency 3 2 2 4 5" xfId="17726" xr:uid="{5E5EBBCC-AAF1-4CF7-B8F0-F58C4A3CC4E8}"/>
    <cellStyle name="Currency 3 2 2 4 6" xfId="26173" xr:uid="{11B073CC-A680-4ABF-975E-8BDBF825FBA7}"/>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1F365DDB-F82A-4F5A-8D66-1C941B020BA7}"/>
    <cellStyle name="Currency 3 2 2 5 2 2 3" xfId="24501" xr:uid="{A68C7D18-2E50-488D-95FA-73DA902FA8D0}"/>
    <cellStyle name="Currency 3 2 2 5 2 2 4" xfId="32948" xr:uid="{8C2D486F-57FA-4823-AE19-3CBBABEFD42C}"/>
    <cellStyle name="Currency 3 2 2 5 2 3" xfId="11836" xr:uid="{AF053949-F3AB-42B9-AA9C-76B5C36B2033}"/>
    <cellStyle name="Currency 3 2 2 5 2 4" xfId="20284" xr:uid="{5D93D88F-FB8D-433E-9179-C24AF95E00FF}"/>
    <cellStyle name="Currency 3 2 2 5 2 5" xfId="28731" xr:uid="{4181A064-CFE7-44B5-9E54-54C9D8AC6E94}"/>
    <cellStyle name="Currency 3 2 2 5 3" xfId="5459" xr:uid="{00000000-0005-0000-0000-0000F20A0000}"/>
    <cellStyle name="Currency 3 2 2 5 3 2" xfId="13909" xr:uid="{FD515219-DC8B-419D-B52D-8042C4BE555A}"/>
    <cellStyle name="Currency 3 2 2 5 3 3" xfId="22356" xr:uid="{4E96A983-437E-475C-ABA8-819BBE470203}"/>
    <cellStyle name="Currency 3 2 2 5 3 4" xfId="30803" xr:uid="{047F3E0F-1C0B-4D88-9622-C76CC3775777}"/>
    <cellStyle name="Currency 3 2 2 5 4" xfId="9691" xr:uid="{2559D217-F94F-4BAE-B3AC-9F2BD73941D3}"/>
    <cellStyle name="Currency 3 2 2 5 5" xfId="18139" xr:uid="{64B3C169-C268-400A-8F7F-59429DE167BD}"/>
    <cellStyle name="Currency 3 2 2 5 6" xfId="26586" xr:uid="{7C22D00B-D21C-43D2-8BA3-F9E5BBF1D4F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880CB0DE-8A5D-4285-9EB3-72EB0BFD7E9A}"/>
    <cellStyle name="Currency 3 2 2 6 2 2 3" xfId="24914" xr:uid="{66772FE5-41A0-4335-9951-B867930210AD}"/>
    <cellStyle name="Currency 3 2 2 6 2 2 4" xfId="33361" xr:uid="{BC906E77-7DCB-4EC6-922A-4D370B2C42DD}"/>
    <cellStyle name="Currency 3 2 2 6 2 3" xfId="12249" xr:uid="{7764FBDB-7397-4DF6-8BE1-A92057C22C7C}"/>
    <cellStyle name="Currency 3 2 2 6 2 4" xfId="20697" xr:uid="{282B0384-9024-4806-B1BF-5A3888ED1A90}"/>
    <cellStyle name="Currency 3 2 2 6 2 5" xfId="29144" xr:uid="{ECC4AEC1-4B33-4BFD-809E-1F9AA05CAF9E}"/>
    <cellStyle name="Currency 3 2 2 6 3" xfId="5872" xr:uid="{00000000-0005-0000-0000-0000F60A0000}"/>
    <cellStyle name="Currency 3 2 2 6 3 2" xfId="14322" xr:uid="{DD35CE63-5E31-47DC-BD07-8393299D4545}"/>
    <cellStyle name="Currency 3 2 2 6 3 3" xfId="22769" xr:uid="{FF5464AA-70B5-4A57-8870-9BF30A16E66A}"/>
    <cellStyle name="Currency 3 2 2 6 3 4" xfId="31216" xr:uid="{FA54C9B3-41B1-4CE7-9E26-42992AC9AFFA}"/>
    <cellStyle name="Currency 3 2 2 6 4" xfId="10104" xr:uid="{50D049CF-BAC9-45FD-8654-94CF95E28A64}"/>
    <cellStyle name="Currency 3 2 2 6 5" xfId="18552" xr:uid="{4F2C9465-C181-49E2-91C2-92E4DCD882FA}"/>
    <cellStyle name="Currency 3 2 2 6 6" xfId="26999" xr:uid="{3D86BB5A-1448-4C6D-9E66-545F0B84C673}"/>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3F57ECB7-2CEA-4201-B594-9BC7FFFC34B4}"/>
    <cellStyle name="Currency 3 2 2 7 2 2 3" xfId="25327" xr:uid="{9952D507-14CB-4E16-830A-CEB079DBEBBA}"/>
    <cellStyle name="Currency 3 2 2 7 2 2 4" xfId="33774" xr:uid="{1AE6B61B-6225-43C7-8D3E-190C2383BCD2}"/>
    <cellStyle name="Currency 3 2 2 7 2 3" xfId="12662" xr:uid="{39C8985E-E48A-42F1-A754-48959B74A0ED}"/>
    <cellStyle name="Currency 3 2 2 7 2 4" xfId="21110" xr:uid="{59E70B84-DA0D-4A57-84A0-69E0CFEC39BF}"/>
    <cellStyle name="Currency 3 2 2 7 2 5" xfId="29557" xr:uid="{CCE9D767-CCB2-425B-8750-9C90C7412D82}"/>
    <cellStyle name="Currency 3 2 2 7 3" xfId="6285" xr:uid="{00000000-0005-0000-0000-0000FA0A0000}"/>
    <cellStyle name="Currency 3 2 2 7 3 2" xfId="14735" xr:uid="{02B61910-5C5F-4307-9C56-C37719B3136A}"/>
    <cellStyle name="Currency 3 2 2 7 3 3" xfId="23182" xr:uid="{F139D5EA-1CB8-4C9F-923B-24C634582139}"/>
    <cellStyle name="Currency 3 2 2 7 3 4" xfId="31629" xr:uid="{68B0625E-758F-46DB-96B1-C9063B2D34CE}"/>
    <cellStyle name="Currency 3 2 2 7 4" xfId="10517" xr:uid="{2BF59709-1825-432E-A7AA-98CB305F522C}"/>
    <cellStyle name="Currency 3 2 2 7 5" xfId="18965" xr:uid="{0627C9EC-6AD3-4FF7-86E6-45F75C03F7D7}"/>
    <cellStyle name="Currency 3 2 2 7 6" xfId="27412" xr:uid="{1B4BB05C-6A3B-4226-8AB1-B59124395775}"/>
    <cellStyle name="Currency 3 2 2 8" xfId="2414" xr:uid="{00000000-0005-0000-0000-0000FB0A0000}"/>
    <cellStyle name="Currency 3 2 2 8 2" xfId="6698" xr:uid="{00000000-0005-0000-0000-0000FC0A0000}"/>
    <cellStyle name="Currency 3 2 2 8 2 2" xfId="15148" xr:uid="{F4BF5B06-31E4-4C97-8551-57E1DFD4073F}"/>
    <cellStyle name="Currency 3 2 2 8 2 3" xfId="23595" xr:uid="{49BB00F7-11CA-4A10-AFCB-11FA8B595621}"/>
    <cellStyle name="Currency 3 2 2 8 2 4" xfId="32042" xr:uid="{FF046216-61DF-467E-9217-2301128C5F61}"/>
    <cellStyle name="Currency 3 2 2 8 3" xfId="10930" xr:uid="{12EF9B9D-3CFA-4034-AFE4-1DE3C08DE46F}"/>
    <cellStyle name="Currency 3 2 2 8 4" xfId="19378" xr:uid="{17BBC34E-39FB-4979-9B70-4064285C18C1}"/>
    <cellStyle name="Currency 3 2 2 8 5" xfId="27825" xr:uid="{E7C3734E-DAB3-4653-9AF4-2286B7A54562}"/>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E4A00D25-0F58-472A-BBCF-49CE1E9B3E46}"/>
    <cellStyle name="Currency 3 2 3 10 3" xfId="21533" xr:uid="{88EB5194-E1F0-4570-A1BD-9FB4CCF12033}"/>
    <cellStyle name="Currency 3 2 3 10 4" xfId="29980" xr:uid="{CE019B87-94FA-42F8-9D87-F6EDBE153210}"/>
    <cellStyle name="Currency 3 2 3 11" xfId="8868" xr:uid="{10A096E3-6476-4762-8354-28E6E184B212}"/>
    <cellStyle name="Currency 3 2 3 12" xfId="17316" xr:uid="{A003F74B-E71C-421F-A980-40FDA4FE25E3}"/>
    <cellStyle name="Currency 3 2 3 13" xfId="25763" xr:uid="{A9CFE66C-136B-4A4C-9BAA-64617A948B22}"/>
    <cellStyle name="Currency 3 2 3 2" xfId="183" xr:uid="{00000000-0005-0000-0000-0000000B0000}"/>
    <cellStyle name="Currency 3 2 3 2 10" xfId="8869" xr:uid="{DDA63C02-AF09-49CD-8197-E49A81BAE87E}"/>
    <cellStyle name="Currency 3 2 3 2 11" xfId="17317" xr:uid="{DF97506A-26B0-488E-8571-13E4622F7BE0}"/>
    <cellStyle name="Currency 3 2 3 2 12" xfId="25764" xr:uid="{3E5E78CA-EFC7-476E-AFDE-5DB4D12B569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5E5CA929-7853-4C28-917A-82EBCF078FFE}"/>
    <cellStyle name="Currency 3 2 3 2 2 2 2 3" xfId="24093" xr:uid="{EB9FA94E-11EC-41DA-9819-ECEB37B08222}"/>
    <cellStyle name="Currency 3 2 3 2 2 2 2 4" xfId="32540" xr:uid="{F7EEE69E-8FED-46FA-A083-CACAC80CFF70}"/>
    <cellStyle name="Currency 3 2 3 2 2 2 3" xfId="11428" xr:uid="{167318CF-9F1C-4F37-B73C-ECC2E4FDAC56}"/>
    <cellStyle name="Currency 3 2 3 2 2 2 4" xfId="19876" xr:uid="{B376106B-12DC-44EC-9E2A-CF133EAE5B1E}"/>
    <cellStyle name="Currency 3 2 3 2 2 2 5" xfId="28323" xr:uid="{786B37A3-37F5-4D82-842D-B3359DA4E1D6}"/>
    <cellStyle name="Currency 3 2 3 2 2 3" xfId="5051" xr:uid="{00000000-0005-0000-0000-0000040B0000}"/>
    <cellStyle name="Currency 3 2 3 2 2 3 2" xfId="13501" xr:uid="{93904E9B-E998-4AB5-812E-FF545D8F5A83}"/>
    <cellStyle name="Currency 3 2 3 2 2 3 3" xfId="21948" xr:uid="{320263AF-F139-4AFF-BD8B-E780EB5D4FC9}"/>
    <cellStyle name="Currency 3 2 3 2 2 3 4" xfId="30395" xr:uid="{7B3D03D6-3AD9-43EE-8402-8F3C754C7A6A}"/>
    <cellStyle name="Currency 3 2 3 2 2 4" xfId="9283" xr:uid="{B1AC5ACF-F033-4458-9931-C9D524299955}"/>
    <cellStyle name="Currency 3 2 3 2 2 5" xfId="17731" xr:uid="{102A5967-BC01-4EA6-94C9-E2D122F96ABC}"/>
    <cellStyle name="Currency 3 2 3 2 2 6" xfId="26178" xr:uid="{0893D618-74A6-4722-8015-57E0A2412447}"/>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4408B6E2-0043-4EDA-BC65-0F59A8069E8C}"/>
    <cellStyle name="Currency 3 2 3 2 3 2 2 3" xfId="24506" xr:uid="{D930524C-030F-4DBC-94FC-230AE3983F76}"/>
    <cellStyle name="Currency 3 2 3 2 3 2 2 4" xfId="32953" xr:uid="{AF2760F5-A1DF-490C-B7F3-91D61F6E499F}"/>
    <cellStyle name="Currency 3 2 3 2 3 2 3" xfId="11841" xr:uid="{20E04AC7-F90F-428D-844C-E198354C3682}"/>
    <cellStyle name="Currency 3 2 3 2 3 2 4" xfId="20289" xr:uid="{A07FEB5A-A2D2-41A9-8A6F-35859B91FE59}"/>
    <cellStyle name="Currency 3 2 3 2 3 2 5" xfId="28736" xr:uid="{F7C2E809-E857-42F5-92C4-628657457D5C}"/>
    <cellStyle name="Currency 3 2 3 2 3 3" xfId="5464" xr:uid="{00000000-0005-0000-0000-0000080B0000}"/>
    <cellStyle name="Currency 3 2 3 2 3 3 2" xfId="13914" xr:uid="{98EC6274-C01C-4CDC-9291-7EE3E3ABB7CF}"/>
    <cellStyle name="Currency 3 2 3 2 3 3 3" xfId="22361" xr:uid="{05466D2A-9775-4741-A397-5E5F5E5FEBF5}"/>
    <cellStyle name="Currency 3 2 3 2 3 3 4" xfId="30808" xr:uid="{AAEAB009-85E3-40C4-BCEA-BBCF43EEEFE4}"/>
    <cellStyle name="Currency 3 2 3 2 3 4" xfId="9696" xr:uid="{5ACFE33F-2538-4290-BEEC-C14442FF84B0}"/>
    <cellStyle name="Currency 3 2 3 2 3 5" xfId="18144" xr:uid="{3529E89E-0441-4919-9F45-6A6D1E0F2F39}"/>
    <cellStyle name="Currency 3 2 3 2 3 6" xfId="26591" xr:uid="{B951647C-C6F4-4171-9B92-7C5466C2ED2F}"/>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32583110-E427-495E-AE63-6FDEEB2C9237}"/>
    <cellStyle name="Currency 3 2 3 2 4 2 2 3" xfId="24919" xr:uid="{CFBBB994-4707-4548-8D61-FD11BF920E8E}"/>
    <cellStyle name="Currency 3 2 3 2 4 2 2 4" xfId="33366" xr:uid="{B4933389-6CCC-4BCF-85B4-089859B723CF}"/>
    <cellStyle name="Currency 3 2 3 2 4 2 3" xfId="12254" xr:uid="{413926C2-4943-416F-B568-F0ECF6BF22ED}"/>
    <cellStyle name="Currency 3 2 3 2 4 2 4" xfId="20702" xr:uid="{B8EDBC33-6CAD-4464-80E1-09735A5CC503}"/>
    <cellStyle name="Currency 3 2 3 2 4 2 5" xfId="29149" xr:uid="{C4094F0A-437D-47A1-A6F7-E6F6EF4247FA}"/>
    <cellStyle name="Currency 3 2 3 2 4 3" xfId="5877" xr:uid="{00000000-0005-0000-0000-00000C0B0000}"/>
    <cellStyle name="Currency 3 2 3 2 4 3 2" xfId="14327" xr:uid="{BB28B961-EC0A-4522-8B2D-3CE6E09D20B5}"/>
    <cellStyle name="Currency 3 2 3 2 4 3 3" xfId="22774" xr:uid="{35A6F1C7-F855-4630-B30E-D8143754E73E}"/>
    <cellStyle name="Currency 3 2 3 2 4 3 4" xfId="31221" xr:uid="{900D0EC8-1C1E-4F5D-91D2-E021B9189FD0}"/>
    <cellStyle name="Currency 3 2 3 2 4 4" xfId="10109" xr:uid="{DCEA7F51-C08B-4BA5-999C-121601B33CD5}"/>
    <cellStyle name="Currency 3 2 3 2 4 5" xfId="18557" xr:uid="{CE83F0AE-5D27-4EB9-B3F3-C6508DA0693B}"/>
    <cellStyle name="Currency 3 2 3 2 4 6" xfId="27004" xr:uid="{A0C5A8FE-7FE3-42D7-96A9-44AEDD8C100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C5F5AB0E-7E0F-4776-95B3-730D71D980B3}"/>
    <cellStyle name="Currency 3 2 3 2 5 2 2 3" xfId="25332" xr:uid="{5E13C85B-644B-4E59-AA0D-A88DCEFB9461}"/>
    <cellStyle name="Currency 3 2 3 2 5 2 2 4" xfId="33779" xr:uid="{E183A43B-5A2D-40A2-B566-C0A5E7E54535}"/>
    <cellStyle name="Currency 3 2 3 2 5 2 3" xfId="12667" xr:uid="{42389AB9-A6C9-4BB1-BB6A-B18A9040F3F2}"/>
    <cellStyle name="Currency 3 2 3 2 5 2 4" xfId="21115" xr:uid="{EFFCB6C7-3799-4546-B4A4-7CCF97CA4973}"/>
    <cellStyle name="Currency 3 2 3 2 5 2 5" xfId="29562" xr:uid="{082CE560-1EDF-4116-8D97-2F2522D9B077}"/>
    <cellStyle name="Currency 3 2 3 2 5 3" xfId="6290" xr:uid="{00000000-0005-0000-0000-0000100B0000}"/>
    <cellStyle name="Currency 3 2 3 2 5 3 2" xfId="14740" xr:uid="{57855F28-825C-4A83-A799-13229BAB4670}"/>
    <cellStyle name="Currency 3 2 3 2 5 3 3" xfId="23187" xr:uid="{A6B00F2A-5E2F-4BEF-A038-C82CA6A255D0}"/>
    <cellStyle name="Currency 3 2 3 2 5 3 4" xfId="31634" xr:uid="{5F372175-D107-4454-A114-F14622527DEC}"/>
    <cellStyle name="Currency 3 2 3 2 5 4" xfId="10522" xr:uid="{EDD52D1B-5B24-4B3E-AA04-1072D709A64C}"/>
    <cellStyle name="Currency 3 2 3 2 5 5" xfId="18970" xr:uid="{57AE6CBD-1A16-4727-B4FE-49A57F286BA1}"/>
    <cellStyle name="Currency 3 2 3 2 5 6" xfId="27417" xr:uid="{56B3BF7C-8B9E-4976-A1C5-4D87C285CEC6}"/>
    <cellStyle name="Currency 3 2 3 2 6" xfId="2419" xr:uid="{00000000-0005-0000-0000-0000110B0000}"/>
    <cellStyle name="Currency 3 2 3 2 6 2" xfId="6703" xr:uid="{00000000-0005-0000-0000-0000120B0000}"/>
    <cellStyle name="Currency 3 2 3 2 6 2 2" xfId="15153" xr:uid="{B8366B9C-96C2-48E4-A4A2-9C01F489E904}"/>
    <cellStyle name="Currency 3 2 3 2 6 2 3" xfId="23600" xr:uid="{9D19E8BB-6229-4586-A9F0-859F2B24A3E8}"/>
    <cellStyle name="Currency 3 2 3 2 6 2 4" xfId="32047" xr:uid="{65F0FDB3-2CC0-477E-B839-2D07DCE0F224}"/>
    <cellStyle name="Currency 3 2 3 2 6 3" xfId="10935" xr:uid="{86C7C4EB-AB3E-4448-9727-34048B720450}"/>
    <cellStyle name="Currency 3 2 3 2 6 4" xfId="19383" xr:uid="{8744D595-94EF-4861-B189-970A78808976}"/>
    <cellStyle name="Currency 3 2 3 2 6 5" xfId="27830" xr:uid="{87482FC9-5ABE-4FC9-8C12-63E7562F92A8}"/>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854B131B-BCE7-44B7-9B03-95C51774708B}"/>
    <cellStyle name="Currency 3 2 3 2 8 2 3" xfId="23917" xr:uid="{0DA44CBC-BCFC-4438-A1BE-D8828BC83616}"/>
    <cellStyle name="Currency 3 2 3 2 8 2 4" xfId="32364" xr:uid="{D4A42C2B-99A5-465F-906D-B37B6AD435E9}"/>
    <cellStyle name="Currency 3 2 3 2 8 3" xfId="11252" xr:uid="{EF15AA7D-01AA-41DD-8B4F-4AE697D5F3FE}"/>
    <cellStyle name="Currency 3 2 3 2 8 4" xfId="19700" xr:uid="{F83DCFCD-B733-43E3-88EE-87AF8E219373}"/>
    <cellStyle name="Currency 3 2 3 2 8 5" xfId="28147" xr:uid="{40D841A1-6C69-4C06-A8D3-F5BE880DA0CE}"/>
    <cellStyle name="Currency 3 2 3 2 9" xfId="4637" xr:uid="{00000000-0005-0000-0000-0000160B0000}"/>
    <cellStyle name="Currency 3 2 3 2 9 2" xfId="13087" xr:uid="{8557F903-3951-4F52-8994-473834B2EF14}"/>
    <cellStyle name="Currency 3 2 3 2 9 3" xfId="21534" xr:uid="{337ACC5B-0E56-4957-AB3C-63FF393FFFAA}"/>
    <cellStyle name="Currency 3 2 3 2 9 4" xfId="29981" xr:uid="{2C4B24FC-D4EC-47C0-A2B7-1C3230DE8603}"/>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600F784F-C964-40A2-8432-8D452EE9883C}"/>
    <cellStyle name="Currency 3 2 3 3 2 2 3" xfId="24092" xr:uid="{288AD190-7A52-41FF-BB02-F56BE5E8E0B2}"/>
    <cellStyle name="Currency 3 2 3 3 2 2 4" xfId="32539" xr:uid="{37353477-63C5-4F18-A39B-A601DBA12E95}"/>
    <cellStyle name="Currency 3 2 3 3 2 3" xfId="11427" xr:uid="{EFF85EC1-7146-43CD-B80F-65906F8B7E5C}"/>
    <cellStyle name="Currency 3 2 3 3 2 4" xfId="19875" xr:uid="{1FFAE49B-D29C-4F94-BF99-E3A9E900A44D}"/>
    <cellStyle name="Currency 3 2 3 3 2 5" xfId="28322" xr:uid="{FD5E5C1C-C218-44A2-AAD3-F172CEFC7FF5}"/>
    <cellStyle name="Currency 3 2 3 3 3" xfId="5050" xr:uid="{00000000-0005-0000-0000-00001A0B0000}"/>
    <cellStyle name="Currency 3 2 3 3 3 2" xfId="13500" xr:uid="{B8D4507B-BC83-4E30-8310-7F9FD9576E66}"/>
    <cellStyle name="Currency 3 2 3 3 3 3" xfId="21947" xr:uid="{74CE44C1-4146-49AF-9189-DC3E0D7BD27B}"/>
    <cellStyle name="Currency 3 2 3 3 3 4" xfId="30394" xr:uid="{3F4DD786-AFE8-4185-BD91-CCECA888375A}"/>
    <cellStyle name="Currency 3 2 3 3 4" xfId="9282" xr:uid="{50806811-DE23-4B38-8578-FB4AB40982B0}"/>
    <cellStyle name="Currency 3 2 3 3 5" xfId="17730" xr:uid="{8311B782-3D39-4162-8C5E-AF2F89134203}"/>
    <cellStyle name="Currency 3 2 3 3 6" xfId="26177" xr:uid="{C0137712-1440-42D3-B0AA-3C8957A5EC76}"/>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25452C94-2890-41B8-BD37-23C6223C776B}"/>
    <cellStyle name="Currency 3 2 3 4 2 2 3" xfId="24505" xr:uid="{3B152AF8-8BB9-44B0-9BDD-C5F5B3328DA8}"/>
    <cellStyle name="Currency 3 2 3 4 2 2 4" xfId="32952" xr:uid="{19951813-4CF2-4019-80BE-E818295E631E}"/>
    <cellStyle name="Currency 3 2 3 4 2 3" xfId="11840" xr:uid="{F0EB0EED-5CD3-4377-A46B-968B284798E6}"/>
    <cellStyle name="Currency 3 2 3 4 2 4" xfId="20288" xr:uid="{97E993C3-1DEA-4B3F-B91D-779A8361DA58}"/>
    <cellStyle name="Currency 3 2 3 4 2 5" xfId="28735" xr:uid="{56709CF4-49E3-4EFC-B914-C23F71011F0E}"/>
    <cellStyle name="Currency 3 2 3 4 3" xfId="5463" xr:uid="{00000000-0005-0000-0000-00001E0B0000}"/>
    <cellStyle name="Currency 3 2 3 4 3 2" xfId="13913" xr:uid="{A2523AB0-3837-4591-814C-292931CCCFD1}"/>
    <cellStyle name="Currency 3 2 3 4 3 3" xfId="22360" xr:uid="{F1A2AD96-1012-4481-A3F5-C689CF0C58E4}"/>
    <cellStyle name="Currency 3 2 3 4 3 4" xfId="30807" xr:uid="{FFD00B37-416D-4A43-BC13-ECDC810E32BA}"/>
    <cellStyle name="Currency 3 2 3 4 4" xfId="9695" xr:uid="{FDA6DADD-15C9-4186-88B7-9DBAD0AA9EB1}"/>
    <cellStyle name="Currency 3 2 3 4 5" xfId="18143" xr:uid="{9F829A04-0EFA-457C-8761-5B6A863E18B9}"/>
    <cellStyle name="Currency 3 2 3 4 6" xfId="26590" xr:uid="{15143DDA-CA8D-49D7-825C-4C6B6B9E49F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60E776AF-BD5C-4E08-A4A6-D5398D5A1F85}"/>
    <cellStyle name="Currency 3 2 3 5 2 2 3" xfId="24918" xr:uid="{838F2B98-033A-490F-8CFF-162BCFF4AA8E}"/>
    <cellStyle name="Currency 3 2 3 5 2 2 4" xfId="33365" xr:uid="{656480DF-DF0A-46E4-9719-45C005FE2A28}"/>
    <cellStyle name="Currency 3 2 3 5 2 3" xfId="12253" xr:uid="{8DDB4C74-08E2-4A60-93C3-0632FA27E891}"/>
    <cellStyle name="Currency 3 2 3 5 2 4" xfId="20701" xr:uid="{AA9EFB6F-280B-4E62-A064-AA3C12E66851}"/>
    <cellStyle name="Currency 3 2 3 5 2 5" xfId="29148" xr:uid="{59370E09-57AD-4E14-89B0-C1153C38829C}"/>
    <cellStyle name="Currency 3 2 3 5 3" xfId="5876" xr:uid="{00000000-0005-0000-0000-0000220B0000}"/>
    <cellStyle name="Currency 3 2 3 5 3 2" xfId="14326" xr:uid="{7BAC1358-F6B6-46AD-A5DF-62B254ED976D}"/>
    <cellStyle name="Currency 3 2 3 5 3 3" xfId="22773" xr:uid="{9EB79D6F-FFA0-4851-921D-B3A287139138}"/>
    <cellStyle name="Currency 3 2 3 5 3 4" xfId="31220" xr:uid="{94FEA61F-C01A-4569-BBC7-E461571D5843}"/>
    <cellStyle name="Currency 3 2 3 5 4" xfId="10108" xr:uid="{76F6E200-EE88-4DB9-AAAD-675B0C90567E}"/>
    <cellStyle name="Currency 3 2 3 5 5" xfId="18556" xr:uid="{C97BED95-F205-4C52-A974-97DD13211546}"/>
    <cellStyle name="Currency 3 2 3 5 6" xfId="27003" xr:uid="{B748F766-D25A-4284-8B09-4D48BEBAA51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CE932F13-7770-4A46-93D1-1FC561B45BB6}"/>
    <cellStyle name="Currency 3 2 3 6 2 2 3" xfId="25331" xr:uid="{F5CF6AA7-0658-4480-BFC2-0581F4182E03}"/>
    <cellStyle name="Currency 3 2 3 6 2 2 4" xfId="33778" xr:uid="{AFC305E4-E7C0-4F4A-B79E-DCFB3EBE1210}"/>
    <cellStyle name="Currency 3 2 3 6 2 3" xfId="12666" xr:uid="{60135004-2DC1-4627-AFF8-E4A16054671B}"/>
    <cellStyle name="Currency 3 2 3 6 2 4" xfId="21114" xr:uid="{A4D41030-FDDB-49DA-9440-7566351E39E9}"/>
    <cellStyle name="Currency 3 2 3 6 2 5" xfId="29561" xr:uid="{FFD150AE-7B38-4A32-A313-58F4C538D24B}"/>
    <cellStyle name="Currency 3 2 3 6 3" xfId="6289" xr:uid="{00000000-0005-0000-0000-0000260B0000}"/>
    <cellStyle name="Currency 3 2 3 6 3 2" xfId="14739" xr:uid="{C74F833C-F3B3-4648-AAE9-6B115C511071}"/>
    <cellStyle name="Currency 3 2 3 6 3 3" xfId="23186" xr:uid="{58116FFB-7C2C-415F-9DD2-EF760BDC628D}"/>
    <cellStyle name="Currency 3 2 3 6 3 4" xfId="31633" xr:uid="{9E274077-B57F-41AA-8556-A14C68429A5B}"/>
    <cellStyle name="Currency 3 2 3 6 4" xfId="10521" xr:uid="{C621869C-2957-45F7-95C7-ECEE24040E56}"/>
    <cellStyle name="Currency 3 2 3 6 5" xfId="18969" xr:uid="{1F5EE4F4-B469-4788-BD00-91BF0B8F3E3A}"/>
    <cellStyle name="Currency 3 2 3 6 6" xfId="27416" xr:uid="{A6ABDCDD-7F51-4877-A7A9-8E896A617140}"/>
    <cellStyle name="Currency 3 2 3 7" xfId="2418" xr:uid="{00000000-0005-0000-0000-0000270B0000}"/>
    <cellStyle name="Currency 3 2 3 7 2" xfId="6702" xr:uid="{00000000-0005-0000-0000-0000280B0000}"/>
    <cellStyle name="Currency 3 2 3 7 2 2" xfId="15152" xr:uid="{DFD8FEA3-9CD8-4B6D-8839-BD345BA600B6}"/>
    <cellStyle name="Currency 3 2 3 7 2 3" xfId="23599" xr:uid="{AACF9A5D-CB9C-48CE-92C9-19A41AFDFF7F}"/>
    <cellStyle name="Currency 3 2 3 7 2 4" xfId="32046" xr:uid="{73409703-947C-4C69-9565-B0B4CEBF5C70}"/>
    <cellStyle name="Currency 3 2 3 7 3" xfId="10934" xr:uid="{897AA815-A389-45E3-9158-C839EAF56ED3}"/>
    <cellStyle name="Currency 3 2 3 7 4" xfId="19382" xr:uid="{D655E29B-4437-4951-BE71-32C3EC25AF89}"/>
    <cellStyle name="Currency 3 2 3 7 5" xfId="27829" xr:uid="{A2A3934D-48B6-47ED-8F90-C5C482A4801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8F95994F-9C2B-4BC4-AF0E-43A94BDE8370}"/>
    <cellStyle name="Currency 3 2 3 9 2 3" xfId="23916" xr:uid="{DDF488CE-4537-4214-8691-740340125A98}"/>
    <cellStyle name="Currency 3 2 3 9 2 4" xfId="32363" xr:uid="{8FD44E8B-610F-49F0-A9B7-2D2CFC4B856F}"/>
    <cellStyle name="Currency 3 2 3 9 3" xfId="11251" xr:uid="{2F53C75D-5C64-42F1-B135-EBCC18AF9361}"/>
    <cellStyle name="Currency 3 2 3 9 4" xfId="19699" xr:uid="{748EC4DE-F655-48F7-90BD-1BF4D193D626}"/>
    <cellStyle name="Currency 3 2 3 9 5" xfId="28146" xr:uid="{B4911589-4D35-4954-B060-4595BF34E89A}"/>
    <cellStyle name="Currency 3 2 4" xfId="184" xr:uid="{00000000-0005-0000-0000-00002C0B0000}"/>
    <cellStyle name="Currency 3 2 4 10" xfId="8870" xr:uid="{33851F95-7C4C-4054-B425-CB9F2A4EFBAE}"/>
    <cellStyle name="Currency 3 2 4 11" xfId="17318" xr:uid="{48120F1D-3936-4388-9565-794DAD763601}"/>
    <cellStyle name="Currency 3 2 4 12" xfId="25765" xr:uid="{FB878C2A-8BFE-4D02-992C-6EA7D338C160}"/>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309FDDBC-CB9C-4E2F-A633-EB6657C38E79}"/>
    <cellStyle name="Currency 3 2 4 2 2 2 3" xfId="24094" xr:uid="{1A7B3794-514D-4904-B051-390DEE62E1DA}"/>
    <cellStyle name="Currency 3 2 4 2 2 2 4" xfId="32541" xr:uid="{D960B637-DAFD-4987-B918-434DEE4295C9}"/>
    <cellStyle name="Currency 3 2 4 2 2 3" xfId="11429" xr:uid="{1A85B022-267B-4A7F-B8A4-3451B18FF4D8}"/>
    <cellStyle name="Currency 3 2 4 2 2 4" xfId="19877" xr:uid="{1483161E-8CFF-4BE0-99B6-54504822F7DA}"/>
    <cellStyle name="Currency 3 2 4 2 2 5" xfId="28324" xr:uid="{105ED422-180C-4BE6-A28C-65F7C4029447}"/>
    <cellStyle name="Currency 3 2 4 2 3" xfId="5052" xr:uid="{00000000-0005-0000-0000-0000300B0000}"/>
    <cellStyle name="Currency 3 2 4 2 3 2" xfId="13502" xr:uid="{B8C83CB7-ACE6-4ECF-8B5B-FF68EB5090FD}"/>
    <cellStyle name="Currency 3 2 4 2 3 3" xfId="21949" xr:uid="{5C642182-6573-40EA-9BE7-C53B3BDB7AE8}"/>
    <cellStyle name="Currency 3 2 4 2 3 4" xfId="30396" xr:uid="{C396CA13-1F70-4BE5-9623-BBF00C1D4C54}"/>
    <cellStyle name="Currency 3 2 4 2 4" xfId="9284" xr:uid="{914F2CC9-C9E7-4072-BF3E-C2B1107B5F22}"/>
    <cellStyle name="Currency 3 2 4 2 5" xfId="17732" xr:uid="{7659560F-32F5-4D94-B3D0-C75F55006319}"/>
    <cellStyle name="Currency 3 2 4 2 6" xfId="26179" xr:uid="{7E4BEBFD-BF27-44C3-841C-04ABD0B07C8C}"/>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9CADC5F9-E678-4A25-9056-25BC0669B130}"/>
    <cellStyle name="Currency 3 2 4 3 2 2 3" xfId="24507" xr:uid="{A26D0189-BC73-4EA8-8E26-E9465A1A5EFB}"/>
    <cellStyle name="Currency 3 2 4 3 2 2 4" xfId="32954" xr:uid="{6218842D-1B5C-4C64-9CC0-3F071397BC97}"/>
    <cellStyle name="Currency 3 2 4 3 2 3" xfId="11842" xr:uid="{36E86699-3BB2-49C1-A80B-360F9EBB9E41}"/>
    <cellStyle name="Currency 3 2 4 3 2 4" xfId="20290" xr:uid="{51D20E0D-2823-4623-A5D8-0F61534AAED6}"/>
    <cellStyle name="Currency 3 2 4 3 2 5" xfId="28737" xr:uid="{96E03B70-43BA-412A-B1E5-82FA7EE84A12}"/>
    <cellStyle name="Currency 3 2 4 3 3" xfId="5465" xr:uid="{00000000-0005-0000-0000-0000340B0000}"/>
    <cellStyle name="Currency 3 2 4 3 3 2" xfId="13915" xr:uid="{941FDE7B-9F8C-4965-BD25-AF5EEDEEFF27}"/>
    <cellStyle name="Currency 3 2 4 3 3 3" xfId="22362" xr:uid="{50E96A8C-822C-4449-9264-7A4228699212}"/>
    <cellStyle name="Currency 3 2 4 3 3 4" xfId="30809" xr:uid="{09B40B3D-FCEC-45AB-9273-73669968B86D}"/>
    <cellStyle name="Currency 3 2 4 3 4" xfId="9697" xr:uid="{FA2B2C9F-B422-4BE5-9DB3-AB364FCF9B2E}"/>
    <cellStyle name="Currency 3 2 4 3 5" xfId="18145" xr:uid="{61E2F4D0-D0E3-4D10-89FD-9885CAD78967}"/>
    <cellStyle name="Currency 3 2 4 3 6" xfId="26592" xr:uid="{139EA907-2AD4-4193-93C6-72B50808A88A}"/>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7959E911-D6E5-45DD-98E3-ECE0FF6B3299}"/>
    <cellStyle name="Currency 3 2 4 4 2 2 3" xfId="24920" xr:uid="{4C985F79-026A-4D6C-9A84-97CF54F8680E}"/>
    <cellStyle name="Currency 3 2 4 4 2 2 4" xfId="33367" xr:uid="{0EC519AE-CCA4-47E4-9D31-D8E4655BF352}"/>
    <cellStyle name="Currency 3 2 4 4 2 3" xfId="12255" xr:uid="{C501F13A-9FB8-4EC4-8E69-508BA1CC2B4D}"/>
    <cellStyle name="Currency 3 2 4 4 2 4" xfId="20703" xr:uid="{A3C0A0FE-5BC1-467C-9A9B-2393FE3B04E1}"/>
    <cellStyle name="Currency 3 2 4 4 2 5" xfId="29150" xr:uid="{D25BB248-12FD-4A1D-8048-B34C2863CE77}"/>
    <cellStyle name="Currency 3 2 4 4 3" xfId="5878" xr:uid="{00000000-0005-0000-0000-0000380B0000}"/>
    <cellStyle name="Currency 3 2 4 4 3 2" xfId="14328" xr:uid="{36A66A39-2519-4BAB-AEF2-2396E6497A82}"/>
    <cellStyle name="Currency 3 2 4 4 3 3" xfId="22775" xr:uid="{31010C6F-C0AA-4D9B-A3D4-25C1491EF9D4}"/>
    <cellStyle name="Currency 3 2 4 4 3 4" xfId="31222" xr:uid="{A5BA98D5-6E65-4E01-A179-8BCBBBC0F21B}"/>
    <cellStyle name="Currency 3 2 4 4 4" xfId="10110" xr:uid="{164EDCC9-29B3-458C-ADF3-1B1EB86763BD}"/>
    <cellStyle name="Currency 3 2 4 4 5" xfId="18558" xr:uid="{2D5DF22F-BAFA-4A84-B588-BBF2DFEE3D4F}"/>
    <cellStyle name="Currency 3 2 4 4 6" xfId="27005" xr:uid="{1B688F1D-0213-4896-999C-346C39FEABAF}"/>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436F984B-4B59-428C-8565-18FC2EE96E16}"/>
    <cellStyle name="Currency 3 2 4 5 2 2 3" xfId="25333" xr:uid="{FBD33638-738C-4D46-8F92-F4E025B58F49}"/>
    <cellStyle name="Currency 3 2 4 5 2 2 4" xfId="33780" xr:uid="{6E9347F1-E05F-4559-9636-793B472C86C2}"/>
    <cellStyle name="Currency 3 2 4 5 2 3" xfId="12668" xr:uid="{DF985960-59ED-4331-92B7-E84DED08D0C3}"/>
    <cellStyle name="Currency 3 2 4 5 2 4" xfId="21116" xr:uid="{0A0BB0BF-0EDB-446E-AB43-85F719AE9E9C}"/>
    <cellStyle name="Currency 3 2 4 5 2 5" xfId="29563" xr:uid="{45E4F6BC-16E8-461E-80A8-F20EEEC48C80}"/>
    <cellStyle name="Currency 3 2 4 5 3" xfId="6291" xr:uid="{00000000-0005-0000-0000-00003C0B0000}"/>
    <cellStyle name="Currency 3 2 4 5 3 2" xfId="14741" xr:uid="{07468916-6374-4D47-A579-7AFE9262B648}"/>
    <cellStyle name="Currency 3 2 4 5 3 3" xfId="23188" xr:uid="{0CA729E8-3ED2-48DB-9FC6-09308D9BB9C3}"/>
    <cellStyle name="Currency 3 2 4 5 3 4" xfId="31635" xr:uid="{060D16C3-018B-4CCE-8A37-50FA7F0437DF}"/>
    <cellStyle name="Currency 3 2 4 5 4" xfId="10523" xr:uid="{25695F97-C375-4500-9575-A4E7F54AB61A}"/>
    <cellStyle name="Currency 3 2 4 5 5" xfId="18971" xr:uid="{90386F8E-D1DF-4197-853E-91D2A9B1DC7D}"/>
    <cellStyle name="Currency 3 2 4 5 6" xfId="27418" xr:uid="{1D816E97-71DB-4E3B-A387-E708DAE143F1}"/>
    <cellStyle name="Currency 3 2 4 6" xfId="2420" xr:uid="{00000000-0005-0000-0000-00003D0B0000}"/>
    <cellStyle name="Currency 3 2 4 6 2" xfId="6704" xr:uid="{00000000-0005-0000-0000-00003E0B0000}"/>
    <cellStyle name="Currency 3 2 4 6 2 2" xfId="15154" xr:uid="{94D9F870-3160-4805-A22C-2A497AC70544}"/>
    <cellStyle name="Currency 3 2 4 6 2 3" xfId="23601" xr:uid="{DE7E6E23-1108-4A2E-A1B9-EAC678873BBF}"/>
    <cellStyle name="Currency 3 2 4 6 2 4" xfId="32048" xr:uid="{1F9FECDB-BBD6-4939-8CD4-A9B5E85FFB99}"/>
    <cellStyle name="Currency 3 2 4 6 3" xfId="10936" xr:uid="{EF1F7665-AB53-43FA-895F-EAC80156D895}"/>
    <cellStyle name="Currency 3 2 4 6 4" xfId="19384" xr:uid="{9D058D41-0B76-48D6-9FC9-1C568094E0C0}"/>
    <cellStyle name="Currency 3 2 4 6 5" xfId="27831" xr:uid="{EC8D383C-CD57-413E-80D2-AA01B6F252EE}"/>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7F1FC4CD-A591-401A-84B2-BCA78F56BE56}"/>
    <cellStyle name="Currency 3 2 4 8 2 3" xfId="23918" xr:uid="{A98DE969-56AD-4E4B-A704-B301ACCE8F48}"/>
    <cellStyle name="Currency 3 2 4 8 2 4" xfId="32365" xr:uid="{911940EE-1DCF-43A9-907A-8C0EEBAE02F9}"/>
    <cellStyle name="Currency 3 2 4 8 3" xfId="11253" xr:uid="{06339D32-89F3-442D-85E8-12083080CF90}"/>
    <cellStyle name="Currency 3 2 4 8 4" xfId="19701" xr:uid="{DF965E9F-AC59-4631-9FAC-A2DE53E336C3}"/>
    <cellStyle name="Currency 3 2 4 8 5" xfId="28148" xr:uid="{995E9E48-4773-4CC2-9B1A-B0D4ADD0E275}"/>
    <cellStyle name="Currency 3 2 4 9" xfId="4638" xr:uid="{00000000-0005-0000-0000-0000420B0000}"/>
    <cellStyle name="Currency 3 2 4 9 2" xfId="13088" xr:uid="{65114533-4A9F-47B3-B6BB-B88FE8ABB6EB}"/>
    <cellStyle name="Currency 3 2 4 9 3" xfId="21535" xr:uid="{3A990AF0-566B-4D49-A46E-28D38F4F9186}"/>
    <cellStyle name="Currency 3 2 4 9 4" xfId="29982" xr:uid="{05EBBFF0-165C-4EC7-B005-5658FA2A0C72}"/>
    <cellStyle name="Currency 3 2 5" xfId="185" xr:uid="{00000000-0005-0000-0000-0000430B0000}"/>
    <cellStyle name="Currency 3 2 5 10" xfId="8871" xr:uid="{F14D194A-CBF3-4482-9E4E-AE1C185FEAD1}"/>
    <cellStyle name="Currency 3 2 5 11" xfId="17319" xr:uid="{921CE358-EC29-40A1-868F-56215D0C7577}"/>
    <cellStyle name="Currency 3 2 5 12" xfId="25766" xr:uid="{5CB823EE-7D9D-41EC-A84D-88CEB7029AF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83DFA252-794C-47E3-8253-90DCA19D04B2}"/>
    <cellStyle name="Currency 3 2 5 2 2 2 3" xfId="24095" xr:uid="{34464270-0ABD-40DA-95D6-BD5DD47C68EF}"/>
    <cellStyle name="Currency 3 2 5 2 2 2 4" xfId="32542" xr:uid="{8A5CCC03-006C-4C14-9ACF-F5A5B24EB51B}"/>
    <cellStyle name="Currency 3 2 5 2 2 3" xfId="11430" xr:uid="{D1DBEC93-1C57-43DD-B775-1E87FA347C9F}"/>
    <cellStyle name="Currency 3 2 5 2 2 4" xfId="19878" xr:uid="{0F52030B-B0D3-4926-B15A-8DDC0D859557}"/>
    <cellStyle name="Currency 3 2 5 2 2 5" xfId="28325" xr:uid="{A01DADCE-0E1B-4C4A-A18C-C3BB2F51F981}"/>
    <cellStyle name="Currency 3 2 5 2 3" xfId="5053" xr:uid="{00000000-0005-0000-0000-0000470B0000}"/>
    <cellStyle name="Currency 3 2 5 2 3 2" xfId="13503" xr:uid="{F929D69F-66B3-420F-AE8F-69642EC89022}"/>
    <cellStyle name="Currency 3 2 5 2 3 3" xfId="21950" xr:uid="{7009E980-370F-43F1-ABC3-E14747E92205}"/>
    <cellStyle name="Currency 3 2 5 2 3 4" xfId="30397" xr:uid="{4B01A7F0-42D7-4243-BC25-D515BB1C5E67}"/>
    <cellStyle name="Currency 3 2 5 2 4" xfId="9285" xr:uid="{419700D2-F754-48CD-B3AA-DB085717B66C}"/>
    <cellStyle name="Currency 3 2 5 2 5" xfId="17733" xr:uid="{30D00BF6-711E-4BB2-85AB-15097222654C}"/>
    <cellStyle name="Currency 3 2 5 2 6" xfId="26180" xr:uid="{C6D194A2-1745-4935-91CE-BB5B9088554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875A2D29-889F-4B32-87D3-17A04BAEA987}"/>
    <cellStyle name="Currency 3 2 5 3 2 2 3" xfId="24508" xr:uid="{330120AD-E98C-4876-8200-C3833DBCC862}"/>
    <cellStyle name="Currency 3 2 5 3 2 2 4" xfId="32955" xr:uid="{3E37961C-C798-45C8-8C7F-0D16D9B4501E}"/>
    <cellStyle name="Currency 3 2 5 3 2 3" xfId="11843" xr:uid="{A31203CE-3BD7-4025-B260-20D572A47B1B}"/>
    <cellStyle name="Currency 3 2 5 3 2 4" xfId="20291" xr:uid="{7595EC2C-9176-45CF-B855-45920F31F7D5}"/>
    <cellStyle name="Currency 3 2 5 3 2 5" xfId="28738" xr:uid="{7DA5D50D-DF63-4A01-80E2-60A18434F7D8}"/>
    <cellStyle name="Currency 3 2 5 3 3" xfId="5466" xr:uid="{00000000-0005-0000-0000-00004B0B0000}"/>
    <cellStyle name="Currency 3 2 5 3 3 2" xfId="13916" xr:uid="{89B2F8E9-EB0D-4144-B57C-7ABF7F7E6832}"/>
    <cellStyle name="Currency 3 2 5 3 3 3" xfId="22363" xr:uid="{63CE8AFA-5F6E-4466-9C27-05FBFB071C29}"/>
    <cellStyle name="Currency 3 2 5 3 3 4" xfId="30810" xr:uid="{E1E890FF-6989-4BAA-869B-9B7C8BA19890}"/>
    <cellStyle name="Currency 3 2 5 3 4" xfId="9698" xr:uid="{F15CC2A1-9725-4DD6-A809-F559FEB694FE}"/>
    <cellStyle name="Currency 3 2 5 3 5" xfId="18146" xr:uid="{EDA5A8A3-005D-499D-A6DF-E45815075457}"/>
    <cellStyle name="Currency 3 2 5 3 6" xfId="26593" xr:uid="{452A3533-00B4-4767-9EC0-D71EDB00E0D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B914D725-8FC8-479F-B286-403859FC2BC2}"/>
    <cellStyle name="Currency 3 2 5 4 2 2 3" xfId="24921" xr:uid="{F19FBEA7-C344-439E-8802-A93915C6C19C}"/>
    <cellStyle name="Currency 3 2 5 4 2 2 4" xfId="33368" xr:uid="{F8C4A93A-DBE1-4B14-958E-AAFA49C89FF0}"/>
    <cellStyle name="Currency 3 2 5 4 2 3" xfId="12256" xr:uid="{3927F4A5-75AF-4668-8B29-FCEFBA9E9151}"/>
    <cellStyle name="Currency 3 2 5 4 2 4" xfId="20704" xr:uid="{E6E1E4F0-1D23-4443-AEF6-140DB83EB5D4}"/>
    <cellStyle name="Currency 3 2 5 4 2 5" xfId="29151" xr:uid="{B03E8C04-3472-410D-9C74-1D2CDB3288EA}"/>
    <cellStyle name="Currency 3 2 5 4 3" xfId="5879" xr:uid="{00000000-0005-0000-0000-00004F0B0000}"/>
    <cellStyle name="Currency 3 2 5 4 3 2" xfId="14329" xr:uid="{77787D9B-280E-4BBB-B7D9-EA54EA214106}"/>
    <cellStyle name="Currency 3 2 5 4 3 3" xfId="22776" xr:uid="{ED2D4353-0BD6-4EDA-9C32-0A1D9166225C}"/>
    <cellStyle name="Currency 3 2 5 4 3 4" xfId="31223" xr:uid="{76EA3893-00AD-425E-8082-8FD10ABD3F6F}"/>
    <cellStyle name="Currency 3 2 5 4 4" xfId="10111" xr:uid="{45789197-FBE0-4D19-A365-A92929D0C403}"/>
    <cellStyle name="Currency 3 2 5 4 5" xfId="18559" xr:uid="{D35A844B-5C99-4818-B22A-6ED5984D8EF7}"/>
    <cellStyle name="Currency 3 2 5 4 6" xfId="27006" xr:uid="{13F1BA77-877C-41BE-A76D-20C19C476FD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E5101A99-63DC-4C64-9199-2DE23E347198}"/>
    <cellStyle name="Currency 3 2 5 5 2 2 3" xfId="25334" xr:uid="{6BEBB6DA-01AA-429A-BBBF-C50D1CC146A9}"/>
    <cellStyle name="Currency 3 2 5 5 2 2 4" xfId="33781" xr:uid="{A6931C94-A563-44D2-839C-D9F7CC0EEE5E}"/>
    <cellStyle name="Currency 3 2 5 5 2 3" xfId="12669" xr:uid="{F6D03BA7-5A1F-47F5-9523-5F24E8446508}"/>
    <cellStyle name="Currency 3 2 5 5 2 4" xfId="21117" xr:uid="{89C06355-E044-4168-B198-2E3CEFBB1ECD}"/>
    <cellStyle name="Currency 3 2 5 5 2 5" xfId="29564" xr:uid="{CAF88133-B39C-403A-B915-0EF03FC0F761}"/>
    <cellStyle name="Currency 3 2 5 5 3" xfId="6292" xr:uid="{00000000-0005-0000-0000-0000530B0000}"/>
    <cellStyle name="Currency 3 2 5 5 3 2" xfId="14742" xr:uid="{A219DAF8-FBC2-46B6-85EC-6D8E733FFF11}"/>
    <cellStyle name="Currency 3 2 5 5 3 3" xfId="23189" xr:uid="{BB2AFBEC-F3E7-494A-9842-88DAEFF8CAAD}"/>
    <cellStyle name="Currency 3 2 5 5 3 4" xfId="31636" xr:uid="{DEC99787-3701-435E-A7AC-DD32FB0A4271}"/>
    <cellStyle name="Currency 3 2 5 5 4" xfId="10524" xr:uid="{136E6351-9087-4293-A6AF-746FB36404D0}"/>
    <cellStyle name="Currency 3 2 5 5 5" xfId="18972" xr:uid="{80ADE2F0-A490-4F6E-BB6A-3E462ED58E1F}"/>
    <cellStyle name="Currency 3 2 5 5 6" xfId="27419" xr:uid="{9DB786C1-839E-4202-A9A2-41E0A249D448}"/>
    <cellStyle name="Currency 3 2 5 6" xfId="2421" xr:uid="{00000000-0005-0000-0000-0000540B0000}"/>
    <cellStyle name="Currency 3 2 5 6 2" xfId="6705" xr:uid="{00000000-0005-0000-0000-0000550B0000}"/>
    <cellStyle name="Currency 3 2 5 6 2 2" xfId="15155" xr:uid="{BAF3298A-403E-4545-8181-F8765C7C8D5B}"/>
    <cellStyle name="Currency 3 2 5 6 2 3" xfId="23602" xr:uid="{8075FBB0-8CC8-4565-B4D9-25BE5B58F4DE}"/>
    <cellStyle name="Currency 3 2 5 6 2 4" xfId="32049" xr:uid="{A9675EF7-C639-4C5A-A3BC-3CB0DE84E7E3}"/>
    <cellStyle name="Currency 3 2 5 6 3" xfId="10937" xr:uid="{6144B583-1D0D-4D2F-B206-EA1EE3A77423}"/>
    <cellStyle name="Currency 3 2 5 6 4" xfId="19385" xr:uid="{99776DF5-DB4E-4D55-A5B0-9074E77C2EC2}"/>
    <cellStyle name="Currency 3 2 5 6 5" xfId="27832" xr:uid="{D556F8ED-9EA0-4A54-B255-D831EF7027D0}"/>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803E0AED-B56A-4AE6-A261-CA6E941EA2FD}"/>
    <cellStyle name="Currency 3 2 5 8 2 3" xfId="23919" xr:uid="{D336EAAB-2D60-4FA3-8432-D24607E96657}"/>
    <cellStyle name="Currency 3 2 5 8 2 4" xfId="32366" xr:uid="{A34420AD-8617-4791-B395-83FFA32C46C6}"/>
    <cellStyle name="Currency 3 2 5 8 3" xfId="11254" xr:uid="{9D3A17E4-28F8-42E0-9337-3E4E9666CB64}"/>
    <cellStyle name="Currency 3 2 5 8 4" xfId="19702" xr:uid="{C383408C-93B7-41C2-BA69-A7CE9970B50C}"/>
    <cellStyle name="Currency 3 2 5 8 5" xfId="28149" xr:uid="{F7460A9B-C2A6-4476-8481-6FD43741F61D}"/>
    <cellStyle name="Currency 3 2 5 9" xfId="4639" xr:uid="{00000000-0005-0000-0000-0000590B0000}"/>
    <cellStyle name="Currency 3 2 5 9 2" xfId="13089" xr:uid="{1E84C853-E882-4741-9994-A9F063E9BA6D}"/>
    <cellStyle name="Currency 3 2 5 9 3" xfId="21536" xr:uid="{EBE0952B-AEC1-4D39-9290-8470F4F75128}"/>
    <cellStyle name="Currency 3 2 5 9 4" xfId="29983" xr:uid="{F40C3A02-F100-464B-AC28-72363C876CB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141B5716-7550-4ACE-AB0A-D01FA1406DFC}"/>
    <cellStyle name="Currency 5 2 2 2 10 2 3" xfId="23920" xr:uid="{281FC0CF-CA09-488C-8553-89F680AF2687}"/>
    <cellStyle name="Currency 5 2 2 2 10 2 4" xfId="32367" xr:uid="{493837C4-2381-4B09-BF9E-2266373D68C3}"/>
    <cellStyle name="Currency 5 2 2 2 10 3" xfId="11255" xr:uid="{F0996802-DD8D-4DD9-BB4E-0968724D2107}"/>
    <cellStyle name="Currency 5 2 2 2 10 4" xfId="19703" xr:uid="{B682EC6D-85F4-4639-879E-FF91A709F0DF}"/>
    <cellStyle name="Currency 5 2 2 2 10 5" xfId="28150" xr:uid="{99954112-D9CB-4C9D-A592-4CF3D014ECA4}"/>
    <cellStyle name="Currency 5 2 2 2 11" xfId="4640" xr:uid="{00000000-0005-0000-0000-00006C0B0000}"/>
    <cellStyle name="Currency 5 2 2 2 11 2" xfId="13090" xr:uid="{8BAC9F1C-8048-4E2C-91B3-0677CA2A5001}"/>
    <cellStyle name="Currency 5 2 2 2 11 3" xfId="21537" xr:uid="{E2D97F2F-6222-44B4-B792-4656337F2C13}"/>
    <cellStyle name="Currency 5 2 2 2 11 4" xfId="29984" xr:uid="{90372D3B-400D-4159-A0FA-3E241F97C9E7}"/>
    <cellStyle name="Currency 5 2 2 2 12" xfId="8872" xr:uid="{0CD3C259-9183-40C1-8398-70F6B9A2DD3A}"/>
    <cellStyle name="Currency 5 2 2 2 13" xfId="17320" xr:uid="{9BDB4864-9A3D-4C67-BCF0-D859C6C848BB}"/>
    <cellStyle name="Currency 5 2 2 2 14" xfId="25767" xr:uid="{5515D02C-1875-4E51-95BE-B5A254AD237B}"/>
    <cellStyle name="Currency 5 2 2 2 2" xfId="197" xr:uid="{00000000-0005-0000-0000-00006D0B0000}"/>
    <cellStyle name="Currency 5 2 2 2 2 10" xfId="4641" xr:uid="{00000000-0005-0000-0000-00006E0B0000}"/>
    <cellStyle name="Currency 5 2 2 2 2 10 2" xfId="13091" xr:uid="{856B3EBF-4BED-4D99-A82F-06F1759C2DB5}"/>
    <cellStyle name="Currency 5 2 2 2 2 10 3" xfId="21538" xr:uid="{D2BF5E28-DC9E-4958-96F9-5705CAEF1871}"/>
    <cellStyle name="Currency 5 2 2 2 2 10 4" xfId="29985" xr:uid="{223E04F1-B2B3-4412-9263-29361CC501DE}"/>
    <cellStyle name="Currency 5 2 2 2 2 11" xfId="8873" xr:uid="{98AEE160-A253-4DB6-BDDD-FFC6DBA6706E}"/>
    <cellStyle name="Currency 5 2 2 2 2 12" xfId="17321" xr:uid="{6A0621EC-BB41-4936-90FB-EEA68BA37AA1}"/>
    <cellStyle name="Currency 5 2 2 2 2 13" xfId="25768" xr:uid="{6FE7787D-3215-499F-AC07-064796B89423}"/>
    <cellStyle name="Currency 5 2 2 2 2 2" xfId="198" xr:uid="{00000000-0005-0000-0000-00006F0B0000}"/>
    <cellStyle name="Currency 5 2 2 2 2 2 10" xfId="8874" xr:uid="{1D29C408-5C32-4AD4-9B63-622A2F8ADBA0}"/>
    <cellStyle name="Currency 5 2 2 2 2 2 11" xfId="17322" xr:uid="{D8DA2D68-E04A-4812-A7F2-B0E014785C8F}"/>
    <cellStyle name="Currency 5 2 2 2 2 2 12" xfId="25769" xr:uid="{231F2416-7B7A-4A6E-84B3-F6DF29320199}"/>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51237D5A-51D9-4310-9058-AA423E23E9D9}"/>
    <cellStyle name="Currency 5 2 2 2 2 2 2 2 2 3" xfId="24098" xr:uid="{482C2CD5-6BCC-49C6-AF48-21CFD438B1E7}"/>
    <cellStyle name="Currency 5 2 2 2 2 2 2 2 2 4" xfId="32545" xr:uid="{85C869AD-9570-4AEF-83D7-6BFDB581E321}"/>
    <cellStyle name="Currency 5 2 2 2 2 2 2 2 3" xfId="11433" xr:uid="{2255BF08-4D0B-463A-8930-A8ADD2FBD888}"/>
    <cellStyle name="Currency 5 2 2 2 2 2 2 2 4" xfId="19881" xr:uid="{DED65757-A24D-4063-937C-157C212B3B8D}"/>
    <cellStyle name="Currency 5 2 2 2 2 2 2 2 5" xfId="28328" xr:uid="{03C1994A-092B-4608-A717-A385856B4188}"/>
    <cellStyle name="Currency 5 2 2 2 2 2 2 3" xfId="5056" xr:uid="{00000000-0005-0000-0000-0000730B0000}"/>
    <cellStyle name="Currency 5 2 2 2 2 2 2 3 2" xfId="13506" xr:uid="{06BA339B-3433-4DB6-8938-AA25AF0C7D3E}"/>
    <cellStyle name="Currency 5 2 2 2 2 2 2 3 3" xfId="21953" xr:uid="{384922DE-7577-49C6-8F8F-13A2567F96D6}"/>
    <cellStyle name="Currency 5 2 2 2 2 2 2 3 4" xfId="30400" xr:uid="{A67FA9C5-C5AC-4ADC-B790-BAFF7D8567DB}"/>
    <cellStyle name="Currency 5 2 2 2 2 2 2 4" xfId="9288" xr:uid="{F6C81F06-388F-4AF1-9282-F02D40B4C92E}"/>
    <cellStyle name="Currency 5 2 2 2 2 2 2 5" xfId="17736" xr:uid="{01728A8F-1100-492F-B327-46CDE016487F}"/>
    <cellStyle name="Currency 5 2 2 2 2 2 2 6" xfId="26183" xr:uid="{019FA03F-61CD-4577-A46E-9E761B13CDBA}"/>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E24ADB2D-22E3-4772-8E85-3E78948D76F1}"/>
    <cellStyle name="Currency 5 2 2 2 2 2 3 2 2 3" xfId="24511" xr:uid="{48DCABBA-9F55-4B14-86AA-8791D95322FF}"/>
    <cellStyle name="Currency 5 2 2 2 2 2 3 2 2 4" xfId="32958" xr:uid="{E4BCCEBB-D3AA-405E-B1CF-A6FDDC02B9E3}"/>
    <cellStyle name="Currency 5 2 2 2 2 2 3 2 3" xfId="11846" xr:uid="{80FD8804-77E0-40D4-8BB9-A5D1A51CF5A6}"/>
    <cellStyle name="Currency 5 2 2 2 2 2 3 2 4" xfId="20294" xr:uid="{C1EC2300-1B43-4E01-BB7B-C5DB1A9DF983}"/>
    <cellStyle name="Currency 5 2 2 2 2 2 3 2 5" xfId="28741" xr:uid="{45C5448C-4506-4207-825A-D3082E0547E8}"/>
    <cellStyle name="Currency 5 2 2 2 2 2 3 3" xfId="5469" xr:uid="{00000000-0005-0000-0000-0000770B0000}"/>
    <cellStyle name="Currency 5 2 2 2 2 2 3 3 2" xfId="13919" xr:uid="{982D6B11-31CE-4754-80B8-93F75E974794}"/>
    <cellStyle name="Currency 5 2 2 2 2 2 3 3 3" xfId="22366" xr:uid="{811F0819-3E44-4A57-817F-43371EDCBFD6}"/>
    <cellStyle name="Currency 5 2 2 2 2 2 3 3 4" xfId="30813" xr:uid="{53990D98-CC02-4993-9521-8F9C91039DC5}"/>
    <cellStyle name="Currency 5 2 2 2 2 2 3 4" xfId="9701" xr:uid="{58E86902-9E02-4874-A321-B22294C971AF}"/>
    <cellStyle name="Currency 5 2 2 2 2 2 3 5" xfId="18149" xr:uid="{0745E859-ED7A-45D4-962F-52177B9DC478}"/>
    <cellStyle name="Currency 5 2 2 2 2 2 3 6" xfId="26596" xr:uid="{39BAFE91-6C54-4848-A2EB-EDDEEAF79CD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5FE9384F-3420-437C-AC60-622160ADE1D3}"/>
    <cellStyle name="Currency 5 2 2 2 2 2 4 2 2 3" xfId="24924" xr:uid="{87C61848-FE94-4EC7-987F-0DD272BF6188}"/>
    <cellStyle name="Currency 5 2 2 2 2 2 4 2 2 4" xfId="33371" xr:uid="{1E8B3F03-E8FB-4F3B-9126-F3E176773006}"/>
    <cellStyle name="Currency 5 2 2 2 2 2 4 2 3" xfId="12259" xr:uid="{AE8509CE-491F-4C60-B4BA-1394525D9C58}"/>
    <cellStyle name="Currency 5 2 2 2 2 2 4 2 4" xfId="20707" xr:uid="{6455AF91-FAE4-4229-A640-E8DFB0932C23}"/>
    <cellStyle name="Currency 5 2 2 2 2 2 4 2 5" xfId="29154" xr:uid="{5CEEDE08-3C49-4258-963F-FA4E1927D8BE}"/>
    <cellStyle name="Currency 5 2 2 2 2 2 4 3" xfId="5882" xr:uid="{00000000-0005-0000-0000-00007B0B0000}"/>
    <cellStyle name="Currency 5 2 2 2 2 2 4 3 2" xfId="14332" xr:uid="{46C4B60D-53CD-4504-A790-1F21A612E3C3}"/>
    <cellStyle name="Currency 5 2 2 2 2 2 4 3 3" xfId="22779" xr:uid="{5147C4FF-2123-48C9-AF5C-189868D31648}"/>
    <cellStyle name="Currency 5 2 2 2 2 2 4 3 4" xfId="31226" xr:uid="{4C3DD666-E8A0-48B9-AC13-C574CDFD2CAE}"/>
    <cellStyle name="Currency 5 2 2 2 2 2 4 4" xfId="10114" xr:uid="{23C56B2A-A15B-49DF-B905-539D41122EAC}"/>
    <cellStyle name="Currency 5 2 2 2 2 2 4 5" xfId="18562" xr:uid="{0DE0E33D-9ACC-4CC9-BB94-C1CAB5C0B8EF}"/>
    <cellStyle name="Currency 5 2 2 2 2 2 4 6" xfId="27009" xr:uid="{D4A16CCE-C8FD-4A82-863B-AA391167F22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BF37D29F-CFF7-4E33-8636-17497356349C}"/>
    <cellStyle name="Currency 5 2 2 2 2 2 5 2 2 3" xfId="25337" xr:uid="{61E33A9D-6F3D-4D34-B43D-5DC87AE24A87}"/>
    <cellStyle name="Currency 5 2 2 2 2 2 5 2 2 4" xfId="33784" xr:uid="{DCC9DBED-B317-4164-A363-5E34734C0405}"/>
    <cellStyle name="Currency 5 2 2 2 2 2 5 2 3" xfId="12672" xr:uid="{D57B12CC-2356-46EB-8808-57CBA08CCA59}"/>
    <cellStyle name="Currency 5 2 2 2 2 2 5 2 4" xfId="21120" xr:uid="{EC2C7147-BFF3-4136-8938-4C115682B10B}"/>
    <cellStyle name="Currency 5 2 2 2 2 2 5 2 5" xfId="29567" xr:uid="{7E8A16BD-7657-4A44-877D-FE74C3F0E9B2}"/>
    <cellStyle name="Currency 5 2 2 2 2 2 5 3" xfId="6295" xr:uid="{00000000-0005-0000-0000-00007F0B0000}"/>
    <cellStyle name="Currency 5 2 2 2 2 2 5 3 2" xfId="14745" xr:uid="{59584DA0-9F60-43F7-9FB7-D626583B4B7E}"/>
    <cellStyle name="Currency 5 2 2 2 2 2 5 3 3" xfId="23192" xr:uid="{22B537BB-8112-4C4C-B98D-C648DAD4CEE6}"/>
    <cellStyle name="Currency 5 2 2 2 2 2 5 3 4" xfId="31639" xr:uid="{DB1F8D4F-73F4-4ACE-91E0-C89B1A693A74}"/>
    <cellStyle name="Currency 5 2 2 2 2 2 5 4" xfId="10527" xr:uid="{3C934DF4-9369-450F-BF40-C7F2F9DC56A4}"/>
    <cellStyle name="Currency 5 2 2 2 2 2 5 5" xfId="18975" xr:uid="{FC54C822-1E2D-4F38-931A-A7653042F07E}"/>
    <cellStyle name="Currency 5 2 2 2 2 2 5 6" xfId="27422" xr:uid="{E89D16AD-91FE-40D2-9625-42A4A23DD059}"/>
    <cellStyle name="Currency 5 2 2 2 2 2 6" xfId="2424" xr:uid="{00000000-0005-0000-0000-0000800B0000}"/>
    <cellStyle name="Currency 5 2 2 2 2 2 6 2" xfId="6708" xr:uid="{00000000-0005-0000-0000-0000810B0000}"/>
    <cellStyle name="Currency 5 2 2 2 2 2 6 2 2" xfId="15158" xr:uid="{9EBD69C2-8925-4677-8689-CB491F436EF8}"/>
    <cellStyle name="Currency 5 2 2 2 2 2 6 2 3" xfId="23605" xr:uid="{F5356AE5-C521-49C3-A96F-6F556DDA194F}"/>
    <cellStyle name="Currency 5 2 2 2 2 2 6 2 4" xfId="32052" xr:uid="{5E69E897-5FB0-4835-A4DF-2474B4F05B3C}"/>
    <cellStyle name="Currency 5 2 2 2 2 2 6 3" xfId="10940" xr:uid="{91F30962-9DC4-4B11-9D14-D1752449F61A}"/>
    <cellStyle name="Currency 5 2 2 2 2 2 6 4" xfId="19388" xr:uid="{63B86ABE-6A0C-41E9-BD28-254DB82D0CAD}"/>
    <cellStyle name="Currency 5 2 2 2 2 2 6 5" xfId="27835" xr:uid="{17DEEB75-77DA-4E98-9855-0D4B70EF0F28}"/>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3D656142-5DC3-40A9-AD9F-CC9E1192791B}"/>
    <cellStyle name="Currency 5 2 2 2 2 2 8 2 3" xfId="23922" xr:uid="{7F8697A5-5958-48B9-A411-D8D4DC387578}"/>
    <cellStyle name="Currency 5 2 2 2 2 2 8 2 4" xfId="32369" xr:uid="{323AA5B0-CEA9-4406-A670-392152B0113C}"/>
    <cellStyle name="Currency 5 2 2 2 2 2 8 3" xfId="11257" xr:uid="{4E48B427-3F51-4671-8324-0C76900D10D4}"/>
    <cellStyle name="Currency 5 2 2 2 2 2 8 4" xfId="19705" xr:uid="{B823C374-5116-4E0A-9ACB-96FD46AE327D}"/>
    <cellStyle name="Currency 5 2 2 2 2 2 8 5" xfId="28152" xr:uid="{BA041D97-005E-400C-AA96-7425E5B67189}"/>
    <cellStyle name="Currency 5 2 2 2 2 2 9" xfId="4642" xr:uid="{00000000-0005-0000-0000-0000850B0000}"/>
    <cellStyle name="Currency 5 2 2 2 2 2 9 2" xfId="13092" xr:uid="{3B9E4E7C-C91A-469A-B581-EBC384FAC2C3}"/>
    <cellStyle name="Currency 5 2 2 2 2 2 9 3" xfId="21539" xr:uid="{35559583-0C9D-4459-86BD-E85980751E83}"/>
    <cellStyle name="Currency 5 2 2 2 2 2 9 4" xfId="29986" xr:uid="{3FFB3860-D82B-44F8-A19F-FA111A5B5581}"/>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DB94DB49-2324-4D0C-9900-D29F05AA4285}"/>
    <cellStyle name="Currency 5 2 2 2 2 3 2 2 3" xfId="24097" xr:uid="{1E4C0D4F-FF34-4924-A3C5-B3492240FF02}"/>
    <cellStyle name="Currency 5 2 2 2 2 3 2 2 4" xfId="32544" xr:uid="{DEB3BF63-4076-4823-B84E-8DD5F584FEE8}"/>
    <cellStyle name="Currency 5 2 2 2 2 3 2 3" xfId="11432" xr:uid="{F720A0E6-71B0-4FAD-BA47-2ABC6385259D}"/>
    <cellStyle name="Currency 5 2 2 2 2 3 2 4" xfId="19880" xr:uid="{75922F8F-4F85-4016-BDA2-640160C547BC}"/>
    <cellStyle name="Currency 5 2 2 2 2 3 2 5" xfId="28327" xr:uid="{D04002CD-0903-4BC6-B9B3-0A84E6B1AF3E}"/>
    <cellStyle name="Currency 5 2 2 2 2 3 3" xfId="5055" xr:uid="{00000000-0005-0000-0000-0000890B0000}"/>
    <cellStyle name="Currency 5 2 2 2 2 3 3 2" xfId="13505" xr:uid="{0C128BA4-901A-4478-9C86-85356ADAE7BF}"/>
    <cellStyle name="Currency 5 2 2 2 2 3 3 3" xfId="21952" xr:uid="{F7AF340D-C311-4091-828D-6B97AC3B9A6D}"/>
    <cellStyle name="Currency 5 2 2 2 2 3 3 4" xfId="30399" xr:uid="{99791A4F-2492-41A9-91CE-95159931F124}"/>
    <cellStyle name="Currency 5 2 2 2 2 3 4" xfId="9287" xr:uid="{4F491013-AECB-4F40-8328-ACD481D85D1A}"/>
    <cellStyle name="Currency 5 2 2 2 2 3 5" xfId="17735" xr:uid="{8CE8D6FF-879E-4A30-8968-14852BDC18BE}"/>
    <cellStyle name="Currency 5 2 2 2 2 3 6" xfId="26182" xr:uid="{FB33371C-3520-4220-889E-E6727D97B86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5315D076-810B-4C7A-9F9F-C2BBDF38FF84}"/>
    <cellStyle name="Currency 5 2 2 2 2 4 2 2 3" xfId="24510" xr:uid="{96460836-265F-47E3-AABD-3FA7218F66EF}"/>
    <cellStyle name="Currency 5 2 2 2 2 4 2 2 4" xfId="32957" xr:uid="{ED0D96C8-3F70-4123-AFCF-9F340004585B}"/>
    <cellStyle name="Currency 5 2 2 2 2 4 2 3" xfId="11845" xr:uid="{CF47955C-D5CC-4FDD-8ACD-10E37BE003B9}"/>
    <cellStyle name="Currency 5 2 2 2 2 4 2 4" xfId="20293" xr:uid="{C94B9668-92F4-4FF9-A369-C47864080ACD}"/>
    <cellStyle name="Currency 5 2 2 2 2 4 2 5" xfId="28740" xr:uid="{C5745B3B-4E09-4F81-8223-F0E31DFC2943}"/>
    <cellStyle name="Currency 5 2 2 2 2 4 3" xfId="5468" xr:uid="{00000000-0005-0000-0000-00008D0B0000}"/>
    <cellStyle name="Currency 5 2 2 2 2 4 3 2" xfId="13918" xr:uid="{544493FB-BF65-409E-A611-6BE72EB5C970}"/>
    <cellStyle name="Currency 5 2 2 2 2 4 3 3" xfId="22365" xr:uid="{76D402CA-D43E-4453-BAE0-9A9A09E0C9AF}"/>
    <cellStyle name="Currency 5 2 2 2 2 4 3 4" xfId="30812" xr:uid="{D37510EF-709E-41E9-87DA-60C2A2EEFEBE}"/>
    <cellStyle name="Currency 5 2 2 2 2 4 4" xfId="9700" xr:uid="{1B3BB55D-D43C-4321-9D32-951530D9240E}"/>
    <cellStyle name="Currency 5 2 2 2 2 4 5" xfId="18148" xr:uid="{F1F4C8DE-268E-4AF5-9DED-152C913DA857}"/>
    <cellStyle name="Currency 5 2 2 2 2 4 6" xfId="26595" xr:uid="{281EAF9C-DFDB-434C-B88B-742E7068B66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E06C39A9-FB17-4A3D-9169-5687CEF4664A}"/>
    <cellStyle name="Currency 5 2 2 2 2 5 2 2 3" xfId="24923" xr:uid="{77D1010C-1487-4E3B-B831-8AE5735BBF32}"/>
    <cellStyle name="Currency 5 2 2 2 2 5 2 2 4" xfId="33370" xr:uid="{933A6384-2F63-453A-8895-3E3942F511F2}"/>
    <cellStyle name="Currency 5 2 2 2 2 5 2 3" xfId="12258" xr:uid="{287CAA32-4D4D-412E-BC0C-0D7801AD13C3}"/>
    <cellStyle name="Currency 5 2 2 2 2 5 2 4" xfId="20706" xr:uid="{CA914DD0-2916-4561-A3E8-9253D6ECA825}"/>
    <cellStyle name="Currency 5 2 2 2 2 5 2 5" xfId="29153" xr:uid="{FA8B034C-954A-4855-A2CB-6838A07304C9}"/>
    <cellStyle name="Currency 5 2 2 2 2 5 3" xfId="5881" xr:uid="{00000000-0005-0000-0000-0000910B0000}"/>
    <cellStyle name="Currency 5 2 2 2 2 5 3 2" xfId="14331" xr:uid="{648BEB44-F7DB-4958-B8F3-73CAA1E31148}"/>
    <cellStyle name="Currency 5 2 2 2 2 5 3 3" xfId="22778" xr:uid="{82502689-FB8F-424B-BF77-94C3A90064A4}"/>
    <cellStyle name="Currency 5 2 2 2 2 5 3 4" xfId="31225" xr:uid="{F018EF77-F5BC-4483-A47B-2F822C3A2533}"/>
    <cellStyle name="Currency 5 2 2 2 2 5 4" xfId="10113" xr:uid="{51D64964-AF03-47FE-82DD-F2D41C0E5004}"/>
    <cellStyle name="Currency 5 2 2 2 2 5 5" xfId="18561" xr:uid="{25691555-6D63-44A2-A57E-1CAFD55A7DCE}"/>
    <cellStyle name="Currency 5 2 2 2 2 5 6" xfId="27008" xr:uid="{51069277-7FAD-4550-8D44-7EFD4F62E86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881A0BFE-D0DD-4443-B573-A3EB6AF29B0D}"/>
    <cellStyle name="Currency 5 2 2 2 2 6 2 2 3" xfId="25336" xr:uid="{3676B6EA-65BB-4B12-8738-CC4E85D721BF}"/>
    <cellStyle name="Currency 5 2 2 2 2 6 2 2 4" xfId="33783" xr:uid="{CECFB583-0B65-42E8-9AC6-886A602B2DD6}"/>
    <cellStyle name="Currency 5 2 2 2 2 6 2 3" xfId="12671" xr:uid="{E5B7A5EE-D515-4191-BABB-7850CF854DBA}"/>
    <cellStyle name="Currency 5 2 2 2 2 6 2 4" xfId="21119" xr:uid="{751AFBDB-0CA2-450D-AFF1-C59F09E17E02}"/>
    <cellStyle name="Currency 5 2 2 2 2 6 2 5" xfId="29566" xr:uid="{AE4B2658-BAA1-4ED1-B767-73D039DAE509}"/>
    <cellStyle name="Currency 5 2 2 2 2 6 3" xfId="6294" xr:uid="{00000000-0005-0000-0000-0000950B0000}"/>
    <cellStyle name="Currency 5 2 2 2 2 6 3 2" xfId="14744" xr:uid="{2CF4627D-4F69-487C-81D7-DD25E6C7F92F}"/>
    <cellStyle name="Currency 5 2 2 2 2 6 3 3" xfId="23191" xr:uid="{095C08D4-1A63-4043-92F9-2B6909195E95}"/>
    <cellStyle name="Currency 5 2 2 2 2 6 3 4" xfId="31638" xr:uid="{985503FF-E09D-450A-8629-594F3FCAFCD1}"/>
    <cellStyle name="Currency 5 2 2 2 2 6 4" xfId="10526" xr:uid="{10646F1A-7519-4F01-A170-BC1D36AC188C}"/>
    <cellStyle name="Currency 5 2 2 2 2 6 5" xfId="18974" xr:uid="{054A36C2-2CAF-4DD8-8B92-5CDB94F2AE8E}"/>
    <cellStyle name="Currency 5 2 2 2 2 6 6" xfId="27421" xr:uid="{E970084C-59FF-4B84-8EB9-D10089CF3745}"/>
    <cellStyle name="Currency 5 2 2 2 2 7" xfId="2423" xr:uid="{00000000-0005-0000-0000-0000960B0000}"/>
    <cellStyle name="Currency 5 2 2 2 2 7 2" xfId="6707" xr:uid="{00000000-0005-0000-0000-0000970B0000}"/>
    <cellStyle name="Currency 5 2 2 2 2 7 2 2" xfId="15157" xr:uid="{049BB6EB-691A-4D63-91BD-CACDB63F32E9}"/>
    <cellStyle name="Currency 5 2 2 2 2 7 2 3" xfId="23604" xr:uid="{1CE60F07-69C3-4176-BF91-E1A0CEE58B4D}"/>
    <cellStyle name="Currency 5 2 2 2 2 7 2 4" xfId="32051" xr:uid="{DBB426FA-7B23-4538-8DC9-99E2AD8CE010}"/>
    <cellStyle name="Currency 5 2 2 2 2 7 3" xfId="10939" xr:uid="{C705BDC1-E892-44E8-8021-D6BD1116BFA9}"/>
    <cellStyle name="Currency 5 2 2 2 2 7 4" xfId="19387" xr:uid="{D01A33BF-2782-4F30-A95C-F61397BD0414}"/>
    <cellStyle name="Currency 5 2 2 2 2 7 5" xfId="27834" xr:uid="{DE6B9F87-B234-4B02-8C8E-3CE44DE9AA8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35355261-E7D6-4204-86AB-33DB7F93A2A9}"/>
    <cellStyle name="Currency 5 2 2 2 2 9 2 3" xfId="23921" xr:uid="{360B538D-3C7C-40DE-9729-3EDE124CFA26}"/>
    <cellStyle name="Currency 5 2 2 2 2 9 2 4" xfId="32368" xr:uid="{E9BD8C1C-ABDA-4E6E-A2E7-CF9BEC9E1278}"/>
    <cellStyle name="Currency 5 2 2 2 2 9 3" xfId="11256" xr:uid="{CE0CCB3B-3E2F-4DE0-9B65-79ADC008ADBE}"/>
    <cellStyle name="Currency 5 2 2 2 2 9 4" xfId="19704" xr:uid="{F3BF95FD-DB3B-4E16-B0F1-3ED019442811}"/>
    <cellStyle name="Currency 5 2 2 2 2 9 5" xfId="28151" xr:uid="{982CF823-6472-4B8C-8717-1F0D55AD45A7}"/>
    <cellStyle name="Currency 5 2 2 2 3" xfId="199" xr:uid="{00000000-0005-0000-0000-00009B0B0000}"/>
    <cellStyle name="Currency 5 2 2 2 3 10" xfId="8875" xr:uid="{A4E7D6B1-DFEC-479D-A721-5915D2A2D0DE}"/>
    <cellStyle name="Currency 5 2 2 2 3 11" xfId="17323" xr:uid="{9552F735-61CC-490F-B464-55C372820C94}"/>
    <cellStyle name="Currency 5 2 2 2 3 12" xfId="25770" xr:uid="{41AB6B00-10B7-416A-A2B4-5551EF5D56E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8A24E2D8-9F2A-4522-941C-D4E857074DB1}"/>
    <cellStyle name="Currency 5 2 2 2 3 2 2 2 3" xfId="24099" xr:uid="{4321D834-F393-42E2-9DF2-9D18CE241E42}"/>
    <cellStyle name="Currency 5 2 2 2 3 2 2 2 4" xfId="32546" xr:uid="{FB3126F7-47CA-489C-8095-BB8393AFFD1C}"/>
    <cellStyle name="Currency 5 2 2 2 3 2 2 3" xfId="11434" xr:uid="{F9E503BB-F936-4B5A-AB19-B22D1309DE77}"/>
    <cellStyle name="Currency 5 2 2 2 3 2 2 4" xfId="19882" xr:uid="{62D93431-0ABA-4A17-9855-ECCEED47E967}"/>
    <cellStyle name="Currency 5 2 2 2 3 2 2 5" xfId="28329" xr:uid="{F7241189-1DD1-4469-AE72-E0CB9859BCD6}"/>
    <cellStyle name="Currency 5 2 2 2 3 2 3" xfId="5057" xr:uid="{00000000-0005-0000-0000-00009F0B0000}"/>
    <cellStyle name="Currency 5 2 2 2 3 2 3 2" xfId="13507" xr:uid="{7DF5E92F-6C06-42C7-AC4E-6512DD7A611D}"/>
    <cellStyle name="Currency 5 2 2 2 3 2 3 3" xfId="21954" xr:uid="{7D761717-B0DE-42A5-9E2C-457E9F7CAC56}"/>
    <cellStyle name="Currency 5 2 2 2 3 2 3 4" xfId="30401" xr:uid="{40A15E83-BFF0-48FF-979B-77E823503CB3}"/>
    <cellStyle name="Currency 5 2 2 2 3 2 4" xfId="9289" xr:uid="{E60BD421-5808-4FB0-839F-19BCDAE9166B}"/>
    <cellStyle name="Currency 5 2 2 2 3 2 5" xfId="17737" xr:uid="{08B57E2D-97F4-4DB4-9ADC-4949207A4ACB}"/>
    <cellStyle name="Currency 5 2 2 2 3 2 6" xfId="26184" xr:uid="{C97372CA-3172-4439-8A6B-6BE403FF33C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6A2F0E83-4C70-4A72-94F8-D9088150A779}"/>
    <cellStyle name="Currency 5 2 2 2 3 3 2 2 3" xfId="24512" xr:uid="{9A599DD2-0E7C-47D6-BD9B-D6115C985531}"/>
    <cellStyle name="Currency 5 2 2 2 3 3 2 2 4" xfId="32959" xr:uid="{9009FB3F-2989-4D64-A0BC-CB96E7B6F91C}"/>
    <cellStyle name="Currency 5 2 2 2 3 3 2 3" xfId="11847" xr:uid="{21967112-732D-44C8-B940-439586D5A983}"/>
    <cellStyle name="Currency 5 2 2 2 3 3 2 4" xfId="20295" xr:uid="{A037C591-61C4-401E-8D3B-A6B1DE2C1BD0}"/>
    <cellStyle name="Currency 5 2 2 2 3 3 2 5" xfId="28742" xr:uid="{0C80606D-3430-4093-9BF3-BB76CD3C65FF}"/>
    <cellStyle name="Currency 5 2 2 2 3 3 3" xfId="5470" xr:uid="{00000000-0005-0000-0000-0000A30B0000}"/>
    <cellStyle name="Currency 5 2 2 2 3 3 3 2" xfId="13920" xr:uid="{9C27F12C-2A2E-4823-B67E-2DCC8D198EA1}"/>
    <cellStyle name="Currency 5 2 2 2 3 3 3 3" xfId="22367" xr:uid="{0D1D8423-47F4-4EFF-BB69-D64F436DBC3B}"/>
    <cellStyle name="Currency 5 2 2 2 3 3 3 4" xfId="30814" xr:uid="{5BA52953-9880-46C1-A136-4C2CB7A4A4E5}"/>
    <cellStyle name="Currency 5 2 2 2 3 3 4" xfId="9702" xr:uid="{94FE233C-3BFD-47D8-9A67-90E216F2BA8A}"/>
    <cellStyle name="Currency 5 2 2 2 3 3 5" xfId="18150" xr:uid="{FB0BF9EB-081F-4948-B51E-630CB562B3B8}"/>
    <cellStyle name="Currency 5 2 2 2 3 3 6" xfId="26597" xr:uid="{442A7857-EDDE-4E41-9319-0015FACCDC64}"/>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4FED9A0D-811F-4C8E-B490-EA46FE327E65}"/>
    <cellStyle name="Currency 5 2 2 2 3 4 2 2 3" xfId="24925" xr:uid="{4963D723-86CF-4A6E-9545-AE010A88A5C6}"/>
    <cellStyle name="Currency 5 2 2 2 3 4 2 2 4" xfId="33372" xr:uid="{93160065-E1C4-4509-9A9D-1668ACFF1A53}"/>
    <cellStyle name="Currency 5 2 2 2 3 4 2 3" xfId="12260" xr:uid="{8E90DEC0-4D6D-44B8-B703-2F25DDE60C6C}"/>
    <cellStyle name="Currency 5 2 2 2 3 4 2 4" xfId="20708" xr:uid="{C48ED3D1-D109-414E-B5D1-5D75B058634A}"/>
    <cellStyle name="Currency 5 2 2 2 3 4 2 5" xfId="29155" xr:uid="{5A0E48D9-9561-4F45-990A-A2073DA2302B}"/>
    <cellStyle name="Currency 5 2 2 2 3 4 3" xfId="5883" xr:uid="{00000000-0005-0000-0000-0000A70B0000}"/>
    <cellStyle name="Currency 5 2 2 2 3 4 3 2" xfId="14333" xr:uid="{3697E862-B0DB-4B7C-B0F1-07A22066CB64}"/>
    <cellStyle name="Currency 5 2 2 2 3 4 3 3" xfId="22780" xr:uid="{51EE8ACF-5800-49A4-A05D-3501B35D7EB7}"/>
    <cellStyle name="Currency 5 2 2 2 3 4 3 4" xfId="31227" xr:uid="{D872526F-32FC-4842-9DD9-FAEECE41ADCB}"/>
    <cellStyle name="Currency 5 2 2 2 3 4 4" xfId="10115" xr:uid="{CA8C403A-BCB0-4921-AFD0-94CD45003308}"/>
    <cellStyle name="Currency 5 2 2 2 3 4 5" xfId="18563" xr:uid="{9F97BF36-67D3-418F-AF4C-A0611B9DF45E}"/>
    <cellStyle name="Currency 5 2 2 2 3 4 6" xfId="27010" xr:uid="{99047F6B-5AA1-498F-8F4C-CE67686E425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89AACE2D-14BA-4943-BC04-C99E02D55B2C}"/>
    <cellStyle name="Currency 5 2 2 2 3 5 2 2 3" xfId="25338" xr:uid="{88B33D38-73DB-4C72-A15C-DBBE288CA2DF}"/>
    <cellStyle name="Currency 5 2 2 2 3 5 2 2 4" xfId="33785" xr:uid="{CA8AC04B-523B-4358-B64A-55FFAEAA6764}"/>
    <cellStyle name="Currency 5 2 2 2 3 5 2 3" xfId="12673" xr:uid="{F45D4D4E-4E84-480D-8F6D-1CC66E51723C}"/>
    <cellStyle name="Currency 5 2 2 2 3 5 2 4" xfId="21121" xr:uid="{F6C9F2FE-6B1F-4FB3-963F-701E9F594273}"/>
    <cellStyle name="Currency 5 2 2 2 3 5 2 5" xfId="29568" xr:uid="{C83C6537-9BEC-4923-BBD7-138F877A6210}"/>
    <cellStyle name="Currency 5 2 2 2 3 5 3" xfId="6296" xr:uid="{00000000-0005-0000-0000-0000AB0B0000}"/>
    <cellStyle name="Currency 5 2 2 2 3 5 3 2" xfId="14746" xr:uid="{594F4BCB-5DF8-4968-8568-4FA4D8D6B22B}"/>
    <cellStyle name="Currency 5 2 2 2 3 5 3 3" xfId="23193" xr:uid="{8393C59E-2FCA-4F36-81FF-A8185FD7C547}"/>
    <cellStyle name="Currency 5 2 2 2 3 5 3 4" xfId="31640" xr:uid="{C96DA021-6D94-483D-A73E-E16387480384}"/>
    <cellStyle name="Currency 5 2 2 2 3 5 4" xfId="10528" xr:uid="{A7475B10-767D-4BFE-8FEE-BBBBF683779E}"/>
    <cellStyle name="Currency 5 2 2 2 3 5 5" xfId="18976" xr:uid="{64A7B719-E170-46C6-894C-8D65524FA778}"/>
    <cellStyle name="Currency 5 2 2 2 3 5 6" xfId="27423" xr:uid="{942DFC3D-B5FE-4AC3-8BEA-1D9181E79974}"/>
    <cellStyle name="Currency 5 2 2 2 3 6" xfId="2425" xr:uid="{00000000-0005-0000-0000-0000AC0B0000}"/>
    <cellStyle name="Currency 5 2 2 2 3 6 2" xfId="6709" xr:uid="{00000000-0005-0000-0000-0000AD0B0000}"/>
    <cellStyle name="Currency 5 2 2 2 3 6 2 2" xfId="15159" xr:uid="{7B5C6BC1-C3FE-4FD2-8B72-037940E2C9C3}"/>
    <cellStyle name="Currency 5 2 2 2 3 6 2 3" xfId="23606" xr:uid="{9F38602D-0306-4C8B-8C7E-C48E5F9FF2C7}"/>
    <cellStyle name="Currency 5 2 2 2 3 6 2 4" xfId="32053" xr:uid="{A8CCD6AF-6E84-4A60-891E-3A09FC49D0D2}"/>
    <cellStyle name="Currency 5 2 2 2 3 6 3" xfId="10941" xr:uid="{25A4689E-5981-4376-8258-EC66B537E46D}"/>
    <cellStyle name="Currency 5 2 2 2 3 6 4" xfId="19389" xr:uid="{1B2E42A1-D973-47E6-A94E-B1FFDA87494B}"/>
    <cellStyle name="Currency 5 2 2 2 3 6 5" xfId="27836" xr:uid="{B95CBD2D-84FC-4A4C-BC77-D44D8F40EE47}"/>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2EFE7DD8-7FD4-49D8-8A98-ED4BF5681C61}"/>
    <cellStyle name="Currency 5 2 2 2 3 8 2 3" xfId="23923" xr:uid="{88507BBE-D119-48E8-AE43-1C4F83112F43}"/>
    <cellStyle name="Currency 5 2 2 2 3 8 2 4" xfId="32370" xr:uid="{566AAC5C-3B49-44DB-82CA-EDE81CE6338B}"/>
    <cellStyle name="Currency 5 2 2 2 3 8 3" xfId="11258" xr:uid="{D09F81D7-EAE4-4217-B9E7-9BA04CFE95CD}"/>
    <cellStyle name="Currency 5 2 2 2 3 8 4" xfId="19706" xr:uid="{F57B7BD9-352E-4474-8FAF-EB4938FBADCC}"/>
    <cellStyle name="Currency 5 2 2 2 3 8 5" xfId="28153" xr:uid="{F27A0F64-B641-4E46-98A6-D6E947A04E72}"/>
    <cellStyle name="Currency 5 2 2 2 3 9" xfId="4643" xr:uid="{00000000-0005-0000-0000-0000B10B0000}"/>
    <cellStyle name="Currency 5 2 2 2 3 9 2" xfId="13093" xr:uid="{E537F91D-FFE6-4091-BF59-720AA7177B5B}"/>
    <cellStyle name="Currency 5 2 2 2 3 9 3" xfId="21540" xr:uid="{579935E8-19C0-4096-9A62-865366F479A2}"/>
    <cellStyle name="Currency 5 2 2 2 3 9 4" xfId="29987" xr:uid="{8AD06C00-2C7F-4832-94BB-0EED2AF4F518}"/>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A0C2D145-0A66-4BD5-8F41-AE278F5CAFBB}"/>
    <cellStyle name="Currency 5 2 2 2 4 2 2 3" xfId="24096" xr:uid="{8E4EBFEE-DF77-48B0-BB97-45C76E587FEC}"/>
    <cellStyle name="Currency 5 2 2 2 4 2 2 4" xfId="32543" xr:uid="{BF5C54CF-7582-438D-B692-2822CB16A98D}"/>
    <cellStyle name="Currency 5 2 2 2 4 2 3" xfId="11431" xr:uid="{047FCA02-92A8-4B37-B377-45B0BB44A25A}"/>
    <cellStyle name="Currency 5 2 2 2 4 2 4" xfId="19879" xr:uid="{1CEF6DD0-28BC-429F-99C8-ACAC7404763D}"/>
    <cellStyle name="Currency 5 2 2 2 4 2 5" xfId="28326" xr:uid="{C0B7634D-4787-4D0E-B4AF-983F6AA3BF9D}"/>
    <cellStyle name="Currency 5 2 2 2 4 3" xfId="5054" xr:uid="{00000000-0005-0000-0000-0000B50B0000}"/>
    <cellStyle name="Currency 5 2 2 2 4 3 2" xfId="13504" xr:uid="{B5A157DA-5592-4BE0-A193-CA1A5361684E}"/>
    <cellStyle name="Currency 5 2 2 2 4 3 3" xfId="21951" xr:uid="{C8859475-BC58-4AC6-A99B-7AAE7B4810BE}"/>
    <cellStyle name="Currency 5 2 2 2 4 3 4" xfId="30398" xr:uid="{90C3E730-7EC0-4E28-B5E4-789C5D7F7E12}"/>
    <cellStyle name="Currency 5 2 2 2 4 4" xfId="9286" xr:uid="{079251D1-36B7-40C9-8AF7-C8E503287084}"/>
    <cellStyle name="Currency 5 2 2 2 4 5" xfId="17734" xr:uid="{F03A3A26-055E-4A65-8276-993198CA73B3}"/>
    <cellStyle name="Currency 5 2 2 2 4 6" xfId="26181" xr:uid="{0CE4540A-8F77-4DAB-9A4F-A25534CD89BF}"/>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BA1F4224-2768-466C-81E4-DA9B98F0BADE}"/>
    <cellStyle name="Currency 5 2 2 2 5 2 2 3" xfId="24509" xr:uid="{B70BF170-6401-41DD-BB4E-6681B795BE96}"/>
    <cellStyle name="Currency 5 2 2 2 5 2 2 4" xfId="32956" xr:uid="{5DAF9E5F-4701-40E9-9518-7913461028A7}"/>
    <cellStyle name="Currency 5 2 2 2 5 2 3" xfId="11844" xr:uid="{8F47B22B-5878-4665-B156-7EFA4D6E067A}"/>
    <cellStyle name="Currency 5 2 2 2 5 2 4" xfId="20292" xr:uid="{45FDA329-52EE-4284-A8FB-B7890EBEBBEF}"/>
    <cellStyle name="Currency 5 2 2 2 5 2 5" xfId="28739" xr:uid="{9A071EA8-DDBB-4F85-A518-A6B2309BAFD4}"/>
    <cellStyle name="Currency 5 2 2 2 5 3" xfId="5467" xr:uid="{00000000-0005-0000-0000-0000B90B0000}"/>
    <cellStyle name="Currency 5 2 2 2 5 3 2" xfId="13917" xr:uid="{AEF2B835-5E18-402A-816E-9E21E0589BEA}"/>
    <cellStyle name="Currency 5 2 2 2 5 3 3" xfId="22364" xr:uid="{52F003C6-D996-49BD-BDC8-2B9DE5516ACB}"/>
    <cellStyle name="Currency 5 2 2 2 5 3 4" xfId="30811" xr:uid="{86C9CBC6-6C07-4047-B744-09671243E9AC}"/>
    <cellStyle name="Currency 5 2 2 2 5 4" xfId="9699" xr:uid="{CBF3A941-4A74-49A0-BB40-B4A7B4CCE3D1}"/>
    <cellStyle name="Currency 5 2 2 2 5 5" xfId="18147" xr:uid="{DB8D2A27-B10D-4170-A68C-5A0BD59DBC11}"/>
    <cellStyle name="Currency 5 2 2 2 5 6" xfId="26594" xr:uid="{4D8FEA9F-B022-4531-9CC0-71970576137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C3A0FC7E-06A5-4F0C-ABC7-238B15287209}"/>
    <cellStyle name="Currency 5 2 2 2 6 2 2 3" xfId="24922" xr:uid="{04AFBDEE-5AC4-4233-99AD-39B4F1D86EF0}"/>
    <cellStyle name="Currency 5 2 2 2 6 2 2 4" xfId="33369" xr:uid="{50BD848C-F5A8-478C-A22C-DBE8BAE5276A}"/>
    <cellStyle name="Currency 5 2 2 2 6 2 3" xfId="12257" xr:uid="{E5143690-0D06-41CA-8335-52F96A03D0D0}"/>
    <cellStyle name="Currency 5 2 2 2 6 2 4" xfId="20705" xr:uid="{A8E9B5BB-5AAB-4B76-BD5A-7CBF96709082}"/>
    <cellStyle name="Currency 5 2 2 2 6 2 5" xfId="29152" xr:uid="{5F965061-DC56-4592-BD2A-FCC981130537}"/>
    <cellStyle name="Currency 5 2 2 2 6 3" xfId="5880" xr:uid="{00000000-0005-0000-0000-0000BD0B0000}"/>
    <cellStyle name="Currency 5 2 2 2 6 3 2" xfId="14330" xr:uid="{2CAC9F31-5AB8-4CCE-8650-4C372537F333}"/>
    <cellStyle name="Currency 5 2 2 2 6 3 3" xfId="22777" xr:uid="{4095CCAD-AA9E-4BD7-87B3-7109574C20AF}"/>
    <cellStyle name="Currency 5 2 2 2 6 3 4" xfId="31224" xr:uid="{F2C5A99D-C040-49EF-9B6B-EEF553AED977}"/>
    <cellStyle name="Currency 5 2 2 2 6 4" xfId="10112" xr:uid="{7DAE79A3-A2EF-4F69-A83D-7A31E4B5B56B}"/>
    <cellStyle name="Currency 5 2 2 2 6 5" xfId="18560" xr:uid="{EA984940-CC88-4BB8-B442-3B7885471B1E}"/>
    <cellStyle name="Currency 5 2 2 2 6 6" xfId="27007" xr:uid="{4EB2AD93-271A-4DFE-86A2-2523C552517A}"/>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98D0DAF-6A58-494F-A6BB-A4C40CA520ED}"/>
    <cellStyle name="Currency 5 2 2 2 7 2 2 3" xfId="25335" xr:uid="{EBF69C65-02B9-42DB-B4E2-6D0EE80269AD}"/>
    <cellStyle name="Currency 5 2 2 2 7 2 2 4" xfId="33782" xr:uid="{B04BA53F-3707-43B3-8401-0EA6ED78F999}"/>
    <cellStyle name="Currency 5 2 2 2 7 2 3" xfId="12670" xr:uid="{2CF3DE29-DB96-45D2-9C6E-D2445A95A1D7}"/>
    <cellStyle name="Currency 5 2 2 2 7 2 4" xfId="21118" xr:uid="{5D388732-A7B2-47AA-ADEB-5117AA81C4A0}"/>
    <cellStyle name="Currency 5 2 2 2 7 2 5" xfId="29565" xr:uid="{CACD58EF-BCAC-430D-B8B6-0628149CBD51}"/>
    <cellStyle name="Currency 5 2 2 2 7 3" xfId="6293" xr:uid="{00000000-0005-0000-0000-0000C10B0000}"/>
    <cellStyle name="Currency 5 2 2 2 7 3 2" xfId="14743" xr:uid="{A460BAAF-8640-40D9-A73F-07B7451F6020}"/>
    <cellStyle name="Currency 5 2 2 2 7 3 3" xfId="23190" xr:uid="{9564CDFE-381D-48B4-BCFA-54FE8B292965}"/>
    <cellStyle name="Currency 5 2 2 2 7 3 4" xfId="31637" xr:uid="{27E5300D-063A-4427-85E0-80B0E697DB1F}"/>
    <cellStyle name="Currency 5 2 2 2 7 4" xfId="10525" xr:uid="{4EED52B1-5B0D-4035-8475-5FA999149187}"/>
    <cellStyle name="Currency 5 2 2 2 7 5" xfId="18973" xr:uid="{1BD7BDDA-7A49-4C5B-9240-8BB0FCAB84D2}"/>
    <cellStyle name="Currency 5 2 2 2 7 6" xfId="27420" xr:uid="{CD9FD1BF-30CE-42D4-928A-CC2C4B59CE8D}"/>
    <cellStyle name="Currency 5 2 2 2 8" xfId="2422" xr:uid="{00000000-0005-0000-0000-0000C20B0000}"/>
    <cellStyle name="Currency 5 2 2 2 8 2" xfId="6706" xr:uid="{00000000-0005-0000-0000-0000C30B0000}"/>
    <cellStyle name="Currency 5 2 2 2 8 2 2" xfId="15156" xr:uid="{8482CC18-1514-4856-BBC8-51FDB5D33D19}"/>
    <cellStyle name="Currency 5 2 2 2 8 2 3" xfId="23603" xr:uid="{50FBE841-E75C-4F72-88BD-9F2355B62BBC}"/>
    <cellStyle name="Currency 5 2 2 2 8 2 4" xfId="32050" xr:uid="{1079838D-A342-45E1-8BB3-1FCB4A4038A0}"/>
    <cellStyle name="Currency 5 2 2 2 8 3" xfId="10938" xr:uid="{AB5D9FCE-66E3-42D1-951B-F44F394A29E8}"/>
    <cellStyle name="Currency 5 2 2 2 8 4" xfId="19386" xr:uid="{75D0EA98-2F92-4988-8310-8E56BFE03102}"/>
    <cellStyle name="Currency 5 2 2 2 8 5" xfId="27833" xr:uid="{772195C8-7063-455B-A53B-D0BCB6A1909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715BE02C-C5E8-4097-B340-43BBEF3FE56D}"/>
    <cellStyle name="Currency 5 2 2 3 10 3" xfId="21541" xr:uid="{512EB85C-3408-4FC5-8CB6-48ABBAD0BCEF}"/>
    <cellStyle name="Currency 5 2 2 3 10 4" xfId="29988" xr:uid="{79FB200F-4838-407A-99D8-2780A15D55F8}"/>
    <cellStyle name="Currency 5 2 2 3 11" xfId="8876" xr:uid="{10AEE55B-357C-441A-A100-AFDD813A9748}"/>
    <cellStyle name="Currency 5 2 2 3 12" xfId="17324" xr:uid="{959A7A90-5E48-4CAC-B4D4-48291E7DABFE}"/>
    <cellStyle name="Currency 5 2 2 3 13" xfId="25771" xr:uid="{5ECBE370-99E3-43B6-86D4-C21DC42A9AB8}"/>
    <cellStyle name="Currency 5 2 2 3 2" xfId="201" xr:uid="{00000000-0005-0000-0000-0000C70B0000}"/>
    <cellStyle name="Currency 5 2 2 3 2 10" xfId="8877" xr:uid="{EA59E5AF-794D-4CB9-87A4-1D0597E9EE0C}"/>
    <cellStyle name="Currency 5 2 2 3 2 11" xfId="17325" xr:uid="{88307AA1-103B-4942-84D2-91545E49B50B}"/>
    <cellStyle name="Currency 5 2 2 3 2 12" xfId="25772" xr:uid="{70AB2D47-6027-4401-90C2-D9BCAE1E03F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F848F478-FC42-4A4D-99BF-C786D82E49CD}"/>
    <cellStyle name="Currency 5 2 2 3 2 2 2 2 3" xfId="24101" xr:uid="{22A51846-6A6E-4E71-BF0D-9D41CDC07946}"/>
    <cellStyle name="Currency 5 2 2 3 2 2 2 2 4" xfId="32548" xr:uid="{7830DE4A-40D8-40C4-AEE8-B91C7E2BCA31}"/>
    <cellStyle name="Currency 5 2 2 3 2 2 2 3" xfId="11436" xr:uid="{2E550725-2875-4AB8-B45D-882C3AC4C85D}"/>
    <cellStyle name="Currency 5 2 2 3 2 2 2 4" xfId="19884" xr:uid="{662205F7-9E05-4914-BA08-F53248783D2F}"/>
    <cellStyle name="Currency 5 2 2 3 2 2 2 5" xfId="28331" xr:uid="{66C822B6-163C-4809-A186-E5858DD30D67}"/>
    <cellStyle name="Currency 5 2 2 3 2 2 3" xfId="5059" xr:uid="{00000000-0005-0000-0000-0000CB0B0000}"/>
    <cellStyle name="Currency 5 2 2 3 2 2 3 2" xfId="13509" xr:uid="{625AFA45-23AE-428D-9575-0F1B77F8B1A2}"/>
    <cellStyle name="Currency 5 2 2 3 2 2 3 3" xfId="21956" xr:uid="{89D5E174-559B-4F7A-8360-55977A3F8E6A}"/>
    <cellStyle name="Currency 5 2 2 3 2 2 3 4" xfId="30403" xr:uid="{4F11FF9C-27B6-4FC1-8EDA-E9E5057478A6}"/>
    <cellStyle name="Currency 5 2 2 3 2 2 4" xfId="9291" xr:uid="{7F5867EB-7719-40A8-BC0E-41F26D82D375}"/>
    <cellStyle name="Currency 5 2 2 3 2 2 5" xfId="17739" xr:uid="{A59015B1-C54D-4AA2-8F01-DB33E24917DE}"/>
    <cellStyle name="Currency 5 2 2 3 2 2 6" xfId="26186" xr:uid="{3D9ECE6F-0E83-4A0F-B565-BD321261DE61}"/>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AEB3CE73-CB85-4793-A6E0-DF938493C40B}"/>
    <cellStyle name="Currency 5 2 2 3 2 3 2 2 3" xfId="24514" xr:uid="{062C5A5E-D26D-4358-BF17-55820A5C5869}"/>
    <cellStyle name="Currency 5 2 2 3 2 3 2 2 4" xfId="32961" xr:uid="{AA752B9A-4A23-4525-BB42-FB30B5460227}"/>
    <cellStyle name="Currency 5 2 2 3 2 3 2 3" xfId="11849" xr:uid="{67F58394-162F-4099-ABAE-AEAFC24F8990}"/>
    <cellStyle name="Currency 5 2 2 3 2 3 2 4" xfId="20297" xr:uid="{897AF0AB-6BA8-4D6C-B7A8-88214C0301FB}"/>
    <cellStyle name="Currency 5 2 2 3 2 3 2 5" xfId="28744" xr:uid="{C7C0EDD9-C9C6-40F4-A2F6-82223ABA837B}"/>
    <cellStyle name="Currency 5 2 2 3 2 3 3" xfId="5472" xr:uid="{00000000-0005-0000-0000-0000CF0B0000}"/>
    <cellStyle name="Currency 5 2 2 3 2 3 3 2" xfId="13922" xr:uid="{3A3A3795-2244-49C1-8F95-D1EDAA61915E}"/>
    <cellStyle name="Currency 5 2 2 3 2 3 3 3" xfId="22369" xr:uid="{49354C4E-491B-4B47-9BDB-9FB2CAEB1552}"/>
    <cellStyle name="Currency 5 2 2 3 2 3 3 4" xfId="30816" xr:uid="{7555F7DA-5E4C-4115-9680-7ED3B547C301}"/>
    <cellStyle name="Currency 5 2 2 3 2 3 4" xfId="9704" xr:uid="{4F6E69DB-6F4F-4814-9490-2642990C4E3C}"/>
    <cellStyle name="Currency 5 2 2 3 2 3 5" xfId="18152" xr:uid="{E21DF437-C37B-42A2-82A8-8E5307156D13}"/>
    <cellStyle name="Currency 5 2 2 3 2 3 6" xfId="26599" xr:uid="{DA6F5A0B-27B0-4A97-8C6B-3D8B056CF283}"/>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6AD6953F-7D6A-4ADB-9D6E-28143A4CF02C}"/>
    <cellStyle name="Currency 5 2 2 3 2 4 2 2 3" xfId="24927" xr:uid="{18A9F1B0-C8A4-4012-A04D-0E88B36FE179}"/>
    <cellStyle name="Currency 5 2 2 3 2 4 2 2 4" xfId="33374" xr:uid="{0425DA08-2CD9-4E08-9393-486DAB3E2662}"/>
    <cellStyle name="Currency 5 2 2 3 2 4 2 3" xfId="12262" xr:uid="{E285F02B-9672-46B8-ABD6-3EBC76F746DC}"/>
    <cellStyle name="Currency 5 2 2 3 2 4 2 4" xfId="20710" xr:uid="{DAA90F3A-C330-4726-B732-27EBB04370B0}"/>
    <cellStyle name="Currency 5 2 2 3 2 4 2 5" xfId="29157" xr:uid="{24C6DA12-2FDE-44D3-81AB-F1D7CAFC87E5}"/>
    <cellStyle name="Currency 5 2 2 3 2 4 3" xfId="5885" xr:uid="{00000000-0005-0000-0000-0000D30B0000}"/>
    <cellStyle name="Currency 5 2 2 3 2 4 3 2" xfId="14335" xr:uid="{B6F3617E-33C5-48C2-9297-DB8EC138D8F5}"/>
    <cellStyle name="Currency 5 2 2 3 2 4 3 3" xfId="22782" xr:uid="{647CE7F6-E765-459A-B0F7-3387B61F29C0}"/>
    <cellStyle name="Currency 5 2 2 3 2 4 3 4" xfId="31229" xr:uid="{56613E70-5701-4FB2-97DE-2D9F91084FEA}"/>
    <cellStyle name="Currency 5 2 2 3 2 4 4" xfId="10117" xr:uid="{5CB99B0B-AFA1-407B-BED2-D8093661CE53}"/>
    <cellStyle name="Currency 5 2 2 3 2 4 5" xfId="18565" xr:uid="{6046E827-7171-47DF-9CC9-4FB58D1B3DB5}"/>
    <cellStyle name="Currency 5 2 2 3 2 4 6" xfId="27012" xr:uid="{AF8C5FCF-2167-42B4-BAD2-B91581EB26D4}"/>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D13ACD27-D1E5-4D4B-8F2A-687800260B1D}"/>
    <cellStyle name="Currency 5 2 2 3 2 5 2 2 3" xfId="25340" xr:uid="{B7EEEB07-4DC0-4C6F-A49A-1F283845F12D}"/>
    <cellStyle name="Currency 5 2 2 3 2 5 2 2 4" xfId="33787" xr:uid="{C58421C0-825E-40CF-BF5D-105039E97C29}"/>
    <cellStyle name="Currency 5 2 2 3 2 5 2 3" xfId="12675" xr:uid="{A7D0E14D-4014-45FD-829E-C8ADAA2B7946}"/>
    <cellStyle name="Currency 5 2 2 3 2 5 2 4" xfId="21123" xr:uid="{7C62A020-C6B6-488F-A246-3DE13D5B56F4}"/>
    <cellStyle name="Currency 5 2 2 3 2 5 2 5" xfId="29570" xr:uid="{56860E58-5632-45BF-92AD-8A00D51F8FF9}"/>
    <cellStyle name="Currency 5 2 2 3 2 5 3" xfId="6298" xr:uid="{00000000-0005-0000-0000-0000D70B0000}"/>
    <cellStyle name="Currency 5 2 2 3 2 5 3 2" xfId="14748" xr:uid="{3F13CB11-DAF7-4713-97BB-8582DE373EBD}"/>
    <cellStyle name="Currency 5 2 2 3 2 5 3 3" xfId="23195" xr:uid="{917C0C52-BD20-4A99-93CD-58226D002BB9}"/>
    <cellStyle name="Currency 5 2 2 3 2 5 3 4" xfId="31642" xr:uid="{CC4C6F8C-9205-4805-90EA-1EB3C0906DE3}"/>
    <cellStyle name="Currency 5 2 2 3 2 5 4" xfId="10530" xr:uid="{4C8A935B-B65F-46AF-A015-511C0B9EF917}"/>
    <cellStyle name="Currency 5 2 2 3 2 5 5" xfId="18978" xr:uid="{A19E93BA-673E-40FF-9F50-4BA8DBDBE518}"/>
    <cellStyle name="Currency 5 2 2 3 2 5 6" xfId="27425" xr:uid="{D1FB81E3-1D1B-4310-96EB-195C0FE96F2D}"/>
    <cellStyle name="Currency 5 2 2 3 2 6" xfId="2427" xr:uid="{00000000-0005-0000-0000-0000D80B0000}"/>
    <cellStyle name="Currency 5 2 2 3 2 6 2" xfId="6711" xr:uid="{00000000-0005-0000-0000-0000D90B0000}"/>
    <cellStyle name="Currency 5 2 2 3 2 6 2 2" xfId="15161" xr:uid="{FED658AF-B356-4AA0-90F8-033C4191F958}"/>
    <cellStyle name="Currency 5 2 2 3 2 6 2 3" xfId="23608" xr:uid="{C3719928-500F-4D0C-B7ED-0872E9D57B4E}"/>
    <cellStyle name="Currency 5 2 2 3 2 6 2 4" xfId="32055" xr:uid="{2146B3A2-41A9-4C67-8659-75877B984BA6}"/>
    <cellStyle name="Currency 5 2 2 3 2 6 3" xfId="10943" xr:uid="{DF6AC259-D9FF-4CA2-9D3B-E212E1A2F22D}"/>
    <cellStyle name="Currency 5 2 2 3 2 6 4" xfId="19391" xr:uid="{788D1CA8-9B63-4796-9F36-9700AA2320AD}"/>
    <cellStyle name="Currency 5 2 2 3 2 6 5" xfId="27838" xr:uid="{C742DEB3-3F9C-4FF1-8620-D6B40C0A68AA}"/>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A3C15767-8935-4B1E-9F25-E4573681161F}"/>
    <cellStyle name="Currency 5 2 2 3 2 8 2 3" xfId="23925" xr:uid="{B3C62A25-3CAC-4079-8BB7-91846BFE8EBF}"/>
    <cellStyle name="Currency 5 2 2 3 2 8 2 4" xfId="32372" xr:uid="{10D3696B-D600-48D2-928E-4B028485AC8C}"/>
    <cellStyle name="Currency 5 2 2 3 2 8 3" xfId="11260" xr:uid="{556D2823-30F9-4E47-8EA0-38544E2A3E07}"/>
    <cellStyle name="Currency 5 2 2 3 2 8 4" xfId="19708" xr:uid="{A32AF070-E102-428C-A462-ED1317644DF9}"/>
    <cellStyle name="Currency 5 2 2 3 2 8 5" xfId="28155" xr:uid="{28AAFDE7-6093-40A4-9D75-3319932D1F20}"/>
    <cellStyle name="Currency 5 2 2 3 2 9" xfId="4645" xr:uid="{00000000-0005-0000-0000-0000DD0B0000}"/>
    <cellStyle name="Currency 5 2 2 3 2 9 2" xfId="13095" xr:uid="{09E06E46-11B1-419E-925E-67A7A66D7F5F}"/>
    <cellStyle name="Currency 5 2 2 3 2 9 3" xfId="21542" xr:uid="{B33E8DCF-AE73-4CAE-B234-D5E612019DE2}"/>
    <cellStyle name="Currency 5 2 2 3 2 9 4" xfId="29989" xr:uid="{F798C2AF-9A07-4E39-9E42-188BD86E3BB8}"/>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80FB2F02-9F46-462F-A860-E37122897203}"/>
    <cellStyle name="Currency 5 2 2 3 3 2 2 3" xfId="24100" xr:uid="{FBD4695B-D9A2-4C0A-A12D-8FDE88472952}"/>
    <cellStyle name="Currency 5 2 2 3 3 2 2 4" xfId="32547" xr:uid="{7E376787-4DCF-4E01-80EA-D9ED1FA67F23}"/>
    <cellStyle name="Currency 5 2 2 3 3 2 3" xfId="11435" xr:uid="{8FDAE0D7-60F3-4FCC-843C-FC18BEBA0282}"/>
    <cellStyle name="Currency 5 2 2 3 3 2 4" xfId="19883" xr:uid="{3DF1AE3C-14D6-4A4E-96E7-474AB6C03EA7}"/>
    <cellStyle name="Currency 5 2 2 3 3 2 5" xfId="28330" xr:uid="{25FFE6AC-620F-48EA-A7CC-D380F9AD5561}"/>
    <cellStyle name="Currency 5 2 2 3 3 3" xfId="5058" xr:uid="{00000000-0005-0000-0000-0000E10B0000}"/>
    <cellStyle name="Currency 5 2 2 3 3 3 2" xfId="13508" xr:uid="{590F1AD2-5B93-465A-8E8B-5CDA0F25D388}"/>
    <cellStyle name="Currency 5 2 2 3 3 3 3" xfId="21955" xr:uid="{9E61B30B-BD71-4AF7-8A93-1B81F9095720}"/>
    <cellStyle name="Currency 5 2 2 3 3 3 4" xfId="30402" xr:uid="{AA45D79B-2716-48FC-9895-5A8E09F30E45}"/>
    <cellStyle name="Currency 5 2 2 3 3 4" xfId="9290" xr:uid="{41E4CE0D-F855-43F6-BC73-53BE1540D6AE}"/>
    <cellStyle name="Currency 5 2 2 3 3 5" xfId="17738" xr:uid="{AF0D573B-4B83-47C7-97D5-6969A8982BED}"/>
    <cellStyle name="Currency 5 2 2 3 3 6" xfId="26185" xr:uid="{57ADCCA5-6644-4F84-AC32-4519AEADD33B}"/>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00A5E3A6-A37E-4AF5-BB8A-53E79DE2E9FC}"/>
    <cellStyle name="Currency 5 2 2 3 4 2 2 3" xfId="24513" xr:uid="{47D20402-D004-4B04-80AE-5B488FE18C8D}"/>
    <cellStyle name="Currency 5 2 2 3 4 2 2 4" xfId="32960" xr:uid="{A7AB3B1F-9776-44C7-871F-ADF6C7D1E86B}"/>
    <cellStyle name="Currency 5 2 2 3 4 2 3" xfId="11848" xr:uid="{7486FC63-B8BD-4653-AFBB-B93455214643}"/>
    <cellStyle name="Currency 5 2 2 3 4 2 4" xfId="20296" xr:uid="{A0100D29-40DA-4842-9BEB-BE4A72324AE8}"/>
    <cellStyle name="Currency 5 2 2 3 4 2 5" xfId="28743" xr:uid="{78FF7BAF-63BD-47B6-B553-105D0C9B8DB1}"/>
    <cellStyle name="Currency 5 2 2 3 4 3" xfId="5471" xr:uid="{00000000-0005-0000-0000-0000E50B0000}"/>
    <cellStyle name="Currency 5 2 2 3 4 3 2" xfId="13921" xr:uid="{3DA0A372-0E78-4BD1-A56B-90A291ACB044}"/>
    <cellStyle name="Currency 5 2 2 3 4 3 3" xfId="22368" xr:uid="{5C0925AF-1200-445E-9926-5C654BFE2115}"/>
    <cellStyle name="Currency 5 2 2 3 4 3 4" xfId="30815" xr:uid="{E611B4C2-7324-4B8D-933A-09DC0A55243E}"/>
    <cellStyle name="Currency 5 2 2 3 4 4" xfId="9703" xr:uid="{85884DA3-E7CD-448A-A367-A4A524290F20}"/>
    <cellStyle name="Currency 5 2 2 3 4 5" xfId="18151" xr:uid="{E0AF01BF-CB61-458B-961E-863EB5AA92E1}"/>
    <cellStyle name="Currency 5 2 2 3 4 6" xfId="26598" xr:uid="{1C5D8090-B148-4571-8FB9-3418986F98D2}"/>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6917F631-CE5B-4B45-87D1-AC61626279EE}"/>
    <cellStyle name="Currency 5 2 2 3 5 2 2 3" xfId="24926" xr:uid="{06782DE2-39B3-4718-8AD4-8ECBD024EAFC}"/>
    <cellStyle name="Currency 5 2 2 3 5 2 2 4" xfId="33373" xr:uid="{FCE681E2-BA73-4EE8-8B96-35CEB45BF461}"/>
    <cellStyle name="Currency 5 2 2 3 5 2 3" xfId="12261" xr:uid="{992875A7-5D31-4513-9A11-0530C9F8D454}"/>
    <cellStyle name="Currency 5 2 2 3 5 2 4" xfId="20709" xr:uid="{5EC9464A-2A80-466C-9A8F-92EAE6F2EBA2}"/>
    <cellStyle name="Currency 5 2 2 3 5 2 5" xfId="29156" xr:uid="{50104D30-8011-4683-B0D2-62ABE11DFFAF}"/>
    <cellStyle name="Currency 5 2 2 3 5 3" xfId="5884" xr:uid="{00000000-0005-0000-0000-0000E90B0000}"/>
    <cellStyle name="Currency 5 2 2 3 5 3 2" xfId="14334" xr:uid="{22AA3817-D6EA-4D2E-8CD2-2FBE3C21E4E6}"/>
    <cellStyle name="Currency 5 2 2 3 5 3 3" xfId="22781" xr:uid="{8733174A-63C4-4B02-A424-80088EA64C8F}"/>
    <cellStyle name="Currency 5 2 2 3 5 3 4" xfId="31228" xr:uid="{4ECA39A0-EBC3-44B3-893F-AFF0FE7BF469}"/>
    <cellStyle name="Currency 5 2 2 3 5 4" xfId="10116" xr:uid="{A129D157-EA1B-463D-AE8A-0E0E565793C5}"/>
    <cellStyle name="Currency 5 2 2 3 5 5" xfId="18564" xr:uid="{5789DCF7-85D5-4168-862D-D658DB39BB95}"/>
    <cellStyle name="Currency 5 2 2 3 5 6" xfId="27011" xr:uid="{13F9EBBB-EB51-48C6-A488-12850A14ECBD}"/>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4CADF563-8816-4544-9136-4DD92D65DF86}"/>
    <cellStyle name="Currency 5 2 2 3 6 2 2 3" xfId="25339" xr:uid="{C8CA9939-6264-4905-8679-7FB1F46D11B2}"/>
    <cellStyle name="Currency 5 2 2 3 6 2 2 4" xfId="33786" xr:uid="{2C20586E-26E0-4CD8-B0C3-D46D41935CD4}"/>
    <cellStyle name="Currency 5 2 2 3 6 2 3" xfId="12674" xr:uid="{E4DC030E-F15E-47C2-A178-271F4F92A06A}"/>
    <cellStyle name="Currency 5 2 2 3 6 2 4" xfId="21122" xr:uid="{F8EDFE26-0A5B-4DA5-949D-ABCBC35203B5}"/>
    <cellStyle name="Currency 5 2 2 3 6 2 5" xfId="29569" xr:uid="{E647E75E-B238-4052-9BCE-5047C275CD74}"/>
    <cellStyle name="Currency 5 2 2 3 6 3" xfId="6297" xr:uid="{00000000-0005-0000-0000-0000ED0B0000}"/>
    <cellStyle name="Currency 5 2 2 3 6 3 2" xfId="14747" xr:uid="{F6CF1448-33C4-4BD5-BF91-03B20D5B36C3}"/>
    <cellStyle name="Currency 5 2 2 3 6 3 3" xfId="23194" xr:uid="{0DDB07F7-5BF1-49AD-81A4-827F42426FBE}"/>
    <cellStyle name="Currency 5 2 2 3 6 3 4" xfId="31641" xr:uid="{630B3DDE-0A81-41A8-B29F-88E8448CCF54}"/>
    <cellStyle name="Currency 5 2 2 3 6 4" xfId="10529" xr:uid="{AD5E120D-A735-4B49-B4B8-4F83C1B36A24}"/>
    <cellStyle name="Currency 5 2 2 3 6 5" xfId="18977" xr:uid="{BB3ECB7B-0F1C-47C6-8050-1EDAC8302F41}"/>
    <cellStyle name="Currency 5 2 2 3 6 6" xfId="27424" xr:uid="{6B0AE43D-E8B2-4671-9EE9-04821F348500}"/>
    <cellStyle name="Currency 5 2 2 3 7" xfId="2426" xr:uid="{00000000-0005-0000-0000-0000EE0B0000}"/>
    <cellStyle name="Currency 5 2 2 3 7 2" xfId="6710" xr:uid="{00000000-0005-0000-0000-0000EF0B0000}"/>
    <cellStyle name="Currency 5 2 2 3 7 2 2" xfId="15160" xr:uid="{9D62DDCA-A6DC-4EF5-AC81-49D4DF404EB8}"/>
    <cellStyle name="Currency 5 2 2 3 7 2 3" xfId="23607" xr:uid="{65A7C656-8414-4602-8DF3-254AD6A395A1}"/>
    <cellStyle name="Currency 5 2 2 3 7 2 4" xfId="32054" xr:uid="{9E0F6E42-2CE7-443C-9757-A561AC528E3E}"/>
    <cellStyle name="Currency 5 2 2 3 7 3" xfId="10942" xr:uid="{7E2F384E-8F24-43FB-9491-178C41F248A8}"/>
    <cellStyle name="Currency 5 2 2 3 7 4" xfId="19390" xr:uid="{D6EEEC1F-ED48-4636-949C-A37A80B81F7B}"/>
    <cellStyle name="Currency 5 2 2 3 7 5" xfId="27837" xr:uid="{B363BC0C-E208-40E0-96E9-9007A145E53B}"/>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08DE24BA-BE1B-4D36-9DF1-EF5A42E1B5B4}"/>
    <cellStyle name="Currency 5 2 2 3 9 2 3" xfId="23924" xr:uid="{AD1002A8-5667-4DA8-A0DE-AC8BB82422CA}"/>
    <cellStyle name="Currency 5 2 2 3 9 2 4" xfId="32371" xr:uid="{D1AA0A2A-590B-479C-8678-D1D0E6AB1B9A}"/>
    <cellStyle name="Currency 5 2 2 3 9 3" xfId="11259" xr:uid="{7CB3BAE5-CAF7-4046-8741-B800955E1C36}"/>
    <cellStyle name="Currency 5 2 2 3 9 4" xfId="19707" xr:uid="{B9B774B3-D553-461C-A725-309BE45667FE}"/>
    <cellStyle name="Currency 5 2 2 3 9 5" xfId="28154" xr:uid="{B3588A43-EB7A-4084-B4E3-13EB7C84FE10}"/>
    <cellStyle name="Currency 5 2 2 4" xfId="202" xr:uid="{00000000-0005-0000-0000-0000F30B0000}"/>
    <cellStyle name="Currency 5 2 2 4 10" xfId="8878" xr:uid="{23FCC9D8-1119-4CE9-B560-840E2BCB1ECA}"/>
    <cellStyle name="Currency 5 2 2 4 11" xfId="17326" xr:uid="{AE53E1B9-96BE-45D5-B397-403371CD3578}"/>
    <cellStyle name="Currency 5 2 2 4 12" xfId="25773" xr:uid="{8F077F36-F0A6-4220-9F9A-26E9D8DC73C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00927FCA-5BE4-43B7-AC5D-56AD18BAF907}"/>
    <cellStyle name="Currency 5 2 2 4 2 2 2 3" xfId="24102" xr:uid="{D3C9D272-B670-4B34-B38A-51C57ACBC4BA}"/>
    <cellStyle name="Currency 5 2 2 4 2 2 2 4" xfId="32549" xr:uid="{EBD67140-E3F3-4BB9-9DAC-4C240AEE82BC}"/>
    <cellStyle name="Currency 5 2 2 4 2 2 3" xfId="11437" xr:uid="{CD6C5D67-8941-4717-B658-2A825FBAB8B2}"/>
    <cellStyle name="Currency 5 2 2 4 2 2 4" xfId="19885" xr:uid="{21DF3BCA-1F73-4BC4-B221-0806BD1EB9B3}"/>
    <cellStyle name="Currency 5 2 2 4 2 2 5" xfId="28332" xr:uid="{180988E2-A4AC-4ED2-88A0-78B1E77D6571}"/>
    <cellStyle name="Currency 5 2 2 4 2 3" xfId="5060" xr:uid="{00000000-0005-0000-0000-0000F70B0000}"/>
    <cellStyle name="Currency 5 2 2 4 2 3 2" xfId="13510" xr:uid="{4C091377-4B33-44C6-AB1A-75B11503C10C}"/>
    <cellStyle name="Currency 5 2 2 4 2 3 3" xfId="21957" xr:uid="{952ED56A-A170-4823-B28D-0DE9529EF40A}"/>
    <cellStyle name="Currency 5 2 2 4 2 3 4" xfId="30404" xr:uid="{B738D000-B526-4F54-A33F-E678F2D4055B}"/>
    <cellStyle name="Currency 5 2 2 4 2 4" xfId="9292" xr:uid="{549E4745-AB82-4495-A2A2-1E1E2E863407}"/>
    <cellStyle name="Currency 5 2 2 4 2 5" xfId="17740" xr:uid="{A5C3854E-316E-4460-9B45-B4C26DA47F1C}"/>
    <cellStyle name="Currency 5 2 2 4 2 6" xfId="26187" xr:uid="{D9DBF841-6894-44FB-B60C-690179E3992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1FF6DF9D-A6B1-4FE0-8C76-E09710898BB4}"/>
    <cellStyle name="Currency 5 2 2 4 3 2 2 3" xfId="24515" xr:uid="{FE9C2569-455F-4D30-99CA-F7913BF4B312}"/>
    <cellStyle name="Currency 5 2 2 4 3 2 2 4" xfId="32962" xr:uid="{733909D7-A8AF-43D9-8549-3F95C501B6F7}"/>
    <cellStyle name="Currency 5 2 2 4 3 2 3" xfId="11850" xr:uid="{1BFE7B46-9483-4C75-9CDD-0B5913C81E61}"/>
    <cellStyle name="Currency 5 2 2 4 3 2 4" xfId="20298" xr:uid="{7800E76E-BCAA-4754-85C4-6D1C01C7DC36}"/>
    <cellStyle name="Currency 5 2 2 4 3 2 5" xfId="28745" xr:uid="{3178AE21-3DCF-4FF3-BA17-599B0F24CC9B}"/>
    <cellStyle name="Currency 5 2 2 4 3 3" xfId="5473" xr:uid="{00000000-0005-0000-0000-0000FB0B0000}"/>
    <cellStyle name="Currency 5 2 2 4 3 3 2" xfId="13923" xr:uid="{B19142C7-26BF-4CB2-97B7-1092F298CCDC}"/>
    <cellStyle name="Currency 5 2 2 4 3 3 3" xfId="22370" xr:uid="{9CC14946-CE0E-4E93-96FA-AFFFA32A7B6F}"/>
    <cellStyle name="Currency 5 2 2 4 3 3 4" xfId="30817" xr:uid="{9347D1B1-EB62-4393-B3B8-634C51C7D183}"/>
    <cellStyle name="Currency 5 2 2 4 3 4" xfId="9705" xr:uid="{26C756FA-EC06-42AE-873C-D1AF7186C365}"/>
    <cellStyle name="Currency 5 2 2 4 3 5" xfId="18153" xr:uid="{35BFE5D0-C298-4C0B-B08B-1F477B5B30DB}"/>
    <cellStyle name="Currency 5 2 2 4 3 6" xfId="26600" xr:uid="{901B4078-4F69-4FE0-BADE-EF6D7CBCB3DC}"/>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083D3963-4C26-47A7-BE75-DA6759C64918}"/>
    <cellStyle name="Currency 5 2 2 4 4 2 2 3" xfId="24928" xr:uid="{90E9B54F-10AB-4A16-A778-BB8AC8ADC653}"/>
    <cellStyle name="Currency 5 2 2 4 4 2 2 4" xfId="33375" xr:uid="{95E886B8-686E-4650-8BE7-07E8803A6A83}"/>
    <cellStyle name="Currency 5 2 2 4 4 2 3" xfId="12263" xr:uid="{CA03BB95-3BEE-4068-BBC1-E45E77C95699}"/>
    <cellStyle name="Currency 5 2 2 4 4 2 4" xfId="20711" xr:uid="{DBD07D71-5AA8-4085-A4A2-FFAD22924AE2}"/>
    <cellStyle name="Currency 5 2 2 4 4 2 5" xfId="29158" xr:uid="{B0C5ED4A-E1DA-4AA6-8263-6F99D9D3CAF2}"/>
    <cellStyle name="Currency 5 2 2 4 4 3" xfId="5886" xr:uid="{00000000-0005-0000-0000-0000FF0B0000}"/>
    <cellStyle name="Currency 5 2 2 4 4 3 2" xfId="14336" xr:uid="{851991A5-AEAC-4789-A316-51E208F8E95E}"/>
    <cellStyle name="Currency 5 2 2 4 4 3 3" xfId="22783" xr:uid="{FEEBAFF1-69DB-48E0-877D-F3818D97F96E}"/>
    <cellStyle name="Currency 5 2 2 4 4 3 4" xfId="31230" xr:uid="{9A0EB37B-082A-4E61-8718-446D89FBA729}"/>
    <cellStyle name="Currency 5 2 2 4 4 4" xfId="10118" xr:uid="{5B6EFABB-E8DD-42B7-B8A5-EE05774997B5}"/>
    <cellStyle name="Currency 5 2 2 4 4 5" xfId="18566" xr:uid="{8BC5E01F-0303-4E43-A050-30AED948FA51}"/>
    <cellStyle name="Currency 5 2 2 4 4 6" xfId="27013" xr:uid="{714C5818-20C5-49F2-9EC5-76EB7A16E57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BF0C3739-C896-4DA3-8452-7D0638A112CC}"/>
    <cellStyle name="Currency 5 2 2 4 5 2 2 3" xfId="25341" xr:uid="{B5CF2FBD-F558-4B2A-B6ED-FDD9B57C9DE4}"/>
    <cellStyle name="Currency 5 2 2 4 5 2 2 4" xfId="33788" xr:uid="{597675F6-0999-422C-A764-03986E9F4274}"/>
    <cellStyle name="Currency 5 2 2 4 5 2 3" xfId="12676" xr:uid="{E767C3E0-83AF-4BD1-B4E9-13091B2DB6E7}"/>
    <cellStyle name="Currency 5 2 2 4 5 2 4" xfId="21124" xr:uid="{E23C36EF-ACAD-4C43-B0CB-81E73299195A}"/>
    <cellStyle name="Currency 5 2 2 4 5 2 5" xfId="29571" xr:uid="{7937DFB4-86EA-43E7-A759-741143767A1F}"/>
    <cellStyle name="Currency 5 2 2 4 5 3" xfId="6299" xr:uid="{00000000-0005-0000-0000-0000030C0000}"/>
    <cellStyle name="Currency 5 2 2 4 5 3 2" xfId="14749" xr:uid="{A17FA5EB-21E6-41C2-A849-C32FF2E603EB}"/>
    <cellStyle name="Currency 5 2 2 4 5 3 3" xfId="23196" xr:uid="{CFCC8853-A14A-4DD1-965B-D1FAF5A6217A}"/>
    <cellStyle name="Currency 5 2 2 4 5 3 4" xfId="31643" xr:uid="{BE34767E-FA66-4D04-9387-E9144DA4B3BF}"/>
    <cellStyle name="Currency 5 2 2 4 5 4" xfId="10531" xr:uid="{40E4A9E7-ABC8-45EF-845A-CC8C141758AF}"/>
    <cellStyle name="Currency 5 2 2 4 5 5" xfId="18979" xr:uid="{0E0618E4-7253-49B4-B268-C929CE4D9EB3}"/>
    <cellStyle name="Currency 5 2 2 4 5 6" xfId="27426" xr:uid="{3A0FABF8-2622-45D9-AAA7-F41C7E907F5D}"/>
    <cellStyle name="Currency 5 2 2 4 6" xfId="2428" xr:uid="{00000000-0005-0000-0000-0000040C0000}"/>
    <cellStyle name="Currency 5 2 2 4 6 2" xfId="6712" xr:uid="{00000000-0005-0000-0000-0000050C0000}"/>
    <cellStyle name="Currency 5 2 2 4 6 2 2" xfId="15162" xr:uid="{0303EE4B-04DE-4A25-8E22-EDA2F112FCD5}"/>
    <cellStyle name="Currency 5 2 2 4 6 2 3" xfId="23609" xr:uid="{85BF570A-F51A-4CB1-9CF7-0E2952F96F7C}"/>
    <cellStyle name="Currency 5 2 2 4 6 2 4" xfId="32056" xr:uid="{D7E3825D-B3A8-4077-821B-B1ED3FDA5AF6}"/>
    <cellStyle name="Currency 5 2 2 4 6 3" xfId="10944" xr:uid="{090B6BAF-2D87-45BC-8370-103CF031922E}"/>
    <cellStyle name="Currency 5 2 2 4 6 4" xfId="19392" xr:uid="{C01B117D-4C5E-4F28-B0B5-10C92793D6F5}"/>
    <cellStyle name="Currency 5 2 2 4 6 5" xfId="27839" xr:uid="{0417DC8B-1B50-4D77-B87D-847F8A264799}"/>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B94F9799-19ED-48D4-9F29-6CD9782185A0}"/>
    <cellStyle name="Currency 5 2 2 4 8 2 3" xfId="23926" xr:uid="{1ABCAB23-A62F-45D5-B56D-E94F8A15DE54}"/>
    <cellStyle name="Currency 5 2 2 4 8 2 4" xfId="32373" xr:uid="{3D59B26F-84A1-4AE8-AD0E-6DA34F6F065A}"/>
    <cellStyle name="Currency 5 2 2 4 8 3" xfId="11261" xr:uid="{602ED1B6-D4AE-4C97-A1FA-81D6498E4B8C}"/>
    <cellStyle name="Currency 5 2 2 4 8 4" xfId="19709" xr:uid="{07937E65-6D51-481B-8ABE-8E03002972BA}"/>
    <cellStyle name="Currency 5 2 2 4 8 5" xfId="28156" xr:uid="{F41D0CFF-7017-46B6-B732-DCF66D15DEF4}"/>
    <cellStyle name="Currency 5 2 2 4 9" xfId="4646" xr:uid="{00000000-0005-0000-0000-0000090C0000}"/>
    <cellStyle name="Currency 5 2 2 4 9 2" xfId="13096" xr:uid="{B25FFACA-DA65-42CC-9DDF-A1091265C71F}"/>
    <cellStyle name="Currency 5 2 2 4 9 3" xfId="21543" xr:uid="{5EDA3EAE-1985-49CF-BAF6-23A6D95A183D}"/>
    <cellStyle name="Currency 5 2 2 4 9 4" xfId="29990" xr:uid="{7971C934-DFDA-4997-82C2-2A33E1D4538B}"/>
    <cellStyle name="Currency 5 2 2 5" xfId="203" xr:uid="{00000000-0005-0000-0000-00000A0C0000}"/>
    <cellStyle name="Currency 5 2 2 5 10" xfId="8879" xr:uid="{341EC328-549A-495E-9D10-8D84BAA829E1}"/>
    <cellStyle name="Currency 5 2 2 5 11" xfId="17327" xr:uid="{C2936636-36CE-4666-916D-633294AF86CC}"/>
    <cellStyle name="Currency 5 2 2 5 12" xfId="25774" xr:uid="{56588F95-7762-40E4-8F27-6C1CE78C6C5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C33745E0-ABEB-4A8B-B498-975F728078F0}"/>
    <cellStyle name="Currency 5 2 2 5 2 2 2 3" xfId="24103" xr:uid="{FCCB6C4D-9B65-43C0-B845-E928B745E64E}"/>
    <cellStyle name="Currency 5 2 2 5 2 2 2 4" xfId="32550" xr:uid="{41F36B57-2E41-4AA3-94FE-00943E061355}"/>
    <cellStyle name="Currency 5 2 2 5 2 2 3" xfId="11438" xr:uid="{7C482425-AD84-4E2B-A5EF-43D0D13AF623}"/>
    <cellStyle name="Currency 5 2 2 5 2 2 4" xfId="19886" xr:uid="{DE3ED586-EBA8-46EB-8698-8AB635EAF997}"/>
    <cellStyle name="Currency 5 2 2 5 2 2 5" xfId="28333" xr:uid="{2C0D4DCF-EA78-4164-BAE8-6F1BCC08AF55}"/>
    <cellStyle name="Currency 5 2 2 5 2 3" xfId="5061" xr:uid="{00000000-0005-0000-0000-00000E0C0000}"/>
    <cellStyle name="Currency 5 2 2 5 2 3 2" xfId="13511" xr:uid="{53DA6F26-FA6B-4F07-B7E4-D83A74BC2E39}"/>
    <cellStyle name="Currency 5 2 2 5 2 3 3" xfId="21958" xr:uid="{2C43CE14-AB58-467B-841C-2C600B243A9B}"/>
    <cellStyle name="Currency 5 2 2 5 2 3 4" xfId="30405" xr:uid="{71B44E1F-1F99-401E-90C3-BB47D28751CC}"/>
    <cellStyle name="Currency 5 2 2 5 2 4" xfId="9293" xr:uid="{0F21C321-61CE-424E-8D8B-60A622B45251}"/>
    <cellStyle name="Currency 5 2 2 5 2 5" xfId="17741" xr:uid="{7171621F-34EF-483D-AF47-E47EEA8E41E0}"/>
    <cellStyle name="Currency 5 2 2 5 2 6" xfId="26188" xr:uid="{364400EE-607C-4966-AA2B-7B30CE5CF02E}"/>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AE364DB4-2F77-407D-AA52-70056F2E168C}"/>
    <cellStyle name="Currency 5 2 2 5 3 2 2 3" xfId="24516" xr:uid="{E121974C-C69B-4B4A-842D-0F36CCB32402}"/>
    <cellStyle name="Currency 5 2 2 5 3 2 2 4" xfId="32963" xr:uid="{92823EDC-547A-46D8-A092-81B3C9A11406}"/>
    <cellStyle name="Currency 5 2 2 5 3 2 3" xfId="11851" xr:uid="{821F5150-9CC3-4EE2-A867-4386F9A034F9}"/>
    <cellStyle name="Currency 5 2 2 5 3 2 4" xfId="20299" xr:uid="{5639D6CC-19DC-4CEB-90D5-CB4DF34F710D}"/>
    <cellStyle name="Currency 5 2 2 5 3 2 5" xfId="28746" xr:uid="{45B80FCA-ED21-4275-AF56-AACF54BE655C}"/>
    <cellStyle name="Currency 5 2 2 5 3 3" xfId="5474" xr:uid="{00000000-0005-0000-0000-0000120C0000}"/>
    <cellStyle name="Currency 5 2 2 5 3 3 2" xfId="13924" xr:uid="{CBBB1830-6014-4C9B-BA60-F0ED5838A2CE}"/>
    <cellStyle name="Currency 5 2 2 5 3 3 3" xfId="22371" xr:uid="{3C02E48D-04F8-494B-A370-A4B8566B373B}"/>
    <cellStyle name="Currency 5 2 2 5 3 3 4" xfId="30818" xr:uid="{0BD19A0E-0356-4DEE-B3AD-88B944295F2A}"/>
    <cellStyle name="Currency 5 2 2 5 3 4" xfId="9706" xr:uid="{703AF9DA-A625-4CA0-A1FC-568A6A6E3568}"/>
    <cellStyle name="Currency 5 2 2 5 3 5" xfId="18154" xr:uid="{EFC23947-67CB-47F5-9E50-CAC5E55A1F1A}"/>
    <cellStyle name="Currency 5 2 2 5 3 6" xfId="26601" xr:uid="{A57028EB-7F72-473C-A04C-D9ABB733141B}"/>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4203BDF8-A3C7-430E-ABCF-F89A8B348524}"/>
    <cellStyle name="Currency 5 2 2 5 4 2 2 3" xfId="24929" xr:uid="{290CFDE8-465D-4AAF-B8A8-33DDBF83F1E4}"/>
    <cellStyle name="Currency 5 2 2 5 4 2 2 4" xfId="33376" xr:uid="{28678147-E1DA-48AB-B15A-B1C6A3D7C569}"/>
    <cellStyle name="Currency 5 2 2 5 4 2 3" xfId="12264" xr:uid="{F570A282-3AA0-4F94-8559-7151AEFEDA31}"/>
    <cellStyle name="Currency 5 2 2 5 4 2 4" xfId="20712" xr:uid="{22E5320B-0968-450E-90AD-D3B9CFDE9FC1}"/>
    <cellStyle name="Currency 5 2 2 5 4 2 5" xfId="29159" xr:uid="{23DA6B46-FAF2-4E8C-A1AA-B9A4782576C2}"/>
    <cellStyle name="Currency 5 2 2 5 4 3" xfId="5887" xr:uid="{00000000-0005-0000-0000-0000160C0000}"/>
    <cellStyle name="Currency 5 2 2 5 4 3 2" xfId="14337" xr:uid="{B0A01D12-FF83-4CD6-8D04-BC8117DAFF54}"/>
    <cellStyle name="Currency 5 2 2 5 4 3 3" xfId="22784" xr:uid="{BA2ACED8-F531-4013-BEEA-60AE79EBA3E1}"/>
    <cellStyle name="Currency 5 2 2 5 4 3 4" xfId="31231" xr:uid="{0563A0F0-5F29-40D3-9853-F737C2210E0F}"/>
    <cellStyle name="Currency 5 2 2 5 4 4" xfId="10119" xr:uid="{9BB807AD-82CF-4F12-8414-EAD2E03E058D}"/>
    <cellStyle name="Currency 5 2 2 5 4 5" xfId="18567" xr:uid="{F71F7A3F-CA96-487C-81B3-6CD7769CEE86}"/>
    <cellStyle name="Currency 5 2 2 5 4 6" xfId="27014" xr:uid="{F396D622-2046-4F66-80DA-C1C516E69F2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697F6F11-2627-458A-BE25-C16F519F5CDA}"/>
    <cellStyle name="Currency 5 2 2 5 5 2 2 3" xfId="25342" xr:uid="{1D144887-1FDE-4449-9CE3-1EB7869B6598}"/>
    <cellStyle name="Currency 5 2 2 5 5 2 2 4" xfId="33789" xr:uid="{44891995-CC5D-48A5-9E18-B62DD4A4B41C}"/>
    <cellStyle name="Currency 5 2 2 5 5 2 3" xfId="12677" xr:uid="{9F8236ED-9316-4776-B498-DBD654A7466B}"/>
    <cellStyle name="Currency 5 2 2 5 5 2 4" xfId="21125" xr:uid="{F8C3B92E-BFF8-45B0-8594-5C4CA90484EF}"/>
    <cellStyle name="Currency 5 2 2 5 5 2 5" xfId="29572" xr:uid="{29C1DB54-B3CC-48EA-AA2C-4B79F50D4476}"/>
    <cellStyle name="Currency 5 2 2 5 5 3" xfId="6300" xr:uid="{00000000-0005-0000-0000-00001A0C0000}"/>
    <cellStyle name="Currency 5 2 2 5 5 3 2" xfId="14750" xr:uid="{85EEEF37-0877-43BF-8807-7AF9398044D3}"/>
    <cellStyle name="Currency 5 2 2 5 5 3 3" xfId="23197" xr:uid="{EFDED72E-9154-477E-B51F-8E5BD76C4B23}"/>
    <cellStyle name="Currency 5 2 2 5 5 3 4" xfId="31644" xr:uid="{6C9400FD-2640-47C0-A73E-73BB0875A0C1}"/>
    <cellStyle name="Currency 5 2 2 5 5 4" xfId="10532" xr:uid="{3EC277C1-B9A6-4455-B031-7C88494CF89E}"/>
    <cellStyle name="Currency 5 2 2 5 5 5" xfId="18980" xr:uid="{30348B98-3AAD-4ED4-B297-096B22CDA83D}"/>
    <cellStyle name="Currency 5 2 2 5 5 6" xfId="27427" xr:uid="{CFD66D02-5323-48ED-9B79-AD5E1EA75BD6}"/>
    <cellStyle name="Currency 5 2 2 5 6" xfId="2429" xr:uid="{00000000-0005-0000-0000-00001B0C0000}"/>
    <cellStyle name="Currency 5 2 2 5 6 2" xfId="6713" xr:uid="{00000000-0005-0000-0000-00001C0C0000}"/>
    <cellStyle name="Currency 5 2 2 5 6 2 2" xfId="15163" xr:uid="{17CAF0DA-7AAE-400A-A774-5221A38C0AEA}"/>
    <cellStyle name="Currency 5 2 2 5 6 2 3" xfId="23610" xr:uid="{F3E13DBC-FFA1-434B-A5F3-712ACE53F986}"/>
    <cellStyle name="Currency 5 2 2 5 6 2 4" xfId="32057" xr:uid="{5BCCAD3D-B29B-42A5-A99B-74A3E8178F35}"/>
    <cellStyle name="Currency 5 2 2 5 6 3" xfId="10945" xr:uid="{7483F1FF-9483-47EE-BD16-183A7764B64D}"/>
    <cellStyle name="Currency 5 2 2 5 6 4" xfId="19393" xr:uid="{A352EA1D-039D-410E-904D-EF699F944052}"/>
    <cellStyle name="Currency 5 2 2 5 6 5" xfId="27840" xr:uid="{DE0B9A83-C01F-4289-9857-643E4C45C649}"/>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CE91F84F-11F6-4803-AEC0-7384C3D91CAA}"/>
    <cellStyle name="Currency 5 2 2 5 8 2 3" xfId="23927" xr:uid="{3CF7A050-784C-40B8-9897-6A3B1D59B572}"/>
    <cellStyle name="Currency 5 2 2 5 8 2 4" xfId="32374" xr:uid="{2D21C2A3-5BDA-461E-9295-FEABD456803D}"/>
    <cellStyle name="Currency 5 2 2 5 8 3" xfId="11262" xr:uid="{A1A75874-50E0-4A4C-B73A-4CC4F3165736}"/>
    <cellStyle name="Currency 5 2 2 5 8 4" xfId="19710" xr:uid="{9B640B6B-6931-42F3-AF5F-B71BE2BB89F0}"/>
    <cellStyle name="Currency 5 2 2 5 8 5" xfId="28157" xr:uid="{A7C7A463-0586-4C2A-8F4A-2ACD7844C462}"/>
    <cellStyle name="Currency 5 2 2 5 9" xfId="4647" xr:uid="{00000000-0005-0000-0000-0000200C0000}"/>
    <cellStyle name="Currency 5 2 2 5 9 2" xfId="13097" xr:uid="{F192A364-8C73-4AFE-974B-92405196869B}"/>
    <cellStyle name="Currency 5 2 2 5 9 3" xfId="21544" xr:uid="{F11121BF-DA0F-4894-B81E-52BA9DDF0008}"/>
    <cellStyle name="Currency 5 2 2 5 9 4" xfId="29991" xr:uid="{C001D0A8-0667-4C40-818B-EE8895C0FCA1}"/>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AA50B8B0-7636-4ADB-9A5B-EE222861D365}"/>
    <cellStyle name="Currency 5 2 4 10 3" xfId="21545" xr:uid="{A8B4A150-A609-41AF-AE72-EA379F614B79}"/>
    <cellStyle name="Currency 5 2 4 10 4" xfId="29992" xr:uid="{640667A2-5CBA-41E8-9117-79D2C98E3F2A}"/>
    <cellStyle name="Currency 5 2 4 11" xfId="8880" xr:uid="{2B33750B-7A11-44A4-A6AF-2467DEBCE6A6}"/>
    <cellStyle name="Currency 5 2 4 12" xfId="17328" xr:uid="{43A0FEB8-847C-4C60-A6FB-C2E8F8764477}"/>
    <cellStyle name="Currency 5 2 4 13" xfId="25775" xr:uid="{12A2CBBE-556B-4794-9C9B-BF7200117A56}"/>
    <cellStyle name="Currency 5 2 4 2" xfId="206" xr:uid="{00000000-0005-0000-0000-0000250C0000}"/>
    <cellStyle name="Currency 5 2 4 2 10" xfId="8881" xr:uid="{11611716-620E-46A5-856B-0853DE1EB73D}"/>
    <cellStyle name="Currency 5 2 4 2 11" xfId="17329" xr:uid="{4953CA18-82EC-43D3-9962-28B1EF327392}"/>
    <cellStyle name="Currency 5 2 4 2 12" xfId="25776" xr:uid="{6EB11976-960E-4BE7-BB2C-CEBE783AFC6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E8933FAF-7457-41AD-975A-4CB3323FC776}"/>
    <cellStyle name="Currency 5 2 4 2 2 2 2 3" xfId="24105" xr:uid="{1A9DE95F-9A0B-412A-AE5A-510FDD84C755}"/>
    <cellStyle name="Currency 5 2 4 2 2 2 2 4" xfId="32552" xr:uid="{0F3787C9-C7FB-4ED3-B654-9878F282E11B}"/>
    <cellStyle name="Currency 5 2 4 2 2 2 3" xfId="11440" xr:uid="{CA303F38-6C3D-48F0-AB30-D9AE3D411C65}"/>
    <cellStyle name="Currency 5 2 4 2 2 2 4" xfId="19888" xr:uid="{1D486286-CEBE-4A2C-83EA-6952C1580EFE}"/>
    <cellStyle name="Currency 5 2 4 2 2 2 5" xfId="28335" xr:uid="{042BD80E-0CBA-43DD-A71C-4A83402E78A7}"/>
    <cellStyle name="Currency 5 2 4 2 2 3" xfId="5063" xr:uid="{00000000-0005-0000-0000-0000290C0000}"/>
    <cellStyle name="Currency 5 2 4 2 2 3 2" xfId="13513" xr:uid="{80DD5C30-8581-445B-8F2E-CFCDBDC07EDA}"/>
    <cellStyle name="Currency 5 2 4 2 2 3 3" xfId="21960" xr:uid="{145CE829-360F-4BA0-96E2-186910893958}"/>
    <cellStyle name="Currency 5 2 4 2 2 3 4" xfId="30407" xr:uid="{2AFF79A9-B5CE-45DF-AE1E-755BFDCECF4A}"/>
    <cellStyle name="Currency 5 2 4 2 2 4" xfId="9295" xr:uid="{B1A1B077-6D28-4B48-9792-55EC97262615}"/>
    <cellStyle name="Currency 5 2 4 2 2 5" xfId="17743" xr:uid="{4CA175AA-A926-4434-A300-D807D8A4A86D}"/>
    <cellStyle name="Currency 5 2 4 2 2 6" xfId="26190" xr:uid="{0FE870F3-0AD2-48AD-AB45-166EE3B1B0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B1722925-B130-4EA4-A09D-FF7FE203579F}"/>
    <cellStyle name="Currency 5 2 4 2 3 2 2 3" xfId="24518" xr:uid="{E8C11A00-9F84-41E4-B162-3086B87DFD35}"/>
    <cellStyle name="Currency 5 2 4 2 3 2 2 4" xfId="32965" xr:uid="{056A2DC0-AC6F-444B-BA56-44A039E6BDDF}"/>
    <cellStyle name="Currency 5 2 4 2 3 2 3" xfId="11853" xr:uid="{CBAC5C34-5711-4991-AC77-D4D5AE2FDAD7}"/>
    <cellStyle name="Currency 5 2 4 2 3 2 4" xfId="20301" xr:uid="{7EEF1229-7882-4801-962E-AF6AE23B8329}"/>
    <cellStyle name="Currency 5 2 4 2 3 2 5" xfId="28748" xr:uid="{F6A23D85-6D9C-421F-9230-C727709C0AEF}"/>
    <cellStyle name="Currency 5 2 4 2 3 3" xfId="5476" xr:uid="{00000000-0005-0000-0000-00002D0C0000}"/>
    <cellStyle name="Currency 5 2 4 2 3 3 2" xfId="13926" xr:uid="{6AB81D91-404F-4BF7-9BE3-38752DD5DF4D}"/>
    <cellStyle name="Currency 5 2 4 2 3 3 3" xfId="22373" xr:uid="{E52AEA51-2C45-4CED-8F45-46FC03DB0578}"/>
    <cellStyle name="Currency 5 2 4 2 3 3 4" xfId="30820" xr:uid="{83B9732C-A4E9-4CEE-9E16-EC539257F507}"/>
    <cellStyle name="Currency 5 2 4 2 3 4" xfId="9708" xr:uid="{4EE0CB98-29F0-4B9A-AB43-CCC6EE3B66EE}"/>
    <cellStyle name="Currency 5 2 4 2 3 5" xfId="18156" xr:uid="{99A18F1A-26F3-4BDE-9447-1F192CFCAC13}"/>
    <cellStyle name="Currency 5 2 4 2 3 6" xfId="26603" xr:uid="{4F3AD5A3-869A-4138-9F04-7C8C1B5CDDA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0DDE61F2-5C92-468A-99AF-D4CFDBD4E59E}"/>
    <cellStyle name="Currency 5 2 4 2 4 2 2 3" xfId="24931" xr:uid="{6CCFDCAC-0293-4817-9775-96DA67CF96BF}"/>
    <cellStyle name="Currency 5 2 4 2 4 2 2 4" xfId="33378" xr:uid="{3D661194-0A4F-457D-A132-B9EE92787D5B}"/>
    <cellStyle name="Currency 5 2 4 2 4 2 3" xfId="12266" xr:uid="{2C6F55D0-2001-431C-A8BC-05C34347448E}"/>
    <cellStyle name="Currency 5 2 4 2 4 2 4" xfId="20714" xr:uid="{A02A5705-A474-4304-B8D3-8813856E8538}"/>
    <cellStyle name="Currency 5 2 4 2 4 2 5" xfId="29161" xr:uid="{ED402836-22E4-4B3D-8FC5-0E4ED906F3E5}"/>
    <cellStyle name="Currency 5 2 4 2 4 3" xfId="5889" xr:uid="{00000000-0005-0000-0000-0000310C0000}"/>
    <cellStyle name="Currency 5 2 4 2 4 3 2" xfId="14339" xr:uid="{E0770F9C-8EDB-441A-8154-77632C07952F}"/>
    <cellStyle name="Currency 5 2 4 2 4 3 3" xfId="22786" xr:uid="{A7CF7D87-421D-4C73-86A7-547E3042F527}"/>
    <cellStyle name="Currency 5 2 4 2 4 3 4" xfId="31233" xr:uid="{82936B8E-6425-4238-AAF3-BFF8587AE1EC}"/>
    <cellStyle name="Currency 5 2 4 2 4 4" xfId="10121" xr:uid="{63DDBBBB-BDD1-4684-94D2-D3FC2F85AD46}"/>
    <cellStyle name="Currency 5 2 4 2 4 5" xfId="18569" xr:uid="{8431D705-0A59-451A-A7F3-E3A7C3BF3BD6}"/>
    <cellStyle name="Currency 5 2 4 2 4 6" xfId="27016" xr:uid="{03C8C6A2-8C99-4E66-9DB8-5605747938A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A3A4AAE0-A2EA-4E21-A8A4-A6A67DDA4847}"/>
    <cellStyle name="Currency 5 2 4 2 5 2 2 3" xfId="25344" xr:uid="{8DB57742-45FA-4539-B101-8D5F842C39CC}"/>
    <cellStyle name="Currency 5 2 4 2 5 2 2 4" xfId="33791" xr:uid="{1F4BDDBC-653C-4028-8804-0F076B292DBB}"/>
    <cellStyle name="Currency 5 2 4 2 5 2 3" xfId="12679" xr:uid="{B84CCC8B-A80E-4D8B-BF98-1CB70112F0BA}"/>
    <cellStyle name="Currency 5 2 4 2 5 2 4" xfId="21127" xr:uid="{5655DD64-5585-49AB-91BD-72F9C00DE92B}"/>
    <cellStyle name="Currency 5 2 4 2 5 2 5" xfId="29574" xr:uid="{C75DB7AA-2ACD-4951-98EC-E845533AAACA}"/>
    <cellStyle name="Currency 5 2 4 2 5 3" xfId="6302" xr:uid="{00000000-0005-0000-0000-0000350C0000}"/>
    <cellStyle name="Currency 5 2 4 2 5 3 2" xfId="14752" xr:uid="{EBC6EFCC-F9BC-4357-9F0F-D8F88CF5FB3B}"/>
    <cellStyle name="Currency 5 2 4 2 5 3 3" xfId="23199" xr:uid="{7E1E9D79-41F0-4DBB-9DB2-F21CA12F31A1}"/>
    <cellStyle name="Currency 5 2 4 2 5 3 4" xfId="31646" xr:uid="{48A8F19D-5C61-4A44-BE26-07C292F0E645}"/>
    <cellStyle name="Currency 5 2 4 2 5 4" xfId="10534" xr:uid="{BF2051DE-0FE0-4133-A074-AC1D50279ED0}"/>
    <cellStyle name="Currency 5 2 4 2 5 5" xfId="18982" xr:uid="{208AA6A8-109F-482C-9F2E-3ECC3FF60B8C}"/>
    <cellStyle name="Currency 5 2 4 2 5 6" xfId="27429" xr:uid="{AAC574E1-3768-439A-985D-5F96BB1BC15D}"/>
    <cellStyle name="Currency 5 2 4 2 6" xfId="2431" xr:uid="{00000000-0005-0000-0000-0000360C0000}"/>
    <cellStyle name="Currency 5 2 4 2 6 2" xfId="6715" xr:uid="{00000000-0005-0000-0000-0000370C0000}"/>
    <cellStyle name="Currency 5 2 4 2 6 2 2" xfId="15165" xr:uid="{6F1434E4-A1CE-404E-8D18-7632C4C26684}"/>
    <cellStyle name="Currency 5 2 4 2 6 2 3" xfId="23612" xr:uid="{1D228329-35FE-49C2-A8AA-5EAB9DE1290D}"/>
    <cellStyle name="Currency 5 2 4 2 6 2 4" xfId="32059" xr:uid="{D9AEE6D6-BA8F-49B7-8D2A-53E806A6B233}"/>
    <cellStyle name="Currency 5 2 4 2 6 3" xfId="10947" xr:uid="{B3DAE452-426D-4025-B62A-7A399471C8AF}"/>
    <cellStyle name="Currency 5 2 4 2 6 4" xfId="19395" xr:uid="{B9FDB768-F3C5-4069-9853-DE8C772A86DC}"/>
    <cellStyle name="Currency 5 2 4 2 6 5" xfId="27842" xr:uid="{6C059B22-B9E8-4E14-874D-3244B99EC453}"/>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447ECDEE-5B75-40E1-9EC2-648DE677B6A0}"/>
    <cellStyle name="Currency 5 2 4 2 8 2 3" xfId="23929" xr:uid="{0BECF461-C2F6-4104-9AB0-EA0D5A0F144B}"/>
    <cellStyle name="Currency 5 2 4 2 8 2 4" xfId="32376" xr:uid="{5639A986-5324-4211-8680-DB4B673C801A}"/>
    <cellStyle name="Currency 5 2 4 2 8 3" xfId="11264" xr:uid="{D51FB9A8-A236-4C92-BF24-731FEA49692D}"/>
    <cellStyle name="Currency 5 2 4 2 8 4" xfId="19712" xr:uid="{6BC5EDAB-8EEB-4FBB-BDE0-C1849957EB17}"/>
    <cellStyle name="Currency 5 2 4 2 8 5" xfId="28159" xr:uid="{20FAB3AE-C578-4476-853C-D13ED804FAAE}"/>
    <cellStyle name="Currency 5 2 4 2 9" xfId="4649" xr:uid="{00000000-0005-0000-0000-00003B0C0000}"/>
    <cellStyle name="Currency 5 2 4 2 9 2" xfId="13099" xr:uid="{212A91B8-A524-47F7-ABCB-8FE1EDA5A60C}"/>
    <cellStyle name="Currency 5 2 4 2 9 3" xfId="21546" xr:uid="{84EDF127-D2DB-43DA-B89A-247BF80A2297}"/>
    <cellStyle name="Currency 5 2 4 2 9 4" xfId="29993" xr:uid="{ED8A859B-D938-4EC3-857F-DA390F12C92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F7032E44-65FA-455B-AEE8-1E6DEAF1453F}"/>
    <cellStyle name="Currency 5 2 4 3 2 2 3" xfId="24104" xr:uid="{72A43102-9663-49B4-8B45-35AF45C481C4}"/>
    <cellStyle name="Currency 5 2 4 3 2 2 4" xfId="32551" xr:uid="{69A5F17C-1823-422D-B93D-66D38A450372}"/>
    <cellStyle name="Currency 5 2 4 3 2 3" xfId="11439" xr:uid="{70A5AA90-2CB4-4981-B287-AED6456535C4}"/>
    <cellStyle name="Currency 5 2 4 3 2 4" xfId="19887" xr:uid="{DAE99B57-589D-4489-9B3B-37EA00669797}"/>
    <cellStyle name="Currency 5 2 4 3 2 5" xfId="28334" xr:uid="{C4FE1637-B080-482A-8655-EC1E99B9E052}"/>
    <cellStyle name="Currency 5 2 4 3 3" xfId="5062" xr:uid="{00000000-0005-0000-0000-00003F0C0000}"/>
    <cellStyle name="Currency 5 2 4 3 3 2" xfId="13512" xr:uid="{03E7E2D0-236F-4B5B-9FE1-C5241D98D82D}"/>
    <cellStyle name="Currency 5 2 4 3 3 3" xfId="21959" xr:uid="{339057F0-0BE9-490C-AA29-A67194133D18}"/>
    <cellStyle name="Currency 5 2 4 3 3 4" xfId="30406" xr:uid="{051170CB-CD60-46CA-8579-2AFC82048B87}"/>
    <cellStyle name="Currency 5 2 4 3 4" xfId="9294" xr:uid="{C148B238-B3CC-43C4-B998-F0C9C319EB9E}"/>
    <cellStyle name="Currency 5 2 4 3 5" xfId="17742" xr:uid="{B0602608-3BB5-4F81-AD19-5378253BF171}"/>
    <cellStyle name="Currency 5 2 4 3 6" xfId="26189" xr:uid="{C2A5CF0C-502C-4EA6-A821-8D851646A0CC}"/>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CE7AA69A-04BC-4E20-9584-AF725989B31E}"/>
    <cellStyle name="Currency 5 2 4 4 2 2 3" xfId="24517" xr:uid="{578305DD-3C6C-4105-9C32-B929D15AA1DF}"/>
    <cellStyle name="Currency 5 2 4 4 2 2 4" xfId="32964" xr:uid="{799E4B5E-ECE6-48D7-A713-FD777D9FCF8B}"/>
    <cellStyle name="Currency 5 2 4 4 2 3" xfId="11852" xr:uid="{D1E91E4B-38CA-48B9-9D8E-0BF78AEF5D3B}"/>
    <cellStyle name="Currency 5 2 4 4 2 4" xfId="20300" xr:uid="{E192C863-1214-4F92-8C28-5E22DBDF5487}"/>
    <cellStyle name="Currency 5 2 4 4 2 5" xfId="28747" xr:uid="{69E90AE4-9C0C-4AE6-999D-17C41BB94E04}"/>
    <cellStyle name="Currency 5 2 4 4 3" xfId="5475" xr:uid="{00000000-0005-0000-0000-0000430C0000}"/>
    <cellStyle name="Currency 5 2 4 4 3 2" xfId="13925" xr:uid="{8073B3B1-3C41-43C5-8EA9-9210175535CB}"/>
    <cellStyle name="Currency 5 2 4 4 3 3" xfId="22372" xr:uid="{F02704B6-B7AD-43AF-B8FE-2A228BB3937C}"/>
    <cellStyle name="Currency 5 2 4 4 3 4" xfId="30819" xr:uid="{05B5FD19-3E4E-4000-BD85-C43110D457D4}"/>
    <cellStyle name="Currency 5 2 4 4 4" xfId="9707" xr:uid="{7A674948-990C-49C7-B3F4-5989E7F17DF9}"/>
    <cellStyle name="Currency 5 2 4 4 5" xfId="18155" xr:uid="{AE944EDC-985B-49A1-A9FF-B31ABC22A71B}"/>
    <cellStyle name="Currency 5 2 4 4 6" xfId="26602" xr:uid="{6B3BDB18-AA82-4A17-8067-94957F2EC20C}"/>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D77DE7B5-FBE9-43A9-984F-E2178275E953}"/>
    <cellStyle name="Currency 5 2 4 5 2 2 3" xfId="24930" xr:uid="{B235C801-2BF7-4787-A865-EC101E9BE63F}"/>
    <cellStyle name="Currency 5 2 4 5 2 2 4" xfId="33377" xr:uid="{465F6154-140C-48B1-A88C-E332C346B203}"/>
    <cellStyle name="Currency 5 2 4 5 2 3" xfId="12265" xr:uid="{BE38F8B8-C326-434B-8D82-D0A98405E1D1}"/>
    <cellStyle name="Currency 5 2 4 5 2 4" xfId="20713" xr:uid="{7419384D-4AE3-4633-B056-36A588F8A272}"/>
    <cellStyle name="Currency 5 2 4 5 2 5" xfId="29160" xr:uid="{E20B10DE-A420-426E-8867-B903E8FBCDB5}"/>
    <cellStyle name="Currency 5 2 4 5 3" xfId="5888" xr:uid="{00000000-0005-0000-0000-0000470C0000}"/>
    <cellStyle name="Currency 5 2 4 5 3 2" xfId="14338" xr:uid="{A1C3AE8F-73B1-4894-B436-6B40ED191BA9}"/>
    <cellStyle name="Currency 5 2 4 5 3 3" xfId="22785" xr:uid="{B0BC3F1F-AD50-4FFF-AE35-6AE9ABCDF5D7}"/>
    <cellStyle name="Currency 5 2 4 5 3 4" xfId="31232" xr:uid="{555AF7BA-5A76-4688-B8CD-F4F3C49A0035}"/>
    <cellStyle name="Currency 5 2 4 5 4" xfId="10120" xr:uid="{435B6DA6-AE6F-4708-8A9A-F54DF2CC44B0}"/>
    <cellStyle name="Currency 5 2 4 5 5" xfId="18568" xr:uid="{2ED2F8E4-7ED0-4CEA-9996-C923DA43BB79}"/>
    <cellStyle name="Currency 5 2 4 5 6" xfId="27015" xr:uid="{683A8DB8-CABC-4128-BCA4-D110FB68DD3C}"/>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A13D689F-9E9E-4687-8B94-6B283B231C91}"/>
    <cellStyle name="Currency 5 2 4 6 2 2 3" xfId="25343" xr:uid="{853C2EBE-B39B-43E4-9DFA-A9FA25288085}"/>
    <cellStyle name="Currency 5 2 4 6 2 2 4" xfId="33790" xr:uid="{5EFD892A-0B7D-4924-B964-D1B360A5FE38}"/>
    <cellStyle name="Currency 5 2 4 6 2 3" xfId="12678" xr:uid="{B44F5D01-2595-4A37-9960-85136B5A0B5A}"/>
    <cellStyle name="Currency 5 2 4 6 2 4" xfId="21126" xr:uid="{C58D1098-8BEA-4E34-B014-AF2CD1517E0A}"/>
    <cellStyle name="Currency 5 2 4 6 2 5" xfId="29573" xr:uid="{68BBA121-8C1D-4ED5-8E8F-CD69D97F6367}"/>
    <cellStyle name="Currency 5 2 4 6 3" xfId="6301" xr:uid="{00000000-0005-0000-0000-00004B0C0000}"/>
    <cellStyle name="Currency 5 2 4 6 3 2" xfId="14751" xr:uid="{11B7D7FB-D396-40AC-B025-B5B2946F70FA}"/>
    <cellStyle name="Currency 5 2 4 6 3 3" xfId="23198" xr:uid="{3AEBB210-E545-475B-9C54-7DAAA91EB7FB}"/>
    <cellStyle name="Currency 5 2 4 6 3 4" xfId="31645" xr:uid="{46A135AC-59D7-435A-989D-C9B340B80211}"/>
    <cellStyle name="Currency 5 2 4 6 4" xfId="10533" xr:uid="{E6E28BFE-1478-4234-9F63-4AFA7F6CCF6A}"/>
    <cellStyle name="Currency 5 2 4 6 5" xfId="18981" xr:uid="{E7A383D3-DEDE-4243-9E99-1F80B07217F6}"/>
    <cellStyle name="Currency 5 2 4 6 6" xfId="27428" xr:uid="{074D0008-5223-46CD-8D4B-8953A98359D2}"/>
    <cellStyle name="Currency 5 2 4 7" xfId="2430" xr:uid="{00000000-0005-0000-0000-00004C0C0000}"/>
    <cellStyle name="Currency 5 2 4 7 2" xfId="6714" xr:uid="{00000000-0005-0000-0000-00004D0C0000}"/>
    <cellStyle name="Currency 5 2 4 7 2 2" xfId="15164" xr:uid="{00BD9BFF-BA72-4271-9A2F-A85D12C7258A}"/>
    <cellStyle name="Currency 5 2 4 7 2 3" xfId="23611" xr:uid="{0F380CF8-C037-4AFA-821A-C6B851AE0346}"/>
    <cellStyle name="Currency 5 2 4 7 2 4" xfId="32058" xr:uid="{7288A0DB-D515-4EFF-8C71-C90407D743D4}"/>
    <cellStyle name="Currency 5 2 4 7 3" xfId="10946" xr:uid="{451EF31C-AF36-493E-8C90-148BC2F74228}"/>
    <cellStyle name="Currency 5 2 4 7 4" xfId="19394" xr:uid="{84623497-18BF-4C53-98F9-7F6ED6F10A78}"/>
    <cellStyle name="Currency 5 2 4 7 5" xfId="27841" xr:uid="{7923DD09-DA1D-4824-8A67-0376FD7E3F42}"/>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B4F73CF3-0D73-445A-A004-D27B7021DDA8}"/>
    <cellStyle name="Currency 5 2 4 9 2 3" xfId="23928" xr:uid="{389D9BD8-A3E7-4B0F-9BC9-4346EAAFC0F7}"/>
    <cellStyle name="Currency 5 2 4 9 2 4" xfId="32375" xr:uid="{4CFB63D6-D27B-4901-A333-E2950A4B0F2A}"/>
    <cellStyle name="Currency 5 2 4 9 3" xfId="11263" xr:uid="{86D2CC52-C1A0-419E-97EF-AAC54A4B8BEA}"/>
    <cellStyle name="Currency 5 2 4 9 4" xfId="19711" xr:uid="{69A609A4-DDB8-4936-87BD-0AD5B8056641}"/>
    <cellStyle name="Currency 5 2 4 9 5" xfId="28158" xr:uid="{42D42E18-3328-4698-A92B-8671A78221C8}"/>
    <cellStyle name="Currency 5 2 5" xfId="207" xr:uid="{00000000-0005-0000-0000-0000510C0000}"/>
    <cellStyle name="Currency 5 2 5 10" xfId="8882" xr:uid="{39037B01-F2E7-4632-BE8F-BC77A8EE5E49}"/>
    <cellStyle name="Currency 5 2 5 11" xfId="17330" xr:uid="{ED85C84B-A66F-4484-A45E-045085130940}"/>
    <cellStyle name="Currency 5 2 5 12" xfId="25777" xr:uid="{391396C9-B521-43E4-B4E6-95289CBB48D9}"/>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26B51C56-4171-4A46-BBFC-FF4B63A9BDDD}"/>
    <cellStyle name="Currency 5 2 5 2 2 2 3" xfId="24106" xr:uid="{691713E0-9C6C-451D-8F26-3810FE554F71}"/>
    <cellStyle name="Currency 5 2 5 2 2 2 4" xfId="32553" xr:uid="{628DA7C1-5249-4334-A251-A2AD89A5A962}"/>
    <cellStyle name="Currency 5 2 5 2 2 3" xfId="11441" xr:uid="{CED02F11-90AB-45F1-9A19-BF55D940CC04}"/>
    <cellStyle name="Currency 5 2 5 2 2 4" xfId="19889" xr:uid="{516235A2-8B3C-4F0B-8291-85E992EEDE32}"/>
    <cellStyle name="Currency 5 2 5 2 2 5" xfId="28336" xr:uid="{3401D160-5058-4737-9056-E5FA590F6C4B}"/>
    <cellStyle name="Currency 5 2 5 2 3" xfId="5064" xr:uid="{00000000-0005-0000-0000-0000550C0000}"/>
    <cellStyle name="Currency 5 2 5 2 3 2" xfId="13514" xr:uid="{B8C3BB74-B892-4D3C-A2DD-1CDA2E2BBDC5}"/>
    <cellStyle name="Currency 5 2 5 2 3 3" xfId="21961" xr:uid="{158A3BED-7BA8-492E-81CB-1AFD30555D02}"/>
    <cellStyle name="Currency 5 2 5 2 3 4" xfId="30408" xr:uid="{27623BF0-201D-495A-9193-91731F575EB2}"/>
    <cellStyle name="Currency 5 2 5 2 4" xfId="9296" xr:uid="{B8B0EDA6-926D-4729-9378-D206D8AC94CB}"/>
    <cellStyle name="Currency 5 2 5 2 5" xfId="17744" xr:uid="{5CE6A4D8-4D87-46CD-BBB6-56AE20D187AA}"/>
    <cellStyle name="Currency 5 2 5 2 6" xfId="26191" xr:uid="{B57F931D-1B73-485D-972A-16C5778C31F9}"/>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46FC86C4-1AF5-45A9-972E-805F6ADA7107}"/>
    <cellStyle name="Currency 5 2 5 3 2 2 3" xfId="24519" xr:uid="{BD0086F7-2394-478E-B6A6-3123F088ED3C}"/>
    <cellStyle name="Currency 5 2 5 3 2 2 4" xfId="32966" xr:uid="{122E73E2-E749-4323-88B3-FE55735BDC32}"/>
    <cellStyle name="Currency 5 2 5 3 2 3" xfId="11854" xr:uid="{20E5BB08-F4D2-4B9F-9705-8BADFDD3A687}"/>
    <cellStyle name="Currency 5 2 5 3 2 4" xfId="20302" xr:uid="{5E7DE779-8378-4981-A9A5-1E42B309A900}"/>
    <cellStyle name="Currency 5 2 5 3 2 5" xfId="28749" xr:uid="{E18E94E0-2146-466C-9E0A-4F7ACA1517EA}"/>
    <cellStyle name="Currency 5 2 5 3 3" xfId="5477" xr:uid="{00000000-0005-0000-0000-0000590C0000}"/>
    <cellStyle name="Currency 5 2 5 3 3 2" xfId="13927" xr:uid="{6FF9C99A-D74C-4374-AE37-9961C19DFE12}"/>
    <cellStyle name="Currency 5 2 5 3 3 3" xfId="22374" xr:uid="{0168098D-237D-4DF3-B2E7-AFFABC72BD19}"/>
    <cellStyle name="Currency 5 2 5 3 3 4" xfId="30821" xr:uid="{496AE3F9-42F4-406E-8DA3-E06CA026D015}"/>
    <cellStyle name="Currency 5 2 5 3 4" xfId="9709" xr:uid="{B9D2C565-B3AE-4A4B-BF18-7CDBF60F7C95}"/>
    <cellStyle name="Currency 5 2 5 3 5" xfId="18157" xr:uid="{F8998F2D-CD3C-4FD3-9915-8F2815DFF505}"/>
    <cellStyle name="Currency 5 2 5 3 6" xfId="26604" xr:uid="{2BF5BEB2-7978-4644-A4CC-D9C8F8875B6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66E069AC-888C-4C37-8AF3-010B7CE7D1E0}"/>
    <cellStyle name="Currency 5 2 5 4 2 2 3" xfId="24932" xr:uid="{124A97D0-55D1-4FD4-9C5A-7E84E6FC720C}"/>
    <cellStyle name="Currency 5 2 5 4 2 2 4" xfId="33379" xr:uid="{D360792B-DC9A-4440-9B0B-3B04A0D9E61E}"/>
    <cellStyle name="Currency 5 2 5 4 2 3" xfId="12267" xr:uid="{CF375FAD-3C67-4F35-9ED6-52C30869379C}"/>
    <cellStyle name="Currency 5 2 5 4 2 4" xfId="20715" xr:uid="{F747C622-9071-4B86-AE91-DEF671281541}"/>
    <cellStyle name="Currency 5 2 5 4 2 5" xfId="29162" xr:uid="{B6377427-824E-4D76-B6E5-DC7E74E5A551}"/>
    <cellStyle name="Currency 5 2 5 4 3" xfId="5890" xr:uid="{00000000-0005-0000-0000-00005D0C0000}"/>
    <cellStyle name="Currency 5 2 5 4 3 2" xfId="14340" xr:uid="{3DF16B89-E12C-48A2-8186-FD5455C15E20}"/>
    <cellStyle name="Currency 5 2 5 4 3 3" xfId="22787" xr:uid="{81867658-CDD1-41B9-9F40-254F261F01B0}"/>
    <cellStyle name="Currency 5 2 5 4 3 4" xfId="31234" xr:uid="{9B48CA75-2609-4C69-B83E-208AA70A3BF6}"/>
    <cellStyle name="Currency 5 2 5 4 4" xfId="10122" xr:uid="{0A4EE3AC-4FDB-4F4F-AFD3-1C4F504B7E22}"/>
    <cellStyle name="Currency 5 2 5 4 5" xfId="18570" xr:uid="{7EBA2BD5-58D4-4EC3-A3A8-CDF0F10E296F}"/>
    <cellStyle name="Currency 5 2 5 4 6" xfId="27017" xr:uid="{11BBF606-4304-4342-8C21-7DF2487FE65C}"/>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C2252325-E0C5-4933-B7A1-720A679A3E7D}"/>
    <cellStyle name="Currency 5 2 5 5 2 2 3" xfId="25345" xr:uid="{F88D221E-6BEB-4410-A90E-3BE3CCA1F45D}"/>
    <cellStyle name="Currency 5 2 5 5 2 2 4" xfId="33792" xr:uid="{47482EA4-11D9-4E65-A437-637A35AEB40A}"/>
    <cellStyle name="Currency 5 2 5 5 2 3" xfId="12680" xr:uid="{88F0FD97-F356-42C8-9BA6-AF2A40FB3430}"/>
    <cellStyle name="Currency 5 2 5 5 2 4" xfId="21128" xr:uid="{D46F46A1-70BE-473B-8691-9F13FBE2EE48}"/>
    <cellStyle name="Currency 5 2 5 5 2 5" xfId="29575" xr:uid="{B024F186-63D5-4023-9241-D844B8C9423E}"/>
    <cellStyle name="Currency 5 2 5 5 3" xfId="6303" xr:uid="{00000000-0005-0000-0000-0000610C0000}"/>
    <cellStyle name="Currency 5 2 5 5 3 2" xfId="14753" xr:uid="{F87FACCA-2A7C-4AA3-AB5F-F3731DBB1E4B}"/>
    <cellStyle name="Currency 5 2 5 5 3 3" xfId="23200" xr:uid="{5101FA0E-12F8-4EDE-87C6-EC7230739AA9}"/>
    <cellStyle name="Currency 5 2 5 5 3 4" xfId="31647" xr:uid="{B47968AF-0D15-4087-8417-3A7FC440C417}"/>
    <cellStyle name="Currency 5 2 5 5 4" xfId="10535" xr:uid="{553D3C35-FF44-406A-B99D-E01FA9DFC755}"/>
    <cellStyle name="Currency 5 2 5 5 5" xfId="18983" xr:uid="{A0D97CA1-CBEE-43B3-9981-CFF39FD5E5D5}"/>
    <cellStyle name="Currency 5 2 5 5 6" xfId="27430" xr:uid="{560F4A06-FC65-4C31-B2B0-B6C4946F3A4C}"/>
    <cellStyle name="Currency 5 2 5 6" xfId="2432" xr:uid="{00000000-0005-0000-0000-0000620C0000}"/>
    <cellStyle name="Currency 5 2 5 6 2" xfId="6716" xr:uid="{00000000-0005-0000-0000-0000630C0000}"/>
    <cellStyle name="Currency 5 2 5 6 2 2" xfId="15166" xr:uid="{BF3F82A2-799D-46D8-9BF6-B97809EFEFC7}"/>
    <cellStyle name="Currency 5 2 5 6 2 3" xfId="23613" xr:uid="{9939C316-BB69-43CA-9011-488388518643}"/>
    <cellStyle name="Currency 5 2 5 6 2 4" xfId="32060" xr:uid="{AF22D0E2-5E57-4E1E-9CB6-55C1BDE29367}"/>
    <cellStyle name="Currency 5 2 5 6 3" xfId="10948" xr:uid="{FCB9B06C-E04E-40EA-8A9E-E1072781D793}"/>
    <cellStyle name="Currency 5 2 5 6 4" xfId="19396" xr:uid="{9692690E-39A0-4175-AF00-B5E354E6D606}"/>
    <cellStyle name="Currency 5 2 5 6 5" xfId="27843" xr:uid="{786C391F-2799-460F-AC0F-20489E5E053B}"/>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FDFEFC6D-3AC5-4CBE-BE46-BC6DFA957DA1}"/>
    <cellStyle name="Currency 5 2 5 8 2 3" xfId="23930" xr:uid="{988EC699-05AC-437E-A22F-9FCE85F0C9FB}"/>
    <cellStyle name="Currency 5 2 5 8 2 4" xfId="32377" xr:uid="{53BB5835-D707-47DB-93F2-E2B435826D2B}"/>
    <cellStyle name="Currency 5 2 5 8 3" xfId="11265" xr:uid="{057D96AB-A41C-43F7-84CF-3ABC8E258725}"/>
    <cellStyle name="Currency 5 2 5 8 4" xfId="19713" xr:uid="{CC55C5F7-7D4F-4D88-A23E-33EA2A74693E}"/>
    <cellStyle name="Currency 5 2 5 8 5" xfId="28160" xr:uid="{070B2817-F0C6-413F-BA48-07276EB1C97A}"/>
    <cellStyle name="Currency 5 2 5 9" xfId="4650" xr:uid="{00000000-0005-0000-0000-0000670C0000}"/>
    <cellStyle name="Currency 5 2 5 9 2" xfId="13100" xr:uid="{C68238F1-DAC3-477A-AD1F-CEED5BF494D3}"/>
    <cellStyle name="Currency 5 2 5 9 3" xfId="21547" xr:uid="{965DDFD8-A5DB-47FF-A932-C5F3DAACAA86}"/>
    <cellStyle name="Currency 5 2 5 9 4" xfId="29994" xr:uid="{328C0529-F714-4628-8583-FBE548A24434}"/>
    <cellStyle name="Currency 5 2 6" xfId="208" xr:uid="{00000000-0005-0000-0000-0000680C0000}"/>
    <cellStyle name="Currency 5 2 6 10" xfId="8883" xr:uid="{0D64FE35-E71D-4DDD-9D5E-B60DCF8ADDCE}"/>
    <cellStyle name="Currency 5 2 6 11" xfId="17331" xr:uid="{45C6BACA-8D80-46A3-A0C8-0CEAC5296F4B}"/>
    <cellStyle name="Currency 5 2 6 12" xfId="25778" xr:uid="{5B863888-334D-4648-BA44-93E5A3F47BD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18A90788-F05B-44FA-8F94-7CFC43553342}"/>
    <cellStyle name="Currency 5 2 6 2 2 2 3" xfId="24107" xr:uid="{51BD3692-2DB2-4F7D-B3DE-E6ED7A3AE03E}"/>
    <cellStyle name="Currency 5 2 6 2 2 2 4" xfId="32554" xr:uid="{8ECFBEE7-35FD-453C-A5C5-B834B13B6DC2}"/>
    <cellStyle name="Currency 5 2 6 2 2 3" xfId="11442" xr:uid="{AA78DE9E-F1F7-492C-BA5A-CDE049A42B85}"/>
    <cellStyle name="Currency 5 2 6 2 2 4" xfId="19890" xr:uid="{FBEA6C7C-2A8B-4832-A608-4C43004D1B58}"/>
    <cellStyle name="Currency 5 2 6 2 2 5" xfId="28337" xr:uid="{A1F5BA7D-CE81-432F-9B4E-F8A717DBB134}"/>
    <cellStyle name="Currency 5 2 6 2 3" xfId="5065" xr:uid="{00000000-0005-0000-0000-00006C0C0000}"/>
    <cellStyle name="Currency 5 2 6 2 3 2" xfId="13515" xr:uid="{9FD2C710-8A3C-4E29-903F-0145F46BBF34}"/>
    <cellStyle name="Currency 5 2 6 2 3 3" xfId="21962" xr:uid="{A9552D3F-DE62-4A06-A172-A64337430D8B}"/>
    <cellStyle name="Currency 5 2 6 2 3 4" xfId="30409" xr:uid="{0EF8ECD4-01EB-407D-9A0A-DC42B4750BDB}"/>
    <cellStyle name="Currency 5 2 6 2 4" xfId="9297" xr:uid="{28353611-B01D-45AE-82EB-F1A1140C486E}"/>
    <cellStyle name="Currency 5 2 6 2 5" xfId="17745" xr:uid="{90BE9050-7131-4877-827F-62978048EB37}"/>
    <cellStyle name="Currency 5 2 6 2 6" xfId="26192" xr:uid="{3BF845B4-B383-4A3D-8E78-7C8C05EDC87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81483D15-3CEC-4BE7-8E23-4B0FA77180A8}"/>
    <cellStyle name="Currency 5 2 6 3 2 2 3" xfId="24520" xr:uid="{1748EABB-878F-4167-B986-413CCCB172A7}"/>
    <cellStyle name="Currency 5 2 6 3 2 2 4" xfId="32967" xr:uid="{FAE3EF47-DEE8-4134-9002-5ACED3283E94}"/>
    <cellStyle name="Currency 5 2 6 3 2 3" xfId="11855" xr:uid="{34526308-C944-4AE8-9432-661CE5A072FA}"/>
    <cellStyle name="Currency 5 2 6 3 2 4" xfId="20303" xr:uid="{33BCB1CA-7787-46DD-8BE9-8BA4EFE3C322}"/>
    <cellStyle name="Currency 5 2 6 3 2 5" xfId="28750" xr:uid="{1A4F857F-182E-4578-8B28-8217C837E109}"/>
    <cellStyle name="Currency 5 2 6 3 3" xfId="5478" xr:uid="{00000000-0005-0000-0000-0000700C0000}"/>
    <cellStyle name="Currency 5 2 6 3 3 2" xfId="13928" xr:uid="{DEAB8EE2-5D0A-41F2-8F10-7EB3EC8699F3}"/>
    <cellStyle name="Currency 5 2 6 3 3 3" xfId="22375" xr:uid="{D1DEA489-9852-4674-A4A7-A49F91444D57}"/>
    <cellStyle name="Currency 5 2 6 3 3 4" xfId="30822" xr:uid="{6D83FEEF-449F-43B8-BEC3-14F11D9CF50C}"/>
    <cellStyle name="Currency 5 2 6 3 4" xfId="9710" xr:uid="{08548328-619E-4CCA-957E-2CF70D1D027B}"/>
    <cellStyle name="Currency 5 2 6 3 5" xfId="18158" xr:uid="{1531E7BE-5122-4227-A8A1-7EFF3D20DBB6}"/>
    <cellStyle name="Currency 5 2 6 3 6" xfId="26605" xr:uid="{1ACCE63B-BC23-43AA-8192-2686FEF38062}"/>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0B104273-17F6-4EA5-A2CE-C4C4305C3669}"/>
    <cellStyle name="Currency 5 2 6 4 2 2 3" xfId="24933" xr:uid="{C7D54F0B-5356-42B0-AB5D-65390BC02D1E}"/>
    <cellStyle name="Currency 5 2 6 4 2 2 4" xfId="33380" xr:uid="{FAF234F8-0EB0-48F4-A6AA-ACDD8D1D63B2}"/>
    <cellStyle name="Currency 5 2 6 4 2 3" xfId="12268" xr:uid="{A3AECD23-F650-4DBD-8E94-FF1872A9123D}"/>
    <cellStyle name="Currency 5 2 6 4 2 4" xfId="20716" xr:uid="{405F16DD-8250-4799-9F2D-1E9E9E02FE35}"/>
    <cellStyle name="Currency 5 2 6 4 2 5" xfId="29163" xr:uid="{DB8E95B2-9D4A-4268-97C1-B0B368036C09}"/>
    <cellStyle name="Currency 5 2 6 4 3" xfId="5891" xr:uid="{00000000-0005-0000-0000-0000740C0000}"/>
    <cellStyle name="Currency 5 2 6 4 3 2" xfId="14341" xr:uid="{E45C4605-F854-477D-B31F-9565C02916CB}"/>
    <cellStyle name="Currency 5 2 6 4 3 3" xfId="22788" xr:uid="{8185B3A5-8030-4269-9EEC-3E0B24624002}"/>
    <cellStyle name="Currency 5 2 6 4 3 4" xfId="31235" xr:uid="{6FBE71F1-D226-4A98-8F46-BCFA0BDCF23D}"/>
    <cellStyle name="Currency 5 2 6 4 4" xfId="10123" xr:uid="{2B4EC71C-B3D7-45B7-9EC9-4180F9142FFA}"/>
    <cellStyle name="Currency 5 2 6 4 5" xfId="18571" xr:uid="{4F6ED4FF-F1B7-416E-9008-A92DF5849F4E}"/>
    <cellStyle name="Currency 5 2 6 4 6" xfId="27018" xr:uid="{DC7D865C-B4C3-4E9C-86AF-92E783EE441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456AD218-8677-4431-AC94-C70D204142A8}"/>
    <cellStyle name="Currency 5 2 6 5 2 2 3" xfId="25346" xr:uid="{03EEE629-346C-4A25-ACF3-079EAD3861CB}"/>
    <cellStyle name="Currency 5 2 6 5 2 2 4" xfId="33793" xr:uid="{FF7965A6-3393-4B2E-B322-BB292BCD8CAE}"/>
    <cellStyle name="Currency 5 2 6 5 2 3" xfId="12681" xr:uid="{B5C0F434-E848-46A0-BD03-F42B9F10F687}"/>
    <cellStyle name="Currency 5 2 6 5 2 4" xfId="21129" xr:uid="{866BC58F-EE17-4720-8C62-BAFD28612ACB}"/>
    <cellStyle name="Currency 5 2 6 5 2 5" xfId="29576" xr:uid="{AC789F50-A567-4E3B-A66E-FAAFB0CC8366}"/>
    <cellStyle name="Currency 5 2 6 5 3" xfId="6304" xr:uid="{00000000-0005-0000-0000-0000780C0000}"/>
    <cellStyle name="Currency 5 2 6 5 3 2" xfId="14754" xr:uid="{53A112BE-8CCE-46B9-873B-76A04B2031BB}"/>
    <cellStyle name="Currency 5 2 6 5 3 3" xfId="23201" xr:uid="{E19374A9-C194-4850-AB1A-5F88B2355A3D}"/>
    <cellStyle name="Currency 5 2 6 5 3 4" xfId="31648" xr:uid="{CF7688BD-108F-4575-9B6B-004A00A3581C}"/>
    <cellStyle name="Currency 5 2 6 5 4" xfId="10536" xr:uid="{6951D741-127F-4F63-A20A-EFE36B1BD309}"/>
    <cellStyle name="Currency 5 2 6 5 5" xfId="18984" xr:uid="{923764EC-75B1-437C-98E5-A04021EE91AC}"/>
    <cellStyle name="Currency 5 2 6 5 6" xfId="27431" xr:uid="{F3023365-9E0F-4DEC-A2E8-D9C2908BBAA0}"/>
    <cellStyle name="Currency 5 2 6 6" xfId="2433" xr:uid="{00000000-0005-0000-0000-0000790C0000}"/>
    <cellStyle name="Currency 5 2 6 6 2" xfId="6717" xr:uid="{00000000-0005-0000-0000-00007A0C0000}"/>
    <cellStyle name="Currency 5 2 6 6 2 2" xfId="15167" xr:uid="{11B299E2-1A54-43D4-A4E8-96A98A56E216}"/>
    <cellStyle name="Currency 5 2 6 6 2 3" xfId="23614" xr:uid="{D8358C47-7295-4151-ADF3-E890D5F537A3}"/>
    <cellStyle name="Currency 5 2 6 6 2 4" xfId="32061" xr:uid="{A5D91392-D04E-4D7B-874F-07ED55DD5BD2}"/>
    <cellStyle name="Currency 5 2 6 6 3" xfId="10949" xr:uid="{3374E712-CD9C-4517-8FDC-71E6F58EC5AD}"/>
    <cellStyle name="Currency 5 2 6 6 4" xfId="19397" xr:uid="{8B9CB473-80B8-4551-88F9-ED63A93BE9F2}"/>
    <cellStyle name="Currency 5 2 6 6 5" xfId="27844" xr:uid="{293FF5B5-F13F-4244-B511-F84DEFA8082D}"/>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161C16D2-B363-46BC-A095-256FF4E3D160}"/>
    <cellStyle name="Currency 5 2 6 8 2 3" xfId="23931" xr:uid="{77C6CAAF-051D-48D1-98B1-74C3134C6BF9}"/>
    <cellStyle name="Currency 5 2 6 8 2 4" xfId="32378" xr:uid="{38A605FA-B61F-4DCB-A36E-3C4EE056986F}"/>
    <cellStyle name="Currency 5 2 6 8 3" xfId="11266" xr:uid="{15B3392D-5DD7-4134-A5ED-6A6649DC1C56}"/>
    <cellStyle name="Currency 5 2 6 8 4" xfId="19714" xr:uid="{2B9AE423-4795-4037-9734-81D3F1A1D32B}"/>
    <cellStyle name="Currency 5 2 6 8 5" xfId="28161" xr:uid="{97A34B8D-53ED-4E68-9981-6F37A482D92D}"/>
    <cellStyle name="Currency 5 2 6 9" xfId="4651" xr:uid="{00000000-0005-0000-0000-00007E0C0000}"/>
    <cellStyle name="Currency 5 2 6 9 2" xfId="13101" xr:uid="{5841DBBA-CC69-45E6-8A59-57D6A1022536}"/>
    <cellStyle name="Currency 5 2 6 9 3" xfId="21548" xr:uid="{CF47BC2F-1C54-43A3-BB0A-B6419203917C}"/>
    <cellStyle name="Currency 5 2 6 9 4" xfId="29995" xr:uid="{A04DE57D-B5CA-43C6-9BD9-003D49E8C2BF}"/>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A274BD75-A1EC-4C4C-9C1B-FEC1564A1D08}"/>
    <cellStyle name="Currency 5 3 2 10 2 3" xfId="23932" xr:uid="{BB0A5B8B-690F-4D1A-BA43-C1293FDA4339}"/>
    <cellStyle name="Currency 5 3 2 10 2 4" xfId="32379" xr:uid="{5FDEB862-36AA-4C62-B0F3-72422CF49F8D}"/>
    <cellStyle name="Currency 5 3 2 10 3" xfId="11267" xr:uid="{C65E9110-D25D-45AE-A46C-378530E38B90}"/>
    <cellStyle name="Currency 5 3 2 10 4" xfId="19715" xr:uid="{234EBD46-8F48-4A9D-A1D4-0C5565A1A355}"/>
    <cellStyle name="Currency 5 3 2 10 5" xfId="28162" xr:uid="{6F19D8FA-F8DD-436B-AE77-8A5A572B8DA5}"/>
    <cellStyle name="Currency 5 3 2 11" xfId="4652" xr:uid="{00000000-0005-0000-0000-0000840C0000}"/>
    <cellStyle name="Currency 5 3 2 11 2" xfId="13102" xr:uid="{325A013F-8778-48FE-94CE-DD7AA8785F5E}"/>
    <cellStyle name="Currency 5 3 2 11 3" xfId="21549" xr:uid="{305CF3CD-32EE-4F55-9922-FA9C213FE9DE}"/>
    <cellStyle name="Currency 5 3 2 11 4" xfId="29996" xr:uid="{26D15849-5EEE-4214-A0B7-239F2ABE965B}"/>
    <cellStyle name="Currency 5 3 2 12" xfId="8884" xr:uid="{F63A98F5-29E7-4228-B035-6CFE895E615F}"/>
    <cellStyle name="Currency 5 3 2 13" xfId="17332" xr:uid="{3FA09498-3611-473F-BE3D-DE68A43967E4}"/>
    <cellStyle name="Currency 5 3 2 14" xfId="25779" xr:uid="{541F4E96-7495-4556-BFBC-E744812F0FE7}"/>
    <cellStyle name="Currency 5 3 2 2" xfId="211" xr:uid="{00000000-0005-0000-0000-0000850C0000}"/>
    <cellStyle name="Currency 5 3 2 2 10" xfId="4653" xr:uid="{00000000-0005-0000-0000-0000860C0000}"/>
    <cellStyle name="Currency 5 3 2 2 10 2" xfId="13103" xr:uid="{771CD10D-2FE9-4E72-AC68-06EAD58028DE}"/>
    <cellStyle name="Currency 5 3 2 2 10 3" xfId="21550" xr:uid="{0B81FEE8-8F1F-491A-A3E6-4FA9E1E29B3E}"/>
    <cellStyle name="Currency 5 3 2 2 10 4" xfId="29997" xr:uid="{570D2AE3-9201-4B50-994E-0197F0F57414}"/>
    <cellStyle name="Currency 5 3 2 2 11" xfId="8885" xr:uid="{8418CA9B-6B57-4A84-938D-A3A0E86DE63F}"/>
    <cellStyle name="Currency 5 3 2 2 12" xfId="17333" xr:uid="{60322B1D-F394-48C5-97F6-D622213804FB}"/>
    <cellStyle name="Currency 5 3 2 2 13" xfId="25780" xr:uid="{E6447DF2-1F3A-49EA-9BD3-AB00A9228448}"/>
    <cellStyle name="Currency 5 3 2 2 2" xfId="212" xr:uid="{00000000-0005-0000-0000-0000870C0000}"/>
    <cellStyle name="Currency 5 3 2 2 2 10" xfId="8886" xr:uid="{976453D0-0E00-44F4-AF33-A863945FB4CF}"/>
    <cellStyle name="Currency 5 3 2 2 2 11" xfId="17334" xr:uid="{F246EA36-64BA-4F37-8517-4C91FACB2D58}"/>
    <cellStyle name="Currency 5 3 2 2 2 12" xfId="25781" xr:uid="{E3ADCB65-77A4-4C3B-8700-569F269B0B2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5EF2B456-8ADC-4CDC-8033-DABEE2A3AD45}"/>
    <cellStyle name="Currency 5 3 2 2 2 2 2 2 3" xfId="24110" xr:uid="{7FDE4997-AA4A-432E-8EF8-6ED7263A4D9B}"/>
    <cellStyle name="Currency 5 3 2 2 2 2 2 2 4" xfId="32557" xr:uid="{1B33DCE3-156D-4A83-A8AD-F142821F3636}"/>
    <cellStyle name="Currency 5 3 2 2 2 2 2 3" xfId="11445" xr:uid="{ACCF9989-4249-4909-9DE9-9F37615D20D0}"/>
    <cellStyle name="Currency 5 3 2 2 2 2 2 4" xfId="19893" xr:uid="{23DE9110-5F30-402A-9E98-077E52E2DA80}"/>
    <cellStyle name="Currency 5 3 2 2 2 2 2 5" xfId="28340" xr:uid="{8B8CBBFB-5467-44A7-9745-2178F4FA5A50}"/>
    <cellStyle name="Currency 5 3 2 2 2 2 3" xfId="5068" xr:uid="{00000000-0005-0000-0000-00008B0C0000}"/>
    <cellStyle name="Currency 5 3 2 2 2 2 3 2" xfId="13518" xr:uid="{B2753A25-C9AC-43EA-A972-EA10BB2C5CE5}"/>
    <cellStyle name="Currency 5 3 2 2 2 2 3 3" xfId="21965" xr:uid="{65B73E4F-1B14-4D65-A99B-77A04716F88F}"/>
    <cellStyle name="Currency 5 3 2 2 2 2 3 4" xfId="30412" xr:uid="{70E86252-37E4-4F62-82B9-13E5ED8FA229}"/>
    <cellStyle name="Currency 5 3 2 2 2 2 4" xfId="9300" xr:uid="{7099FC14-A0CE-4257-86D2-4542E12841BB}"/>
    <cellStyle name="Currency 5 3 2 2 2 2 5" xfId="17748" xr:uid="{CB099206-BBCE-4340-BFCE-8FC8A269B327}"/>
    <cellStyle name="Currency 5 3 2 2 2 2 6" xfId="26195" xr:uid="{9B340924-2D02-43A3-9461-4FE0E217EAF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B80CAB59-7EE4-4089-B793-436C5474110F}"/>
    <cellStyle name="Currency 5 3 2 2 2 3 2 2 3" xfId="24523" xr:uid="{B6970DD9-D632-4078-9C4F-4E561C648CA0}"/>
    <cellStyle name="Currency 5 3 2 2 2 3 2 2 4" xfId="32970" xr:uid="{01639B56-EAE2-480F-8E66-20F8E08BE365}"/>
    <cellStyle name="Currency 5 3 2 2 2 3 2 3" xfId="11858" xr:uid="{3CF07ADF-B858-4730-8ED7-63567D754DDD}"/>
    <cellStyle name="Currency 5 3 2 2 2 3 2 4" xfId="20306" xr:uid="{84A2C08C-DFF0-41B8-ADD8-3058E058B1D6}"/>
    <cellStyle name="Currency 5 3 2 2 2 3 2 5" xfId="28753" xr:uid="{24E65A50-9F2B-4B50-B65D-42FA651B761E}"/>
    <cellStyle name="Currency 5 3 2 2 2 3 3" xfId="5481" xr:uid="{00000000-0005-0000-0000-00008F0C0000}"/>
    <cellStyle name="Currency 5 3 2 2 2 3 3 2" xfId="13931" xr:uid="{B33F2AB5-9F1F-42C6-9F7F-842E880F7393}"/>
    <cellStyle name="Currency 5 3 2 2 2 3 3 3" xfId="22378" xr:uid="{2EFE9D08-9806-4FE4-B7C9-4D2EBD27949B}"/>
    <cellStyle name="Currency 5 3 2 2 2 3 3 4" xfId="30825" xr:uid="{9391A775-574F-423D-96E2-7021F37D6833}"/>
    <cellStyle name="Currency 5 3 2 2 2 3 4" xfId="9713" xr:uid="{ED6C75A9-9B98-4FB3-AE80-CF6C4988022A}"/>
    <cellStyle name="Currency 5 3 2 2 2 3 5" xfId="18161" xr:uid="{08DF32A3-D593-4045-B4F2-44BA44ABADC9}"/>
    <cellStyle name="Currency 5 3 2 2 2 3 6" xfId="26608" xr:uid="{CD82E323-518D-40C2-B0DC-3B3E9C4E96C6}"/>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E2D18A35-F8BB-479D-8DC7-A641971F25BA}"/>
    <cellStyle name="Currency 5 3 2 2 2 4 2 2 3" xfId="24936" xr:uid="{7409E81B-8516-4DD3-8991-8176337B9678}"/>
    <cellStyle name="Currency 5 3 2 2 2 4 2 2 4" xfId="33383" xr:uid="{1A58DCD3-9A70-4696-B9DB-FE9754E3436E}"/>
    <cellStyle name="Currency 5 3 2 2 2 4 2 3" xfId="12271" xr:uid="{7393F021-617A-4ADC-916B-D16AC03BC69C}"/>
    <cellStyle name="Currency 5 3 2 2 2 4 2 4" xfId="20719" xr:uid="{2698AB3F-3BB6-4A83-8A57-647396B61E5E}"/>
    <cellStyle name="Currency 5 3 2 2 2 4 2 5" xfId="29166" xr:uid="{B3E43E80-9DA4-4B00-BAE0-AE35D3C9F429}"/>
    <cellStyle name="Currency 5 3 2 2 2 4 3" xfId="5894" xr:uid="{00000000-0005-0000-0000-0000930C0000}"/>
    <cellStyle name="Currency 5 3 2 2 2 4 3 2" xfId="14344" xr:uid="{8C64694A-2B0E-4583-BBF7-BFCC4EB5EC75}"/>
    <cellStyle name="Currency 5 3 2 2 2 4 3 3" xfId="22791" xr:uid="{B15ADCB6-C610-4972-9907-D87A2A20F17D}"/>
    <cellStyle name="Currency 5 3 2 2 2 4 3 4" xfId="31238" xr:uid="{64AC4A2C-24AA-4109-B913-6AFD4F2642FF}"/>
    <cellStyle name="Currency 5 3 2 2 2 4 4" xfId="10126" xr:uid="{346C9675-2132-43E5-8147-3C199265EA57}"/>
    <cellStyle name="Currency 5 3 2 2 2 4 5" xfId="18574" xr:uid="{1D480D04-B572-4F4F-84EA-9992DC9FD8D0}"/>
    <cellStyle name="Currency 5 3 2 2 2 4 6" xfId="27021" xr:uid="{15C16EC3-0758-4A68-894A-AF3D828B432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9247BD2E-2289-42D2-993F-350A264A1ECC}"/>
    <cellStyle name="Currency 5 3 2 2 2 5 2 2 3" xfId="25349" xr:uid="{12FE267E-92B1-4580-B699-1F6570097D91}"/>
    <cellStyle name="Currency 5 3 2 2 2 5 2 2 4" xfId="33796" xr:uid="{B91B3379-C54A-4057-AAA7-A504C8A9D841}"/>
    <cellStyle name="Currency 5 3 2 2 2 5 2 3" xfId="12684" xr:uid="{40CF6899-FB08-44F9-AD5F-71D6CC671392}"/>
    <cellStyle name="Currency 5 3 2 2 2 5 2 4" xfId="21132" xr:uid="{356096EC-450D-41AB-A461-EC6DFD1059FF}"/>
    <cellStyle name="Currency 5 3 2 2 2 5 2 5" xfId="29579" xr:uid="{DB89AF78-90E2-40E7-9C85-D3B48FED7C07}"/>
    <cellStyle name="Currency 5 3 2 2 2 5 3" xfId="6307" xr:uid="{00000000-0005-0000-0000-0000970C0000}"/>
    <cellStyle name="Currency 5 3 2 2 2 5 3 2" xfId="14757" xr:uid="{A12CE14C-28EE-4590-817E-E8E4A5AC35D3}"/>
    <cellStyle name="Currency 5 3 2 2 2 5 3 3" xfId="23204" xr:uid="{967566E0-31C6-4260-9EA7-F1D7E3236555}"/>
    <cellStyle name="Currency 5 3 2 2 2 5 3 4" xfId="31651" xr:uid="{142DF9E9-4E64-4C78-88F4-EB4A2A872CA5}"/>
    <cellStyle name="Currency 5 3 2 2 2 5 4" xfId="10539" xr:uid="{07DA4471-6971-409E-8D40-92DAAC16CF26}"/>
    <cellStyle name="Currency 5 3 2 2 2 5 5" xfId="18987" xr:uid="{385CF11F-6C9F-4056-AB25-63C05BED1CEB}"/>
    <cellStyle name="Currency 5 3 2 2 2 5 6" xfId="27434" xr:uid="{CDC98A41-6D0B-41B2-9579-FC961DF15511}"/>
    <cellStyle name="Currency 5 3 2 2 2 6" xfId="2436" xr:uid="{00000000-0005-0000-0000-0000980C0000}"/>
    <cellStyle name="Currency 5 3 2 2 2 6 2" xfId="6720" xr:uid="{00000000-0005-0000-0000-0000990C0000}"/>
    <cellStyle name="Currency 5 3 2 2 2 6 2 2" xfId="15170" xr:uid="{FC914C6F-D0B8-4748-AC44-E75F9B506067}"/>
    <cellStyle name="Currency 5 3 2 2 2 6 2 3" xfId="23617" xr:uid="{18497EC8-E27D-4BBD-9A25-FBEB694D9B40}"/>
    <cellStyle name="Currency 5 3 2 2 2 6 2 4" xfId="32064" xr:uid="{F4BFC62C-125A-45F4-99A3-5FE871BC71CB}"/>
    <cellStyle name="Currency 5 3 2 2 2 6 3" xfId="10952" xr:uid="{56443AB6-1950-4661-A869-217AA2CB94B4}"/>
    <cellStyle name="Currency 5 3 2 2 2 6 4" xfId="19400" xr:uid="{29012FC3-7732-4CF4-9B27-179325471359}"/>
    <cellStyle name="Currency 5 3 2 2 2 6 5" xfId="27847" xr:uid="{A5045DE6-25F9-477D-8DB9-2E752C6E66B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02A364B6-D042-43C3-881D-1408911CCED5}"/>
    <cellStyle name="Currency 5 3 2 2 2 8 2 3" xfId="23934" xr:uid="{82D328A4-4C85-46F2-A77B-E0060E4D6856}"/>
    <cellStyle name="Currency 5 3 2 2 2 8 2 4" xfId="32381" xr:uid="{C7441D92-9DB5-4698-B453-FC1F895D17D8}"/>
    <cellStyle name="Currency 5 3 2 2 2 8 3" xfId="11269" xr:uid="{40C43E41-A4F7-4A8E-98C7-453A34B2668B}"/>
    <cellStyle name="Currency 5 3 2 2 2 8 4" xfId="19717" xr:uid="{DD6BB321-0698-43CA-9A87-6EC4E84D0C59}"/>
    <cellStyle name="Currency 5 3 2 2 2 8 5" xfId="28164" xr:uid="{BE600EDC-29C4-4CAE-97D8-F50BBDAFB1BF}"/>
    <cellStyle name="Currency 5 3 2 2 2 9" xfId="4654" xr:uid="{00000000-0005-0000-0000-00009D0C0000}"/>
    <cellStyle name="Currency 5 3 2 2 2 9 2" xfId="13104" xr:uid="{E1571F9F-E906-40F8-8392-5719DAAAC4FA}"/>
    <cellStyle name="Currency 5 3 2 2 2 9 3" xfId="21551" xr:uid="{8867FB5D-32AD-4DE7-A055-93FFAD5B72B6}"/>
    <cellStyle name="Currency 5 3 2 2 2 9 4" xfId="29998" xr:uid="{B5F73B4E-D7B2-4DD1-B91E-4C5A341B3396}"/>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99D49AE3-8080-4434-B1FF-9B07FD440966}"/>
    <cellStyle name="Currency 5 3 2 2 3 2 2 3" xfId="24109" xr:uid="{2DE2A38B-F273-456A-8F18-76F117787ADA}"/>
    <cellStyle name="Currency 5 3 2 2 3 2 2 4" xfId="32556" xr:uid="{94B000BE-1C7B-404B-810F-689488F63D0B}"/>
    <cellStyle name="Currency 5 3 2 2 3 2 3" xfId="11444" xr:uid="{1CF029C6-3FC0-4746-AD03-D432DCFA648E}"/>
    <cellStyle name="Currency 5 3 2 2 3 2 4" xfId="19892" xr:uid="{5FAD88A5-E0A1-413D-94F4-62490811CD5A}"/>
    <cellStyle name="Currency 5 3 2 2 3 2 5" xfId="28339" xr:uid="{140C8904-DC39-4CEC-A190-4595E2BD6B8F}"/>
    <cellStyle name="Currency 5 3 2 2 3 3" xfId="5067" xr:uid="{00000000-0005-0000-0000-0000A10C0000}"/>
    <cellStyle name="Currency 5 3 2 2 3 3 2" xfId="13517" xr:uid="{C6C6DEA9-E41E-48E2-BB94-275D4E86AC1F}"/>
    <cellStyle name="Currency 5 3 2 2 3 3 3" xfId="21964" xr:uid="{0D2F400A-E58B-4531-9F8A-DE3A54746AA6}"/>
    <cellStyle name="Currency 5 3 2 2 3 3 4" xfId="30411" xr:uid="{FB4E5E60-F442-4EE9-B048-7B9742894A2E}"/>
    <cellStyle name="Currency 5 3 2 2 3 4" xfId="9299" xr:uid="{4CAFD7C6-08DC-4EEF-A398-0A59942EF1C9}"/>
    <cellStyle name="Currency 5 3 2 2 3 5" xfId="17747" xr:uid="{5A865AE2-AAC8-4A8F-BCDF-93292275196B}"/>
    <cellStyle name="Currency 5 3 2 2 3 6" xfId="26194" xr:uid="{36AE889B-3BEE-42C8-97C4-255124191584}"/>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025EC0C7-5CC4-43A1-BA03-79C8CE404CC1}"/>
    <cellStyle name="Currency 5 3 2 2 4 2 2 3" xfId="24522" xr:uid="{A306B359-09C4-477F-BBAF-8505B9A09467}"/>
    <cellStyle name="Currency 5 3 2 2 4 2 2 4" xfId="32969" xr:uid="{663DDA08-756E-4E30-B49C-9FDFA2A718BF}"/>
    <cellStyle name="Currency 5 3 2 2 4 2 3" xfId="11857" xr:uid="{C5A5F54B-ED24-4002-8639-6AA75497BD3A}"/>
    <cellStyle name="Currency 5 3 2 2 4 2 4" xfId="20305" xr:uid="{699ED67D-1B34-4D07-9F14-A55D06D59D4A}"/>
    <cellStyle name="Currency 5 3 2 2 4 2 5" xfId="28752" xr:uid="{4B77EB2D-4950-45DA-80CA-099A1D134D66}"/>
    <cellStyle name="Currency 5 3 2 2 4 3" xfId="5480" xr:uid="{00000000-0005-0000-0000-0000A50C0000}"/>
    <cellStyle name="Currency 5 3 2 2 4 3 2" xfId="13930" xr:uid="{D7537B95-8A90-43AF-83EE-F6D3F2E27468}"/>
    <cellStyle name="Currency 5 3 2 2 4 3 3" xfId="22377" xr:uid="{170F7A06-2DDC-493D-B2A7-3D3A37A7D88D}"/>
    <cellStyle name="Currency 5 3 2 2 4 3 4" xfId="30824" xr:uid="{B743541F-60CA-4C50-8FA7-183B21ADD961}"/>
    <cellStyle name="Currency 5 3 2 2 4 4" xfId="9712" xr:uid="{1F8BAEAB-DC53-438A-852F-C925E02747CA}"/>
    <cellStyle name="Currency 5 3 2 2 4 5" xfId="18160" xr:uid="{61C5D1DB-7DBA-4357-975D-AADAA0278675}"/>
    <cellStyle name="Currency 5 3 2 2 4 6" xfId="26607" xr:uid="{2963A356-E551-4F8B-AEBD-AB0154B6C3D8}"/>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A817BDBE-9FAE-46EC-99AD-98966E7061F6}"/>
    <cellStyle name="Currency 5 3 2 2 5 2 2 3" xfId="24935" xr:uid="{B3885597-E6CE-430E-9541-577803412E46}"/>
    <cellStyle name="Currency 5 3 2 2 5 2 2 4" xfId="33382" xr:uid="{1AE3FB59-90A2-4334-9E47-CE536DB33376}"/>
    <cellStyle name="Currency 5 3 2 2 5 2 3" xfId="12270" xr:uid="{869CE1E0-EB40-4367-826D-FD1922974439}"/>
    <cellStyle name="Currency 5 3 2 2 5 2 4" xfId="20718" xr:uid="{BAC985A2-2534-4D28-886C-99F35CC8745A}"/>
    <cellStyle name="Currency 5 3 2 2 5 2 5" xfId="29165" xr:uid="{87B3CBDA-0324-49F2-A325-685159B2A9DA}"/>
    <cellStyle name="Currency 5 3 2 2 5 3" xfId="5893" xr:uid="{00000000-0005-0000-0000-0000A90C0000}"/>
    <cellStyle name="Currency 5 3 2 2 5 3 2" xfId="14343" xr:uid="{DD8800DF-022B-4008-8DD1-AF7E3BF49E35}"/>
    <cellStyle name="Currency 5 3 2 2 5 3 3" xfId="22790" xr:uid="{8A795441-6999-495F-AE5D-1AC600588DD4}"/>
    <cellStyle name="Currency 5 3 2 2 5 3 4" xfId="31237" xr:uid="{D62413A1-292C-4DA4-AA7E-1087F0428966}"/>
    <cellStyle name="Currency 5 3 2 2 5 4" xfId="10125" xr:uid="{7D55E175-5CB1-45CD-9C0C-6BE73BCDCD4D}"/>
    <cellStyle name="Currency 5 3 2 2 5 5" xfId="18573" xr:uid="{87CABCF2-3D57-463D-B369-8020C983AF2B}"/>
    <cellStyle name="Currency 5 3 2 2 5 6" xfId="27020" xr:uid="{CB9777EE-56C4-4F9E-9D5D-F51EDC54F4F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567C375A-35D0-4CD6-813A-70F4CB267448}"/>
    <cellStyle name="Currency 5 3 2 2 6 2 2 3" xfId="25348" xr:uid="{628A458A-8D2E-4AC5-AB50-2734912D1486}"/>
    <cellStyle name="Currency 5 3 2 2 6 2 2 4" xfId="33795" xr:uid="{7B1EB7F8-0599-47AD-A302-8BC7305AD318}"/>
    <cellStyle name="Currency 5 3 2 2 6 2 3" xfId="12683" xr:uid="{467E8AA9-507C-4019-9935-EB7D5A278C80}"/>
    <cellStyle name="Currency 5 3 2 2 6 2 4" xfId="21131" xr:uid="{673F634F-FA98-4334-BC70-9556533D150C}"/>
    <cellStyle name="Currency 5 3 2 2 6 2 5" xfId="29578" xr:uid="{CC4FD9DC-B954-4EEF-9BF1-7EFC119168C5}"/>
    <cellStyle name="Currency 5 3 2 2 6 3" xfId="6306" xr:uid="{00000000-0005-0000-0000-0000AD0C0000}"/>
    <cellStyle name="Currency 5 3 2 2 6 3 2" xfId="14756" xr:uid="{4F3B0FCF-D738-4D2F-9575-EDB5B1CD2037}"/>
    <cellStyle name="Currency 5 3 2 2 6 3 3" xfId="23203" xr:uid="{4A6545FC-927D-4DE3-A958-CAD4D3577513}"/>
    <cellStyle name="Currency 5 3 2 2 6 3 4" xfId="31650" xr:uid="{DCD96A54-70CD-45DD-8C06-DD63A2ABCB80}"/>
    <cellStyle name="Currency 5 3 2 2 6 4" xfId="10538" xr:uid="{07A79D33-FCAA-46C2-A23E-E59FBBDE1768}"/>
    <cellStyle name="Currency 5 3 2 2 6 5" xfId="18986" xr:uid="{82D98E9E-2979-42C4-BE11-02F6125BDD0D}"/>
    <cellStyle name="Currency 5 3 2 2 6 6" xfId="27433" xr:uid="{58DF5D54-6ABA-4DDA-BE1B-040BF00FC31E}"/>
    <cellStyle name="Currency 5 3 2 2 7" xfId="2435" xr:uid="{00000000-0005-0000-0000-0000AE0C0000}"/>
    <cellStyle name="Currency 5 3 2 2 7 2" xfId="6719" xr:uid="{00000000-0005-0000-0000-0000AF0C0000}"/>
    <cellStyle name="Currency 5 3 2 2 7 2 2" xfId="15169" xr:uid="{C7DDBCDE-DC6C-4E54-8307-586D5362D2DF}"/>
    <cellStyle name="Currency 5 3 2 2 7 2 3" xfId="23616" xr:uid="{56856AE1-4B81-4BCC-8644-D72021464334}"/>
    <cellStyle name="Currency 5 3 2 2 7 2 4" xfId="32063" xr:uid="{79375F0C-97F2-41A3-8172-102B6E9BD94B}"/>
    <cellStyle name="Currency 5 3 2 2 7 3" xfId="10951" xr:uid="{1394F433-0508-4172-AF31-D603B5F73257}"/>
    <cellStyle name="Currency 5 3 2 2 7 4" xfId="19399" xr:uid="{5FB66C82-626E-495F-A628-CC62149BDA27}"/>
    <cellStyle name="Currency 5 3 2 2 7 5" xfId="27846" xr:uid="{A6106306-FE74-4194-A227-BCABFE4A7815}"/>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AD3C1DB9-9FD6-4C1C-AE02-25C43753BB66}"/>
    <cellStyle name="Currency 5 3 2 2 9 2 3" xfId="23933" xr:uid="{77AFCCE4-6128-4DA3-A88B-854125E4599B}"/>
    <cellStyle name="Currency 5 3 2 2 9 2 4" xfId="32380" xr:uid="{BF59589E-025E-4FE3-8421-D927EFEDDFF8}"/>
    <cellStyle name="Currency 5 3 2 2 9 3" xfId="11268" xr:uid="{70BF2822-2E50-4174-918E-852C49A7B524}"/>
    <cellStyle name="Currency 5 3 2 2 9 4" xfId="19716" xr:uid="{2B044F5C-1381-4325-9D39-F3DF8121714B}"/>
    <cellStyle name="Currency 5 3 2 2 9 5" xfId="28163" xr:uid="{ACFD7298-F3A9-4392-8B92-8CD9C29A3E4E}"/>
    <cellStyle name="Currency 5 3 2 3" xfId="213" xr:uid="{00000000-0005-0000-0000-0000B30C0000}"/>
    <cellStyle name="Currency 5 3 2 3 10" xfId="8887" xr:uid="{A5EF117B-905E-4820-9651-DA9941E4EEC6}"/>
    <cellStyle name="Currency 5 3 2 3 11" xfId="17335" xr:uid="{FA48C552-26D9-40E6-86D5-EEFA9855F8D2}"/>
    <cellStyle name="Currency 5 3 2 3 12" xfId="25782" xr:uid="{C8F436DC-C94C-4EC6-99EE-C8B6B86810C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1BDC9F05-0E0C-4CDB-B23D-78E8562EFB73}"/>
    <cellStyle name="Currency 5 3 2 3 2 2 2 3" xfId="24111" xr:uid="{DDB9BDEE-A3AC-4ACD-B73C-50AED396007A}"/>
    <cellStyle name="Currency 5 3 2 3 2 2 2 4" xfId="32558" xr:uid="{D80BD259-4661-4674-A116-52F80E671B15}"/>
    <cellStyle name="Currency 5 3 2 3 2 2 3" xfId="11446" xr:uid="{63344252-31F4-477D-8293-B977D95874E6}"/>
    <cellStyle name="Currency 5 3 2 3 2 2 4" xfId="19894" xr:uid="{F80165EF-3863-440D-BA75-637E1C48C135}"/>
    <cellStyle name="Currency 5 3 2 3 2 2 5" xfId="28341" xr:uid="{D3563E76-EB7F-4EE8-A62F-205EC27060AF}"/>
    <cellStyle name="Currency 5 3 2 3 2 3" xfId="5069" xr:uid="{00000000-0005-0000-0000-0000B70C0000}"/>
    <cellStyle name="Currency 5 3 2 3 2 3 2" xfId="13519" xr:uid="{F5D5B64C-AD74-4364-87CD-16863B801AE2}"/>
    <cellStyle name="Currency 5 3 2 3 2 3 3" xfId="21966" xr:uid="{08F0E52B-76FB-499E-8AC1-585B05BA39AA}"/>
    <cellStyle name="Currency 5 3 2 3 2 3 4" xfId="30413" xr:uid="{37CD1C42-BC14-43F9-8CB1-3BD89B51914A}"/>
    <cellStyle name="Currency 5 3 2 3 2 4" xfId="9301" xr:uid="{48E83E66-B5F4-4CD9-A730-1F730CBF873F}"/>
    <cellStyle name="Currency 5 3 2 3 2 5" xfId="17749" xr:uid="{44EABE5B-048B-4832-9031-2E46850A0E74}"/>
    <cellStyle name="Currency 5 3 2 3 2 6" xfId="26196" xr:uid="{E0F2108A-94F4-4490-90A7-547CCEA1B3A2}"/>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E60ACC05-91D4-464F-A30E-78E299155088}"/>
    <cellStyle name="Currency 5 3 2 3 3 2 2 3" xfId="24524" xr:uid="{E662F847-3BE1-434D-8887-6364D9C08AC9}"/>
    <cellStyle name="Currency 5 3 2 3 3 2 2 4" xfId="32971" xr:uid="{2D30A806-4BB4-470E-8349-C3FB4DD957D9}"/>
    <cellStyle name="Currency 5 3 2 3 3 2 3" xfId="11859" xr:uid="{BFC406E9-5BDC-4189-A2F3-74B5458A50F4}"/>
    <cellStyle name="Currency 5 3 2 3 3 2 4" xfId="20307" xr:uid="{5C7AAF81-CD74-4520-98FE-B64EAE729E46}"/>
    <cellStyle name="Currency 5 3 2 3 3 2 5" xfId="28754" xr:uid="{7C74C7E4-1CAA-4C81-A4CE-2FDE02FA1DC4}"/>
    <cellStyle name="Currency 5 3 2 3 3 3" xfId="5482" xr:uid="{00000000-0005-0000-0000-0000BB0C0000}"/>
    <cellStyle name="Currency 5 3 2 3 3 3 2" xfId="13932" xr:uid="{C39A3C28-F589-45B0-B8CF-3F6FD8B92320}"/>
    <cellStyle name="Currency 5 3 2 3 3 3 3" xfId="22379" xr:uid="{4E213110-F95B-4129-84F4-B222B36FE3AB}"/>
    <cellStyle name="Currency 5 3 2 3 3 3 4" xfId="30826" xr:uid="{D260ECA9-7DC1-4FBA-A376-133A5D24C58A}"/>
    <cellStyle name="Currency 5 3 2 3 3 4" xfId="9714" xr:uid="{FE5132D5-BCD3-4ECC-A4A6-81B8E4BF2CCA}"/>
    <cellStyle name="Currency 5 3 2 3 3 5" xfId="18162" xr:uid="{EFFBCA4B-3456-4BCB-B701-E416C5E1D77F}"/>
    <cellStyle name="Currency 5 3 2 3 3 6" xfId="26609" xr:uid="{5DE005B3-098C-4D66-B9D8-D481C47F94F2}"/>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D65BD960-D66F-4F86-BDE0-C1DDD57847B3}"/>
    <cellStyle name="Currency 5 3 2 3 4 2 2 3" xfId="24937" xr:uid="{284D4933-B6C3-4CEA-A78C-3450A44791D3}"/>
    <cellStyle name="Currency 5 3 2 3 4 2 2 4" xfId="33384" xr:uid="{B9F46DF9-7DFB-4AE5-942F-BA723569F7F6}"/>
    <cellStyle name="Currency 5 3 2 3 4 2 3" xfId="12272" xr:uid="{4A0D205D-9327-44D1-B4AA-94C001CF9BAD}"/>
    <cellStyle name="Currency 5 3 2 3 4 2 4" xfId="20720" xr:uid="{76E00531-3EAA-4417-8ABA-24957989F6C2}"/>
    <cellStyle name="Currency 5 3 2 3 4 2 5" xfId="29167" xr:uid="{1CDB558B-1AF0-4D2E-98CF-1B5009D996B1}"/>
    <cellStyle name="Currency 5 3 2 3 4 3" xfId="5895" xr:uid="{00000000-0005-0000-0000-0000BF0C0000}"/>
    <cellStyle name="Currency 5 3 2 3 4 3 2" xfId="14345" xr:uid="{5C9B49AC-4813-409F-A96C-6047677D4ACE}"/>
    <cellStyle name="Currency 5 3 2 3 4 3 3" xfId="22792" xr:uid="{7A6DBD73-26AA-4300-814C-912B3F3F0908}"/>
    <cellStyle name="Currency 5 3 2 3 4 3 4" xfId="31239" xr:uid="{49EC493B-5E31-4EFC-A61F-964194EE9AC8}"/>
    <cellStyle name="Currency 5 3 2 3 4 4" xfId="10127" xr:uid="{CE3DDA03-7260-4C6D-9E33-8D186A3C9281}"/>
    <cellStyle name="Currency 5 3 2 3 4 5" xfId="18575" xr:uid="{F62B41B5-480F-4C8D-AA0B-4601A9D4255A}"/>
    <cellStyle name="Currency 5 3 2 3 4 6" xfId="27022" xr:uid="{3BF17991-D674-450D-82E4-CA473965027A}"/>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3845B6EE-B0F2-48BF-B8F7-EEEA6E6F4EC9}"/>
    <cellStyle name="Currency 5 3 2 3 5 2 2 3" xfId="25350" xr:uid="{3DC52782-E673-447D-A128-79BDA64CD506}"/>
    <cellStyle name="Currency 5 3 2 3 5 2 2 4" xfId="33797" xr:uid="{DC8A92C7-6BCD-4971-8620-5C37C0CB7924}"/>
    <cellStyle name="Currency 5 3 2 3 5 2 3" xfId="12685" xr:uid="{B3EE7891-FD82-469B-A1B0-208ACA9910AF}"/>
    <cellStyle name="Currency 5 3 2 3 5 2 4" xfId="21133" xr:uid="{206CE5AB-0485-405D-B060-C072F1F15F7D}"/>
    <cellStyle name="Currency 5 3 2 3 5 2 5" xfId="29580" xr:uid="{00C84CC0-31DD-4B8B-A37E-AD86E6140F56}"/>
    <cellStyle name="Currency 5 3 2 3 5 3" xfId="6308" xr:uid="{00000000-0005-0000-0000-0000C30C0000}"/>
    <cellStyle name="Currency 5 3 2 3 5 3 2" xfId="14758" xr:uid="{7DA7DF30-47FF-4730-85B7-610F10430BFF}"/>
    <cellStyle name="Currency 5 3 2 3 5 3 3" xfId="23205" xr:uid="{09DB957E-077A-4DA6-8050-FB333FB15B61}"/>
    <cellStyle name="Currency 5 3 2 3 5 3 4" xfId="31652" xr:uid="{F0959536-FE2D-44AB-9646-FF57E19FD1A1}"/>
    <cellStyle name="Currency 5 3 2 3 5 4" xfId="10540" xr:uid="{84E2B5A9-C6D4-4765-A41E-8366EDA7152D}"/>
    <cellStyle name="Currency 5 3 2 3 5 5" xfId="18988" xr:uid="{2285146E-8B41-41A6-9AC0-490CD2CCB21E}"/>
    <cellStyle name="Currency 5 3 2 3 5 6" xfId="27435" xr:uid="{F6DC337B-705D-4007-820D-43CE74803FE1}"/>
    <cellStyle name="Currency 5 3 2 3 6" xfId="2437" xr:uid="{00000000-0005-0000-0000-0000C40C0000}"/>
    <cellStyle name="Currency 5 3 2 3 6 2" xfId="6721" xr:uid="{00000000-0005-0000-0000-0000C50C0000}"/>
    <cellStyle name="Currency 5 3 2 3 6 2 2" xfId="15171" xr:uid="{0CE858A1-229E-42CC-B1CC-4837EB61846A}"/>
    <cellStyle name="Currency 5 3 2 3 6 2 3" xfId="23618" xr:uid="{20A41633-C009-4BAE-8435-BAD0EAE07012}"/>
    <cellStyle name="Currency 5 3 2 3 6 2 4" xfId="32065" xr:uid="{ED24609A-4D78-49A2-A6E3-A16EF31D0474}"/>
    <cellStyle name="Currency 5 3 2 3 6 3" xfId="10953" xr:uid="{6ABD7F0D-D6F7-4295-96B2-B0AED6BC68E6}"/>
    <cellStyle name="Currency 5 3 2 3 6 4" xfId="19401" xr:uid="{3D47927E-1392-4115-BFBA-7921618B4760}"/>
    <cellStyle name="Currency 5 3 2 3 6 5" xfId="27848" xr:uid="{4A3D22A6-72FB-4C79-B282-D1D9577B2CD2}"/>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65BC6DDB-FA63-440B-837A-B99A9C0951E3}"/>
    <cellStyle name="Currency 5 3 2 3 8 2 3" xfId="23935" xr:uid="{456755E4-EBF6-4617-83A0-255550701958}"/>
    <cellStyle name="Currency 5 3 2 3 8 2 4" xfId="32382" xr:uid="{2D862398-9F2D-40FE-8DDF-A12C63F88061}"/>
    <cellStyle name="Currency 5 3 2 3 8 3" xfId="11270" xr:uid="{EEFA6E44-E900-4236-8314-11AEFF832375}"/>
    <cellStyle name="Currency 5 3 2 3 8 4" xfId="19718" xr:uid="{D54603AA-4CFA-4EDD-B974-A2327195234B}"/>
    <cellStyle name="Currency 5 3 2 3 8 5" xfId="28165" xr:uid="{BDC7D399-3F3B-47D2-8C1E-AD1BBECD1808}"/>
    <cellStyle name="Currency 5 3 2 3 9" xfId="4655" xr:uid="{00000000-0005-0000-0000-0000C90C0000}"/>
    <cellStyle name="Currency 5 3 2 3 9 2" xfId="13105" xr:uid="{7638F4DC-9F13-4B00-A459-51FF6DABA49A}"/>
    <cellStyle name="Currency 5 3 2 3 9 3" xfId="21552" xr:uid="{19670E68-B8A0-4A0F-BAAB-3AF45E2E4D8C}"/>
    <cellStyle name="Currency 5 3 2 3 9 4" xfId="29999" xr:uid="{61700910-20A2-43C1-8C75-FFBB308E62BC}"/>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AC2043AD-804B-48A4-9566-36F668577204}"/>
    <cellStyle name="Currency 5 3 2 4 2 2 3" xfId="24108" xr:uid="{637963BB-B9CD-42DC-9C28-CA763F3D263B}"/>
    <cellStyle name="Currency 5 3 2 4 2 2 4" xfId="32555" xr:uid="{3141779C-31B6-4B8F-B743-44FFE700331A}"/>
    <cellStyle name="Currency 5 3 2 4 2 3" xfId="11443" xr:uid="{F5C1D00C-E0AF-45E1-93CF-F5034CD224A4}"/>
    <cellStyle name="Currency 5 3 2 4 2 4" xfId="19891" xr:uid="{168B2EA9-1809-4A91-8F49-C60825AC7BDF}"/>
    <cellStyle name="Currency 5 3 2 4 2 5" xfId="28338" xr:uid="{D69F0193-420A-4493-86EC-88E719D59E39}"/>
    <cellStyle name="Currency 5 3 2 4 3" xfId="5066" xr:uid="{00000000-0005-0000-0000-0000CD0C0000}"/>
    <cellStyle name="Currency 5 3 2 4 3 2" xfId="13516" xr:uid="{8D3E6DB0-25DD-496A-9816-087A57D42D4A}"/>
    <cellStyle name="Currency 5 3 2 4 3 3" xfId="21963" xr:uid="{8434FD9E-F2F4-4F85-91F4-92241830D42E}"/>
    <cellStyle name="Currency 5 3 2 4 3 4" xfId="30410" xr:uid="{C99447B1-498B-4522-98DD-5DB829CEDF35}"/>
    <cellStyle name="Currency 5 3 2 4 4" xfId="9298" xr:uid="{CF94854E-5CE8-4FBF-AF25-CD63B386588E}"/>
    <cellStyle name="Currency 5 3 2 4 5" xfId="17746" xr:uid="{7C8CC373-A2DC-4A5C-AAED-5B20A5376219}"/>
    <cellStyle name="Currency 5 3 2 4 6" xfId="26193" xr:uid="{7711F00D-D40D-4DFF-BBFE-2D89E2683937}"/>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94063C8A-9DA3-4757-BAA3-9C9B23834E3D}"/>
    <cellStyle name="Currency 5 3 2 5 2 2 3" xfId="24521" xr:uid="{E1F45A8C-CE27-401F-A11D-6627080BEDD7}"/>
    <cellStyle name="Currency 5 3 2 5 2 2 4" xfId="32968" xr:uid="{09FCDE0C-B70F-4A0E-BE3B-4EE6FA2AFAF8}"/>
    <cellStyle name="Currency 5 3 2 5 2 3" xfId="11856" xr:uid="{FE40D25C-C124-4218-924D-E5259991E250}"/>
    <cellStyle name="Currency 5 3 2 5 2 4" xfId="20304" xr:uid="{48959255-CABF-4095-BD18-A0401C9D64AD}"/>
    <cellStyle name="Currency 5 3 2 5 2 5" xfId="28751" xr:uid="{43A73D9F-22E8-41A6-8518-90983D85F1F1}"/>
    <cellStyle name="Currency 5 3 2 5 3" xfId="5479" xr:uid="{00000000-0005-0000-0000-0000D10C0000}"/>
    <cellStyle name="Currency 5 3 2 5 3 2" xfId="13929" xr:uid="{127DBCE4-6899-43D1-9ACA-5A1FD8A6E276}"/>
    <cellStyle name="Currency 5 3 2 5 3 3" xfId="22376" xr:uid="{DAA4C05E-2DD1-4B45-AECF-A959A598BA43}"/>
    <cellStyle name="Currency 5 3 2 5 3 4" xfId="30823" xr:uid="{CEA6732E-9BB8-4F6B-B421-26674924E844}"/>
    <cellStyle name="Currency 5 3 2 5 4" xfId="9711" xr:uid="{932AD125-FDB5-498F-AAAA-72C0DA846D4C}"/>
    <cellStyle name="Currency 5 3 2 5 5" xfId="18159" xr:uid="{9C668D14-3B5C-4AB9-AE50-EAF8CFE9C4E7}"/>
    <cellStyle name="Currency 5 3 2 5 6" xfId="26606" xr:uid="{62D3746C-9E87-4C0C-A81A-81103E0D5E7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F9070510-92CF-4FE6-A1B8-964B9C112785}"/>
    <cellStyle name="Currency 5 3 2 6 2 2 3" xfId="24934" xr:uid="{5E6DC7A1-E242-43DB-A9F8-79CA711B8349}"/>
    <cellStyle name="Currency 5 3 2 6 2 2 4" xfId="33381" xr:uid="{1321D1F9-37F5-4CA2-9088-2BB6892F020C}"/>
    <cellStyle name="Currency 5 3 2 6 2 3" xfId="12269" xr:uid="{71777D24-07B2-40D0-9765-855A30D23BC4}"/>
    <cellStyle name="Currency 5 3 2 6 2 4" xfId="20717" xr:uid="{3949AB7B-E1F9-4FE7-90FF-B08CA5180C13}"/>
    <cellStyle name="Currency 5 3 2 6 2 5" xfId="29164" xr:uid="{EBBA5A31-1276-4BFE-A18B-DE0003A00A68}"/>
    <cellStyle name="Currency 5 3 2 6 3" xfId="5892" xr:uid="{00000000-0005-0000-0000-0000D50C0000}"/>
    <cellStyle name="Currency 5 3 2 6 3 2" xfId="14342" xr:uid="{16A0B2CC-8C3C-4E03-A973-A2BF3DB52013}"/>
    <cellStyle name="Currency 5 3 2 6 3 3" xfId="22789" xr:uid="{2802A276-99FB-404A-850E-C53E438A7140}"/>
    <cellStyle name="Currency 5 3 2 6 3 4" xfId="31236" xr:uid="{69321160-5F0B-46BE-953C-6C611E5AE555}"/>
    <cellStyle name="Currency 5 3 2 6 4" xfId="10124" xr:uid="{33993F74-7AF9-4C48-87F9-E4482C4C33C6}"/>
    <cellStyle name="Currency 5 3 2 6 5" xfId="18572" xr:uid="{41109645-8005-4D4E-8311-EA4C3C031477}"/>
    <cellStyle name="Currency 5 3 2 6 6" xfId="27019" xr:uid="{967B0626-AF82-477C-B73A-FF4C02ACD627}"/>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4EF4499B-757E-4823-B4BA-2F84CD99FAEC}"/>
    <cellStyle name="Currency 5 3 2 7 2 2 3" xfId="25347" xr:uid="{78FED8EB-15A3-4D3D-A7C0-3CBB67DFB1DD}"/>
    <cellStyle name="Currency 5 3 2 7 2 2 4" xfId="33794" xr:uid="{3E20DB93-6B87-4324-833D-A501845D0004}"/>
    <cellStyle name="Currency 5 3 2 7 2 3" xfId="12682" xr:uid="{1EA79BDF-DB48-49C7-B5B0-20C2E859520E}"/>
    <cellStyle name="Currency 5 3 2 7 2 4" xfId="21130" xr:uid="{46E83992-99BE-425E-AE2A-A16420756702}"/>
    <cellStyle name="Currency 5 3 2 7 2 5" xfId="29577" xr:uid="{E2C7009F-6385-4566-870F-0ECF59E51D0A}"/>
    <cellStyle name="Currency 5 3 2 7 3" xfId="6305" xr:uid="{00000000-0005-0000-0000-0000D90C0000}"/>
    <cellStyle name="Currency 5 3 2 7 3 2" xfId="14755" xr:uid="{25DF0095-9687-4702-8B92-1B599B8490C8}"/>
    <cellStyle name="Currency 5 3 2 7 3 3" xfId="23202" xr:uid="{FF2E02C9-4B11-4E44-B880-BCB863126C5A}"/>
    <cellStyle name="Currency 5 3 2 7 3 4" xfId="31649" xr:uid="{C9743FA8-6CD7-46DA-9A85-CD861E5DC533}"/>
    <cellStyle name="Currency 5 3 2 7 4" xfId="10537" xr:uid="{1970279D-5A27-40B7-853B-2FE8499E8FF9}"/>
    <cellStyle name="Currency 5 3 2 7 5" xfId="18985" xr:uid="{FF54FFC7-8290-47C7-8405-3DE89F29CC96}"/>
    <cellStyle name="Currency 5 3 2 7 6" xfId="27432" xr:uid="{953FED9C-04CB-4090-A7C2-B48FFC3C3A9C}"/>
    <cellStyle name="Currency 5 3 2 8" xfId="2434" xr:uid="{00000000-0005-0000-0000-0000DA0C0000}"/>
    <cellStyle name="Currency 5 3 2 8 2" xfId="6718" xr:uid="{00000000-0005-0000-0000-0000DB0C0000}"/>
    <cellStyle name="Currency 5 3 2 8 2 2" xfId="15168" xr:uid="{C1813BA6-153E-4EFC-9E4E-EB758EB46195}"/>
    <cellStyle name="Currency 5 3 2 8 2 3" xfId="23615" xr:uid="{7A94F84F-295E-4AF0-93EC-95D4321493F9}"/>
    <cellStyle name="Currency 5 3 2 8 2 4" xfId="32062" xr:uid="{CFAE2F49-A997-47A3-84E8-06A48B5A1DFA}"/>
    <cellStyle name="Currency 5 3 2 8 3" xfId="10950" xr:uid="{C9FEC827-D94E-4FC1-818A-2B47CEFB6E70}"/>
    <cellStyle name="Currency 5 3 2 8 4" xfId="19398" xr:uid="{F5749034-8E5D-462C-A8AF-51234E2F2C1B}"/>
    <cellStyle name="Currency 5 3 2 8 5" xfId="27845" xr:uid="{39D920D2-D64D-41A4-B71D-EC99B53991CF}"/>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2C97AD3E-243D-4282-8DD0-C68613FAC99E}"/>
    <cellStyle name="Currency 5 3 3 10 3" xfId="21553" xr:uid="{6FC9B79D-2025-4194-9C7F-F6D3E9434AC2}"/>
    <cellStyle name="Currency 5 3 3 10 4" xfId="30000" xr:uid="{F17CFAD2-54B4-4943-AA81-6A398B77FF06}"/>
    <cellStyle name="Currency 5 3 3 11" xfId="8888" xr:uid="{E472E9C6-9912-4E46-89DF-7FC84C905FEE}"/>
    <cellStyle name="Currency 5 3 3 12" xfId="17336" xr:uid="{5CD10961-998B-4C31-97B0-1F08FF821484}"/>
    <cellStyle name="Currency 5 3 3 13" xfId="25783" xr:uid="{C3A094E8-4AEB-4A33-AD2B-20FBC8FE3238}"/>
    <cellStyle name="Currency 5 3 3 2" xfId="215" xr:uid="{00000000-0005-0000-0000-0000DF0C0000}"/>
    <cellStyle name="Currency 5 3 3 2 10" xfId="8889" xr:uid="{68C68513-9EE4-4F26-867F-C744F153F4DA}"/>
    <cellStyle name="Currency 5 3 3 2 11" xfId="17337" xr:uid="{30E3ABE9-8656-4A20-91CC-B91DA6B7425B}"/>
    <cellStyle name="Currency 5 3 3 2 12" xfId="25784" xr:uid="{3FDD81EA-A570-4F0E-9752-BD6C82892A2D}"/>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132A9F10-D307-4E5A-82EB-9FB868B40D04}"/>
    <cellStyle name="Currency 5 3 3 2 2 2 2 3" xfId="24113" xr:uid="{F3C775BB-FBD2-4B75-8AFD-1BDE7631D453}"/>
    <cellStyle name="Currency 5 3 3 2 2 2 2 4" xfId="32560" xr:uid="{42266A6B-2A3F-434A-BFB7-FFF346F2C30D}"/>
    <cellStyle name="Currency 5 3 3 2 2 2 3" xfId="11448" xr:uid="{279339A4-CB08-4140-B7A8-762A7F492A01}"/>
    <cellStyle name="Currency 5 3 3 2 2 2 4" xfId="19896" xr:uid="{60FAD04E-78F8-4526-8413-0EC18824C2E3}"/>
    <cellStyle name="Currency 5 3 3 2 2 2 5" xfId="28343" xr:uid="{B61ECB6D-BC07-4EF3-96DE-0F05FD53B85B}"/>
    <cellStyle name="Currency 5 3 3 2 2 3" xfId="5071" xr:uid="{00000000-0005-0000-0000-0000E30C0000}"/>
    <cellStyle name="Currency 5 3 3 2 2 3 2" xfId="13521" xr:uid="{37C8F2F9-CCEE-41FB-8462-BF8039190B6F}"/>
    <cellStyle name="Currency 5 3 3 2 2 3 3" xfId="21968" xr:uid="{3B73DCA1-F696-4492-B3F7-94F4DE41CA50}"/>
    <cellStyle name="Currency 5 3 3 2 2 3 4" xfId="30415" xr:uid="{0137B1AE-B3D6-48DD-B9A8-6E4E76F84519}"/>
    <cellStyle name="Currency 5 3 3 2 2 4" xfId="9303" xr:uid="{43FD0398-063F-4F07-A951-4827063B6F9E}"/>
    <cellStyle name="Currency 5 3 3 2 2 5" xfId="17751" xr:uid="{6CE4679B-911C-4CF4-BA9B-7B84DC07160F}"/>
    <cellStyle name="Currency 5 3 3 2 2 6" xfId="26198" xr:uid="{7415345A-78C8-4EF2-83F9-BA96E90B811B}"/>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16B68AFC-AEBA-4737-A374-8C514BDB24FA}"/>
    <cellStyle name="Currency 5 3 3 2 3 2 2 3" xfId="24526" xr:uid="{640B3866-C073-451B-BC81-32B96ABD052B}"/>
    <cellStyle name="Currency 5 3 3 2 3 2 2 4" xfId="32973" xr:uid="{14A8CD63-8898-463C-8BA5-9BA5F8395747}"/>
    <cellStyle name="Currency 5 3 3 2 3 2 3" xfId="11861" xr:uid="{1DD6F4DE-B8CA-4E72-83AC-5A5CD31BAFE6}"/>
    <cellStyle name="Currency 5 3 3 2 3 2 4" xfId="20309" xr:uid="{E1699E83-5190-4AA1-880D-CD78080EB269}"/>
    <cellStyle name="Currency 5 3 3 2 3 2 5" xfId="28756" xr:uid="{0AE469C2-6ECC-4A27-B78D-53B87F70770C}"/>
    <cellStyle name="Currency 5 3 3 2 3 3" xfId="5484" xr:uid="{00000000-0005-0000-0000-0000E70C0000}"/>
    <cellStyle name="Currency 5 3 3 2 3 3 2" xfId="13934" xr:uid="{8DC2AC55-2416-4296-95A1-5633E4D5A6B3}"/>
    <cellStyle name="Currency 5 3 3 2 3 3 3" xfId="22381" xr:uid="{00C3D196-9C05-4F6B-8724-693D39FF391E}"/>
    <cellStyle name="Currency 5 3 3 2 3 3 4" xfId="30828" xr:uid="{4C0CA8DF-B943-4FB4-988E-CB2284AADB56}"/>
    <cellStyle name="Currency 5 3 3 2 3 4" xfId="9716" xr:uid="{E9E94D71-1B32-4C3A-AC13-BCE8D489B416}"/>
    <cellStyle name="Currency 5 3 3 2 3 5" xfId="18164" xr:uid="{9D568269-307A-4CA5-B2B4-3B927D61480B}"/>
    <cellStyle name="Currency 5 3 3 2 3 6" xfId="26611" xr:uid="{15CD8D52-5F64-4237-8F72-815418CD918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491E0D3F-234E-472F-A8DB-9C41E2052316}"/>
    <cellStyle name="Currency 5 3 3 2 4 2 2 3" xfId="24939" xr:uid="{84405668-6444-42C7-97E2-66541E49F67C}"/>
    <cellStyle name="Currency 5 3 3 2 4 2 2 4" xfId="33386" xr:uid="{CE8CE6E9-A1DB-4F60-AAE1-601508F1D9CA}"/>
    <cellStyle name="Currency 5 3 3 2 4 2 3" xfId="12274" xr:uid="{5B5A589D-69AA-4AA5-912B-20EE1C5E4201}"/>
    <cellStyle name="Currency 5 3 3 2 4 2 4" xfId="20722" xr:uid="{E593B9A5-9E37-4D78-9DE5-0CAC7E6DF052}"/>
    <cellStyle name="Currency 5 3 3 2 4 2 5" xfId="29169" xr:uid="{A503C48F-8E86-4A06-84C9-BB28E530454C}"/>
    <cellStyle name="Currency 5 3 3 2 4 3" xfId="5897" xr:uid="{00000000-0005-0000-0000-0000EB0C0000}"/>
    <cellStyle name="Currency 5 3 3 2 4 3 2" xfId="14347" xr:uid="{AA6207C4-F2B0-401B-877C-50FF411E6A95}"/>
    <cellStyle name="Currency 5 3 3 2 4 3 3" xfId="22794" xr:uid="{5445877C-D9B9-4DC4-B29E-C94054991587}"/>
    <cellStyle name="Currency 5 3 3 2 4 3 4" xfId="31241" xr:uid="{E588222A-0582-4B03-9FFD-43DA48E63ADF}"/>
    <cellStyle name="Currency 5 3 3 2 4 4" xfId="10129" xr:uid="{2E414338-0DFE-45C4-B930-F2021B923A3E}"/>
    <cellStyle name="Currency 5 3 3 2 4 5" xfId="18577" xr:uid="{984D3542-CE24-40C2-AF9F-2BFFE5AE8EC3}"/>
    <cellStyle name="Currency 5 3 3 2 4 6" xfId="27024" xr:uid="{85D6AEBE-14CE-4CB9-81BD-DD1BA633F2A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942C3826-6543-4EE6-8C04-68110F85DBB2}"/>
    <cellStyle name="Currency 5 3 3 2 5 2 2 3" xfId="25352" xr:uid="{8BE0AD36-B3A1-4B2D-8A3B-0790497D491C}"/>
    <cellStyle name="Currency 5 3 3 2 5 2 2 4" xfId="33799" xr:uid="{9194E6E8-8BCE-4826-8301-C93F3C3B1A84}"/>
    <cellStyle name="Currency 5 3 3 2 5 2 3" xfId="12687" xr:uid="{EBDA82D0-DDBC-4ADB-B496-C4B7C44CB9E2}"/>
    <cellStyle name="Currency 5 3 3 2 5 2 4" xfId="21135" xr:uid="{77779688-7044-4B55-9EFF-71D7329B67A4}"/>
    <cellStyle name="Currency 5 3 3 2 5 2 5" xfId="29582" xr:uid="{A2BFEF3A-9C13-490C-85C3-49665C3A0E75}"/>
    <cellStyle name="Currency 5 3 3 2 5 3" xfId="6310" xr:uid="{00000000-0005-0000-0000-0000EF0C0000}"/>
    <cellStyle name="Currency 5 3 3 2 5 3 2" xfId="14760" xr:uid="{9DE0C499-AC7A-4F5C-9394-72BB68E07DA6}"/>
    <cellStyle name="Currency 5 3 3 2 5 3 3" xfId="23207" xr:uid="{156B628F-4558-4492-980E-C4839F587FD6}"/>
    <cellStyle name="Currency 5 3 3 2 5 3 4" xfId="31654" xr:uid="{3B342100-E5B2-46B1-87CF-FE3DAADF50EF}"/>
    <cellStyle name="Currency 5 3 3 2 5 4" xfId="10542" xr:uid="{48D8D107-05CC-4190-B7F4-864F4A2866BF}"/>
    <cellStyle name="Currency 5 3 3 2 5 5" xfId="18990" xr:uid="{38730E96-E9F9-48D2-820D-45199AC70EC9}"/>
    <cellStyle name="Currency 5 3 3 2 5 6" xfId="27437" xr:uid="{21715DCC-A8A6-4BEB-A59D-03E8B1063010}"/>
    <cellStyle name="Currency 5 3 3 2 6" xfId="2439" xr:uid="{00000000-0005-0000-0000-0000F00C0000}"/>
    <cellStyle name="Currency 5 3 3 2 6 2" xfId="6723" xr:uid="{00000000-0005-0000-0000-0000F10C0000}"/>
    <cellStyle name="Currency 5 3 3 2 6 2 2" xfId="15173" xr:uid="{B7BD0058-6870-46D6-8FEE-45EEFF659DC0}"/>
    <cellStyle name="Currency 5 3 3 2 6 2 3" xfId="23620" xr:uid="{6A3CAE2E-B3DD-407E-AA88-D974A49EAAE0}"/>
    <cellStyle name="Currency 5 3 3 2 6 2 4" xfId="32067" xr:uid="{FAA15CA0-4036-416B-89C5-A5C64BEC7B71}"/>
    <cellStyle name="Currency 5 3 3 2 6 3" xfId="10955" xr:uid="{D3638B33-BA89-4AFD-842F-A2838158BDED}"/>
    <cellStyle name="Currency 5 3 3 2 6 4" xfId="19403" xr:uid="{E4427FCD-36EF-4DB8-A88B-A0A20A1BE100}"/>
    <cellStyle name="Currency 5 3 3 2 6 5" xfId="27850" xr:uid="{A79E723C-EE19-4592-B1FC-89DDA0069F6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7A8EC1ED-5B07-4835-8A96-0D7342D82A4A}"/>
    <cellStyle name="Currency 5 3 3 2 8 2 3" xfId="23937" xr:uid="{34067C1B-7795-48AA-987E-AEFADF345984}"/>
    <cellStyle name="Currency 5 3 3 2 8 2 4" xfId="32384" xr:uid="{CC33DAB5-D2DF-4A56-8D4E-D510A416916E}"/>
    <cellStyle name="Currency 5 3 3 2 8 3" xfId="11272" xr:uid="{A33DB8CC-885C-4D3E-A95A-35208D1B3B20}"/>
    <cellStyle name="Currency 5 3 3 2 8 4" xfId="19720" xr:uid="{F4A620AC-C909-4AF4-8CD7-C15305CD6794}"/>
    <cellStyle name="Currency 5 3 3 2 8 5" xfId="28167" xr:uid="{3A6EC113-3577-448B-AC40-A3DF80E3608D}"/>
    <cellStyle name="Currency 5 3 3 2 9" xfId="4657" xr:uid="{00000000-0005-0000-0000-0000F50C0000}"/>
    <cellStyle name="Currency 5 3 3 2 9 2" xfId="13107" xr:uid="{A23B6769-70E4-4CF6-A3FD-F74B1D2FEEAE}"/>
    <cellStyle name="Currency 5 3 3 2 9 3" xfId="21554" xr:uid="{50D1C3FD-55C9-4BDD-9569-640720F0F4B6}"/>
    <cellStyle name="Currency 5 3 3 2 9 4" xfId="30001" xr:uid="{07F54800-F41C-4468-ABF5-DE0CB9F194C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13AD4151-8C29-4BD9-AF7B-25E06E6393B9}"/>
    <cellStyle name="Currency 5 3 3 3 2 2 3" xfId="24112" xr:uid="{AB28270C-E193-44AF-89E0-CE8E891AD153}"/>
    <cellStyle name="Currency 5 3 3 3 2 2 4" xfId="32559" xr:uid="{CA07BA27-7390-4D7B-9C37-25C161D3CA69}"/>
    <cellStyle name="Currency 5 3 3 3 2 3" xfId="11447" xr:uid="{069408EE-04DA-453A-A6F8-076982534A26}"/>
    <cellStyle name="Currency 5 3 3 3 2 4" xfId="19895" xr:uid="{A965B117-E5F6-478F-85C2-4ED69E1990B7}"/>
    <cellStyle name="Currency 5 3 3 3 2 5" xfId="28342" xr:uid="{97496F83-75D9-4457-8ECA-F98B66659757}"/>
    <cellStyle name="Currency 5 3 3 3 3" xfId="5070" xr:uid="{00000000-0005-0000-0000-0000F90C0000}"/>
    <cellStyle name="Currency 5 3 3 3 3 2" xfId="13520" xr:uid="{A97F07BD-EF9C-4570-B8B8-B3D3446B9AFC}"/>
    <cellStyle name="Currency 5 3 3 3 3 3" xfId="21967" xr:uid="{088D4631-1957-4895-A311-40996CE9AAE5}"/>
    <cellStyle name="Currency 5 3 3 3 3 4" xfId="30414" xr:uid="{7BA1843C-255D-4429-9378-ABCE2918BD3F}"/>
    <cellStyle name="Currency 5 3 3 3 4" xfId="9302" xr:uid="{795FF835-1732-4E0C-A613-1CF6A1BF09EA}"/>
    <cellStyle name="Currency 5 3 3 3 5" xfId="17750" xr:uid="{22EFB5FB-7795-4E4F-90B7-96DAFBB58131}"/>
    <cellStyle name="Currency 5 3 3 3 6" xfId="26197" xr:uid="{E10921A7-F13C-47CC-A988-9CA820F5640A}"/>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80669ABD-D40A-4701-9E33-88167C804C7C}"/>
    <cellStyle name="Currency 5 3 3 4 2 2 3" xfId="24525" xr:uid="{6099BB22-8699-44D4-A185-320308B3C927}"/>
    <cellStyle name="Currency 5 3 3 4 2 2 4" xfId="32972" xr:uid="{F3920089-EF05-498A-9AF7-97DACCEFB1AB}"/>
    <cellStyle name="Currency 5 3 3 4 2 3" xfId="11860" xr:uid="{C87ED2A3-CE51-40BD-8716-47DFF311DB31}"/>
    <cellStyle name="Currency 5 3 3 4 2 4" xfId="20308" xr:uid="{82BA4B13-26B5-4EA1-BBB5-1B6FFF300FB0}"/>
    <cellStyle name="Currency 5 3 3 4 2 5" xfId="28755" xr:uid="{F6047F1A-DEB6-4007-AA19-8AB2DDE4D597}"/>
    <cellStyle name="Currency 5 3 3 4 3" xfId="5483" xr:uid="{00000000-0005-0000-0000-0000FD0C0000}"/>
    <cellStyle name="Currency 5 3 3 4 3 2" xfId="13933" xr:uid="{79104306-C934-4616-B290-12ED74CFB133}"/>
    <cellStyle name="Currency 5 3 3 4 3 3" xfId="22380" xr:uid="{A472B19C-EE44-43A7-AA8F-F5B6C9F5351A}"/>
    <cellStyle name="Currency 5 3 3 4 3 4" xfId="30827" xr:uid="{A88AA610-E77A-4AFE-A860-CDE67EDEE721}"/>
    <cellStyle name="Currency 5 3 3 4 4" xfId="9715" xr:uid="{62A8007F-8A25-4D82-BDA6-300C636D92AF}"/>
    <cellStyle name="Currency 5 3 3 4 5" xfId="18163" xr:uid="{1EDE13B2-6587-493A-A4F4-500B5CB2D23B}"/>
    <cellStyle name="Currency 5 3 3 4 6" xfId="26610" xr:uid="{1D00448D-1D14-4323-AA69-60F4B193D2EA}"/>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9948FE80-511F-40C1-9EF2-54AB7179A82D}"/>
    <cellStyle name="Currency 5 3 3 5 2 2 3" xfId="24938" xr:uid="{A0BC70DB-A107-4C98-AA85-96F65270989C}"/>
    <cellStyle name="Currency 5 3 3 5 2 2 4" xfId="33385" xr:uid="{F3EC18B1-0082-419C-BE8D-717229DDEFCD}"/>
    <cellStyle name="Currency 5 3 3 5 2 3" xfId="12273" xr:uid="{55AD928E-2E54-4179-BCA0-B31F662459F4}"/>
    <cellStyle name="Currency 5 3 3 5 2 4" xfId="20721" xr:uid="{A22A19A3-C9A5-47DC-9C0D-7530C0C4DE43}"/>
    <cellStyle name="Currency 5 3 3 5 2 5" xfId="29168" xr:uid="{FE4111F7-BC23-44AD-9D3F-D52F21D662D9}"/>
    <cellStyle name="Currency 5 3 3 5 3" xfId="5896" xr:uid="{00000000-0005-0000-0000-0000010D0000}"/>
    <cellStyle name="Currency 5 3 3 5 3 2" xfId="14346" xr:uid="{479E3D39-37B1-401D-8D16-206766AF3A6F}"/>
    <cellStyle name="Currency 5 3 3 5 3 3" xfId="22793" xr:uid="{77F3C1F4-8583-419D-975D-10999A10F8F0}"/>
    <cellStyle name="Currency 5 3 3 5 3 4" xfId="31240" xr:uid="{3A5E88EA-683F-43E7-8BB8-4D3ED65861E5}"/>
    <cellStyle name="Currency 5 3 3 5 4" xfId="10128" xr:uid="{AF23059D-497B-4F02-8941-D8D5BCD5D039}"/>
    <cellStyle name="Currency 5 3 3 5 5" xfId="18576" xr:uid="{4A93CF9A-02BD-46F8-86A0-62BB34DE96D8}"/>
    <cellStyle name="Currency 5 3 3 5 6" xfId="27023" xr:uid="{A95C9E0F-482D-4889-8940-D22B043E730B}"/>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3166D0EF-13CC-41D6-AF5A-12DDBD0DCD2C}"/>
    <cellStyle name="Currency 5 3 3 6 2 2 3" xfId="25351" xr:uid="{DE9233D7-FDE5-4CDD-A509-71B4F7695281}"/>
    <cellStyle name="Currency 5 3 3 6 2 2 4" xfId="33798" xr:uid="{600351CC-2836-4FAA-9217-F65AB8452C73}"/>
    <cellStyle name="Currency 5 3 3 6 2 3" xfId="12686" xr:uid="{FD66DC59-A194-4778-BEFA-1B9BC1B51818}"/>
    <cellStyle name="Currency 5 3 3 6 2 4" xfId="21134" xr:uid="{B6805206-01A7-4CE0-892D-2FDD6D74788F}"/>
    <cellStyle name="Currency 5 3 3 6 2 5" xfId="29581" xr:uid="{4DAED16E-B368-49F7-A3E5-A05E66B9D6F7}"/>
    <cellStyle name="Currency 5 3 3 6 3" xfId="6309" xr:uid="{00000000-0005-0000-0000-0000050D0000}"/>
    <cellStyle name="Currency 5 3 3 6 3 2" xfId="14759" xr:uid="{C5565E04-A60C-4DCF-80DA-C93B11B9ADA8}"/>
    <cellStyle name="Currency 5 3 3 6 3 3" xfId="23206" xr:uid="{F54E755C-50B4-411A-9CB7-DE23544D476E}"/>
    <cellStyle name="Currency 5 3 3 6 3 4" xfId="31653" xr:uid="{2CBA8839-6F55-4A1B-920E-910B06028180}"/>
    <cellStyle name="Currency 5 3 3 6 4" xfId="10541" xr:uid="{F3EDADD9-0F23-45C9-B6E9-00CB615F6C7C}"/>
    <cellStyle name="Currency 5 3 3 6 5" xfId="18989" xr:uid="{8B3ECDBF-06C5-4817-9424-18EFA178B442}"/>
    <cellStyle name="Currency 5 3 3 6 6" xfId="27436" xr:uid="{749BD05D-66A3-48F3-A238-6849A9B4DB46}"/>
    <cellStyle name="Currency 5 3 3 7" xfId="2438" xr:uid="{00000000-0005-0000-0000-0000060D0000}"/>
    <cellStyle name="Currency 5 3 3 7 2" xfId="6722" xr:uid="{00000000-0005-0000-0000-0000070D0000}"/>
    <cellStyle name="Currency 5 3 3 7 2 2" xfId="15172" xr:uid="{EDD59372-244B-44EA-BAAB-75E5A6AAB284}"/>
    <cellStyle name="Currency 5 3 3 7 2 3" xfId="23619" xr:uid="{7F317098-0F94-4A46-AC0A-C03FB83CB808}"/>
    <cellStyle name="Currency 5 3 3 7 2 4" xfId="32066" xr:uid="{B5CC9D2F-C080-4C03-9B74-B572F43AF9E6}"/>
    <cellStyle name="Currency 5 3 3 7 3" xfId="10954" xr:uid="{A6FD6FFF-4526-4D1F-BE42-2BC4FE0EF776}"/>
    <cellStyle name="Currency 5 3 3 7 4" xfId="19402" xr:uid="{81C309F4-F980-4B4A-839D-4EB8529B4157}"/>
    <cellStyle name="Currency 5 3 3 7 5" xfId="27849" xr:uid="{3348DDE5-8DDF-431F-B888-72D525E497CE}"/>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A16DCAE7-A15C-4517-AAC4-C51CAAAFCA5D}"/>
    <cellStyle name="Currency 5 3 3 9 2 3" xfId="23936" xr:uid="{1B0DCA15-154F-4D10-B148-FFD48ED3CA2B}"/>
    <cellStyle name="Currency 5 3 3 9 2 4" xfId="32383" xr:uid="{40224675-F284-4A11-A543-66ADCA9B11F1}"/>
    <cellStyle name="Currency 5 3 3 9 3" xfId="11271" xr:uid="{3FF59E28-E20C-4FB1-8931-7EEDBEC33CBE}"/>
    <cellStyle name="Currency 5 3 3 9 4" xfId="19719" xr:uid="{F5C61A1D-50C6-416D-8669-2015E1F74376}"/>
    <cellStyle name="Currency 5 3 3 9 5" xfId="28166" xr:uid="{D81648F7-FCBF-48F8-9F70-87B6EDE8CA36}"/>
    <cellStyle name="Currency 5 3 4" xfId="216" xr:uid="{00000000-0005-0000-0000-00000B0D0000}"/>
    <cellStyle name="Currency 5 3 4 10" xfId="8890" xr:uid="{A0C473C5-42B5-4A23-8BA4-6F5918DB1A0A}"/>
    <cellStyle name="Currency 5 3 4 11" xfId="17338" xr:uid="{8BC505A1-84E8-494C-AC10-79BCF0E9124C}"/>
    <cellStyle name="Currency 5 3 4 12" xfId="25785" xr:uid="{30DA39EF-91B3-4381-9729-6E06213737D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C3249C9A-F1A3-446E-A64C-69E26A4447DD}"/>
    <cellStyle name="Currency 5 3 4 2 2 2 3" xfId="24114" xr:uid="{A68AF666-5C18-4BCE-AABB-C891C15FC1A8}"/>
    <cellStyle name="Currency 5 3 4 2 2 2 4" xfId="32561" xr:uid="{14AE8BAC-8239-4B5C-B9D6-DC593B641C1A}"/>
    <cellStyle name="Currency 5 3 4 2 2 3" xfId="11449" xr:uid="{45B17BE4-5AA0-4D17-9BEE-1ACA8DA56C74}"/>
    <cellStyle name="Currency 5 3 4 2 2 4" xfId="19897" xr:uid="{6DD92627-246F-46BB-815E-B7633F50F678}"/>
    <cellStyle name="Currency 5 3 4 2 2 5" xfId="28344" xr:uid="{03ED59F7-8D47-4498-B0C5-93C538E71464}"/>
    <cellStyle name="Currency 5 3 4 2 3" xfId="5072" xr:uid="{00000000-0005-0000-0000-00000F0D0000}"/>
    <cellStyle name="Currency 5 3 4 2 3 2" xfId="13522" xr:uid="{B7388B62-008D-42C8-A3F1-F9929E72AA04}"/>
    <cellStyle name="Currency 5 3 4 2 3 3" xfId="21969" xr:uid="{93689367-DC45-4026-834D-63B25ADD181E}"/>
    <cellStyle name="Currency 5 3 4 2 3 4" xfId="30416" xr:uid="{A56F1E80-B8C3-4B36-A352-CA4CDE60AF60}"/>
    <cellStyle name="Currency 5 3 4 2 4" xfId="9304" xr:uid="{4C690C87-3734-40D0-A507-6D6080947569}"/>
    <cellStyle name="Currency 5 3 4 2 5" xfId="17752" xr:uid="{F233CF37-A59E-423D-BC97-9B84F940BB6E}"/>
    <cellStyle name="Currency 5 3 4 2 6" xfId="26199" xr:uid="{77600190-EED6-47C0-B64F-389138B7C119}"/>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97F078AC-CEB6-4555-8D97-B73C7497517A}"/>
    <cellStyle name="Currency 5 3 4 3 2 2 3" xfId="24527" xr:uid="{5CF2B3D9-8267-47FE-B25F-8D8FF2208434}"/>
    <cellStyle name="Currency 5 3 4 3 2 2 4" xfId="32974" xr:uid="{CBF5F223-596A-4921-9FE8-57C527F5C76A}"/>
    <cellStyle name="Currency 5 3 4 3 2 3" xfId="11862" xr:uid="{F5798A95-8713-4FE6-A138-FF5F17732CFF}"/>
    <cellStyle name="Currency 5 3 4 3 2 4" xfId="20310" xr:uid="{483077FD-14A6-434B-87BC-80E41BB46AD7}"/>
    <cellStyle name="Currency 5 3 4 3 2 5" xfId="28757" xr:uid="{3FBE872E-ED61-4827-AE85-A64C103C66CB}"/>
    <cellStyle name="Currency 5 3 4 3 3" xfId="5485" xr:uid="{00000000-0005-0000-0000-0000130D0000}"/>
    <cellStyle name="Currency 5 3 4 3 3 2" xfId="13935" xr:uid="{B2350E87-32B7-4892-A9ED-BBDB18DC24E4}"/>
    <cellStyle name="Currency 5 3 4 3 3 3" xfId="22382" xr:uid="{0798DA12-2581-484D-99F0-2831237032F1}"/>
    <cellStyle name="Currency 5 3 4 3 3 4" xfId="30829" xr:uid="{F5950B9D-C727-4EA9-A896-9F180125E8AD}"/>
    <cellStyle name="Currency 5 3 4 3 4" xfId="9717" xr:uid="{1522FC05-D228-40F5-8B90-83615C80F5E2}"/>
    <cellStyle name="Currency 5 3 4 3 5" xfId="18165" xr:uid="{3AF9E677-4107-4F81-9E82-3D21BB2B2EF7}"/>
    <cellStyle name="Currency 5 3 4 3 6" xfId="26612" xr:uid="{CA93203A-534E-4357-8D03-6D95A2DCD41A}"/>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B23162D1-72E7-496B-AD12-70538195B758}"/>
    <cellStyle name="Currency 5 3 4 4 2 2 3" xfId="24940" xr:uid="{E687D66F-D871-41BC-8529-FDC9064B6D21}"/>
    <cellStyle name="Currency 5 3 4 4 2 2 4" xfId="33387" xr:uid="{A700EEC9-F7E7-40A6-A8B7-2C20070D5642}"/>
    <cellStyle name="Currency 5 3 4 4 2 3" xfId="12275" xr:uid="{CCAA3456-F36C-41EB-8B5B-58551ED313DF}"/>
    <cellStyle name="Currency 5 3 4 4 2 4" xfId="20723" xr:uid="{33195FAC-4ECD-4332-980E-A75349D3DB4A}"/>
    <cellStyle name="Currency 5 3 4 4 2 5" xfId="29170" xr:uid="{B964DAE4-D4E1-4A02-8282-BE79C0081BF1}"/>
    <cellStyle name="Currency 5 3 4 4 3" xfId="5898" xr:uid="{00000000-0005-0000-0000-0000170D0000}"/>
    <cellStyle name="Currency 5 3 4 4 3 2" xfId="14348" xr:uid="{DB2FF401-06D8-4A0F-9FB3-72B13CB24C84}"/>
    <cellStyle name="Currency 5 3 4 4 3 3" xfId="22795" xr:uid="{3A4BFBF8-A5C2-412E-8980-40C27F02ADC1}"/>
    <cellStyle name="Currency 5 3 4 4 3 4" xfId="31242" xr:uid="{C5FDAAC2-F6C3-4387-9246-3F84714ACEBA}"/>
    <cellStyle name="Currency 5 3 4 4 4" xfId="10130" xr:uid="{BA6D46DF-1B8D-48DA-BFE0-4C8056A9B4D8}"/>
    <cellStyle name="Currency 5 3 4 4 5" xfId="18578" xr:uid="{EE9CB3C3-2F39-4257-94F0-3FFDCDCCC971}"/>
    <cellStyle name="Currency 5 3 4 4 6" xfId="27025" xr:uid="{B47FD347-531C-46A1-B613-0303E375853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4A091993-B38D-4880-AB03-8D3AAD93CCFE}"/>
    <cellStyle name="Currency 5 3 4 5 2 2 3" xfId="25353" xr:uid="{78DFD5B8-09CA-48EA-A646-971E26B07E9B}"/>
    <cellStyle name="Currency 5 3 4 5 2 2 4" xfId="33800" xr:uid="{9D6E47F9-2855-4CF2-869D-5B9E229B0E43}"/>
    <cellStyle name="Currency 5 3 4 5 2 3" xfId="12688" xr:uid="{DCCFD1E6-020B-4FAE-8091-98F13AC939A0}"/>
    <cellStyle name="Currency 5 3 4 5 2 4" xfId="21136" xr:uid="{56D25A9B-24A6-46DE-A943-A614181839EC}"/>
    <cellStyle name="Currency 5 3 4 5 2 5" xfId="29583" xr:uid="{33F51203-242B-479A-8F8F-3C90905B9319}"/>
    <cellStyle name="Currency 5 3 4 5 3" xfId="6311" xr:uid="{00000000-0005-0000-0000-00001B0D0000}"/>
    <cellStyle name="Currency 5 3 4 5 3 2" xfId="14761" xr:uid="{B6041B97-6743-46AE-A382-F45518F7F3A3}"/>
    <cellStyle name="Currency 5 3 4 5 3 3" xfId="23208" xr:uid="{5ABE082C-0DBB-4794-BB39-55448E3FA53A}"/>
    <cellStyle name="Currency 5 3 4 5 3 4" xfId="31655" xr:uid="{9D4D5DF7-00AE-428A-B122-FFB3085CCF0C}"/>
    <cellStyle name="Currency 5 3 4 5 4" xfId="10543" xr:uid="{1FE5CFE9-61D6-4BC7-AA4A-CF0FEBC3100C}"/>
    <cellStyle name="Currency 5 3 4 5 5" xfId="18991" xr:uid="{FCCC9713-C3C5-4511-BB99-76FC6016E6B0}"/>
    <cellStyle name="Currency 5 3 4 5 6" xfId="27438" xr:uid="{C7440549-C911-4BB8-81F3-C6F784EF3597}"/>
    <cellStyle name="Currency 5 3 4 6" xfId="2440" xr:uid="{00000000-0005-0000-0000-00001C0D0000}"/>
    <cellStyle name="Currency 5 3 4 6 2" xfId="6724" xr:uid="{00000000-0005-0000-0000-00001D0D0000}"/>
    <cellStyle name="Currency 5 3 4 6 2 2" xfId="15174" xr:uid="{C4909FFA-D9A9-4D0E-851E-765B04E60C81}"/>
    <cellStyle name="Currency 5 3 4 6 2 3" xfId="23621" xr:uid="{503AB3F8-CE20-4DBC-A96C-1682D3832A9C}"/>
    <cellStyle name="Currency 5 3 4 6 2 4" xfId="32068" xr:uid="{8E5ED3A9-8561-44CA-967B-20F1F6C6D1DA}"/>
    <cellStyle name="Currency 5 3 4 6 3" xfId="10956" xr:uid="{89783E9F-AFBC-4E6B-9854-8FF3E6EF7E37}"/>
    <cellStyle name="Currency 5 3 4 6 4" xfId="19404" xr:uid="{1ABE7DF6-47BE-4455-958C-051E2DB58378}"/>
    <cellStyle name="Currency 5 3 4 6 5" xfId="27851" xr:uid="{0A60023D-E711-42F5-8A25-9056B69A9072}"/>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3125F12C-9105-4127-BBDE-8A68D17272F9}"/>
    <cellStyle name="Currency 5 3 4 8 2 3" xfId="23938" xr:uid="{7A0716CD-1D3A-41F3-9EE9-5EE3E0DE202C}"/>
    <cellStyle name="Currency 5 3 4 8 2 4" xfId="32385" xr:uid="{E0BF881C-3E72-456C-B8A5-A34C294229AC}"/>
    <cellStyle name="Currency 5 3 4 8 3" xfId="11273" xr:uid="{EC4F46D6-C440-44B1-9720-185EAE761E98}"/>
    <cellStyle name="Currency 5 3 4 8 4" xfId="19721" xr:uid="{F46E6393-D327-4B9E-9801-35004965D9E4}"/>
    <cellStyle name="Currency 5 3 4 8 5" xfId="28168" xr:uid="{44FB6348-12CD-4547-8556-EA8A9FD518CB}"/>
    <cellStyle name="Currency 5 3 4 9" xfId="4658" xr:uid="{00000000-0005-0000-0000-0000210D0000}"/>
    <cellStyle name="Currency 5 3 4 9 2" xfId="13108" xr:uid="{9727C721-F012-4C7B-894D-C0369034BBF0}"/>
    <cellStyle name="Currency 5 3 4 9 3" xfId="21555" xr:uid="{E0DB420E-C84C-424F-B7C5-D388B07C7A06}"/>
    <cellStyle name="Currency 5 3 4 9 4" xfId="30002" xr:uid="{01561E15-52DF-4D7A-BB9B-C0CD7918E361}"/>
    <cellStyle name="Currency 5 3 5" xfId="217" xr:uid="{00000000-0005-0000-0000-0000220D0000}"/>
    <cellStyle name="Currency 5 3 5 10" xfId="8891" xr:uid="{31447AF6-F9DC-49E9-8C42-A0FD4B13FB1E}"/>
    <cellStyle name="Currency 5 3 5 11" xfId="17339" xr:uid="{4CF1B996-7D8A-4263-A661-4C7F8B7C103C}"/>
    <cellStyle name="Currency 5 3 5 12" xfId="25786" xr:uid="{4DB93AA7-CC4A-4F63-A382-702B7A055E0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12445B95-3C83-4790-8B65-EFCC6C363C0F}"/>
    <cellStyle name="Currency 5 3 5 2 2 2 3" xfId="24115" xr:uid="{5BF18373-0577-4479-9D99-3C0C80BDEFB0}"/>
    <cellStyle name="Currency 5 3 5 2 2 2 4" xfId="32562" xr:uid="{08300DBC-2E4E-436D-B151-FD88131460C7}"/>
    <cellStyle name="Currency 5 3 5 2 2 3" xfId="11450" xr:uid="{EB3DB23B-7339-4A1D-A5B6-A548CE1CF0B6}"/>
    <cellStyle name="Currency 5 3 5 2 2 4" xfId="19898" xr:uid="{BB9D75C1-611F-4FBA-AAD5-BC8F60277602}"/>
    <cellStyle name="Currency 5 3 5 2 2 5" xfId="28345" xr:uid="{3E7A0329-5F3C-4C7D-825B-42BAD2271F90}"/>
    <cellStyle name="Currency 5 3 5 2 3" xfId="5073" xr:uid="{00000000-0005-0000-0000-0000260D0000}"/>
    <cellStyle name="Currency 5 3 5 2 3 2" xfId="13523" xr:uid="{DD3A1A3B-E1AC-4D51-9843-A14A6AF31B50}"/>
    <cellStyle name="Currency 5 3 5 2 3 3" xfId="21970" xr:uid="{7AF631E3-F06D-4DE9-8C6E-E667686A05B9}"/>
    <cellStyle name="Currency 5 3 5 2 3 4" xfId="30417" xr:uid="{00CD1C0D-7C8B-430E-B935-8CEB7A441168}"/>
    <cellStyle name="Currency 5 3 5 2 4" xfId="9305" xr:uid="{A9039365-2A40-4084-A70E-CEDAADCC8A3F}"/>
    <cellStyle name="Currency 5 3 5 2 5" xfId="17753" xr:uid="{D782A2D2-2E26-4249-AD67-8BB74FCF881A}"/>
    <cellStyle name="Currency 5 3 5 2 6" xfId="26200" xr:uid="{B806CF9C-740C-460D-826B-EFDF08699D24}"/>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EA84091D-6F8B-426B-9594-8A678EEF72C0}"/>
    <cellStyle name="Currency 5 3 5 3 2 2 3" xfId="24528" xr:uid="{74EE6448-EC95-4641-A8C0-74C5B929EE03}"/>
    <cellStyle name="Currency 5 3 5 3 2 2 4" xfId="32975" xr:uid="{97AD8A07-ED3A-4FDF-A5B2-B5E773FE5CF6}"/>
    <cellStyle name="Currency 5 3 5 3 2 3" xfId="11863" xr:uid="{F2C6EE5D-E205-4AF4-ACF9-52A76A298EDC}"/>
    <cellStyle name="Currency 5 3 5 3 2 4" xfId="20311" xr:uid="{B5DD26AF-AAFF-4D62-9171-44B44827EC3E}"/>
    <cellStyle name="Currency 5 3 5 3 2 5" xfId="28758" xr:uid="{39933748-F69A-49FF-B552-97D00CF5884B}"/>
    <cellStyle name="Currency 5 3 5 3 3" xfId="5486" xr:uid="{00000000-0005-0000-0000-00002A0D0000}"/>
    <cellStyle name="Currency 5 3 5 3 3 2" xfId="13936" xr:uid="{9D604EFA-8DC9-4E87-8562-96950E80F18D}"/>
    <cellStyle name="Currency 5 3 5 3 3 3" xfId="22383" xr:uid="{F45AC2B4-7DA0-41DB-AB5B-447300D22492}"/>
    <cellStyle name="Currency 5 3 5 3 3 4" xfId="30830" xr:uid="{BAA20C5E-9B42-47DA-B23C-C85D43D26171}"/>
    <cellStyle name="Currency 5 3 5 3 4" xfId="9718" xr:uid="{9C56999E-3318-4C6C-B96D-4B5DD1FE6CB5}"/>
    <cellStyle name="Currency 5 3 5 3 5" xfId="18166" xr:uid="{2FFBE61F-FD82-4EA1-B3CF-973E03A37EBC}"/>
    <cellStyle name="Currency 5 3 5 3 6" xfId="26613" xr:uid="{119E7982-5465-460E-B923-6C2832ADBE6F}"/>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F0C05C60-58D3-434C-9157-E4B8E75E6E79}"/>
    <cellStyle name="Currency 5 3 5 4 2 2 3" xfId="24941" xr:uid="{C12862DD-CEFE-4586-A07D-EDB2C932C3C6}"/>
    <cellStyle name="Currency 5 3 5 4 2 2 4" xfId="33388" xr:uid="{CB1E0A37-D4A5-4F1A-B6AB-F0F55BD6EE49}"/>
    <cellStyle name="Currency 5 3 5 4 2 3" xfId="12276" xr:uid="{33531D7E-7C4D-4CF4-9EAA-E1AC7AFF44E2}"/>
    <cellStyle name="Currency 5 3 5 4 2 4" xfId="20724" xr:uid="{5E53362C-DC87-48F2-AED5-0E2A5E3DE4F6}"/>
    <cellStyle name="Currency 5 3 5 4 2 5" xfId="29171" xr:uid="{47AF9C3A-751E-4AD3-B1B7-767C80CD9711}"/>
    <cellStyle name="Currency 5 3 5 4 3" xfId="5899" xr:uid="{00000000-0005-0000-0000-00002E0D0000}"/>
    <cellStyle name="Currency 5 3 5 4 3 2" xfId="14349" xr:uid="{C3AA7DE9-87D1-48E0-B8EE-4840311D4FB8}"/>
    <cellStyle name="Currency 5 3 5 4 3 3" xfId="22796" xr:uid="{DF763612-E07E-4940-90CC-5D3B41FE6D2C}"/>
    <cellStyle name="Currency 5 3 5 4 3 4" xfId="31243" xr:uid="{108881AA-50D3-45B2-86D9-59ABE830FB2A}"/>
    <cellStyle name="Currency 5 3 5 4 4" xfId="10131" xr:uid="{CB8CD1F0-4A15-40F2-8EA0-9C097D683DFE}"/>
    <cellStyle name="Currency 5 3 5 4 5" xfId="18579" xr:uid="{C91FE673-F7C1-48D9-A1B2-8E66F559CFD2}"/>
    <cellStyle name="Currency 5 3 5 4 6" xfId="27026" xr:uid="{715A8329-3291-4C2A-A60C-86DA22DD5C3A}"/>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466E4A03-2B6F-4BFC-BEA6-FC43B0850634}"/>
    <cellStyle name="Currency 5 3 5 5 2 2 3" xfId="25354" xr:uid="{EEC7BD7F-0172-48DD-950D-8B4F3382E5B7}"/>
    <cellStyle name="Currency 5 3 5 5 2 2 4" xfId="33801" xr:uid="{2F1609F8-A1AF-4CB8-A727-3466102E785F}"/>
    <cellStyle name="Currency 5 3 5 5 2 3" xfId="12689" xr:uid="{C14EE390-C63D-468C-BD33-EF4910FC22F0}"/>
    <cellStyle name="Currency 5 3 5 5 2 4" xfId="21137" xr:uid="{78ABDA70-B942-4B15-A8E8-45C006D951F1}"/>
    <cellStyle name="Currency 5 3 5 5 2 5" xfId="29584" xr:uid="{E87DFADB-D752-4EF4-9E3C-787A0D386FB7}"/>
    <cellStyle name="Currency 5 3 5 5 3" xfId="6312" xr:uid="{00000000-0005-0000-0000-0000320D0000}"/>
    <cellStyle name="Currency 5 3 5 5 3 2" xfId="14762" xr:uid="{AE2ACC53-5D97-4FFB-854B-DAB844C68664}"/>
    <cellStyle name="Currency 5 3 5 5 3 3" xfId="23209" xr:uid="{219501D0-17CA-43BD-AC95-9104634400F5}"/>
    <cellStyle name="Currency 5 3 5 5 3 4" xfId="31656" xr:uid="{C3ECAC2A-33A1-44D3-A3B5-812CA9C02A74}"/>
    <cellStyle name="Currency 5 3 5 5 4" xfId="10544" xr:uid="{EB99C7CC-3EEE-4719-81E6-4CCAD42FAE79}"/>
    <cellStyle name="Currency 5 3 5 5 5" xfId="18992" xr:uid="{4E5CEBC3-9B4A-4F3C-B2C3-B016978BF264}"/>
    <cellStyle name="Currency 5 3 5 5 6" xfId="27439" xr:uid="{9FFE18FC-203E-44F5-B186-AFB213F02A0B}"/>
    <cellStyle name="Currency 5 3 5 6" xfId="2441" xr:uid="{00000000-0005-0000-0000-0000330D0000}"/>
    <cellStyle name="Currency 5 3 5 6 2" xfId="6725" xr:uid="{00000000-0005-0000-0000-0000340D0000}"/>
    <cellStyle name="Currency 5 3 5 6 2 2" xfId="15175" xr:uid="{33CBD813-6716-499C-949E-342F8057BA9C}"/>
    <cellStyle name="Currency 5 3 5 6 2 3" xfId="23622" xr:uid="{38CA1F6C-3295-45C2-B1F4-FCF0F35F2749}"/>
    <cellStyle name="Currency 5 3 5 6 2 4" xfId="32069" xr:uid="{B8F58C91-5CB0-4E36-B779-305B8C242ABD}"/>
    <cellStyle name="Currency 5 3 5 6 3" xfId="10957" xr:uid="{2EBD12B8-4B93-4942-92D2-9545CFBAECFE}"/>
    <cellStyle name="Currency 5 3 5 6 4" xfId="19405" xr:uid="{53531D49-E070-4DA4-8BEF-46932D536C96}"/>
    <cellStyle name="Currency 5 3 5 6 5" xfId="27852" xr:uid="{074EB877-402B-4447-877B-BF066C184497}"/>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9C74B82A-24AD-4B22-9092-765340CA60A0}"/>
    <cellStyle name="Currency 5 3 5 8 2 3" xfId="23939" xr:uid="{2CD99C01-7E9F-4EF8-A52B-9B5B82600947}"/>
    <cellStyle name="Currency 5 3 5 8 2 4" xfId="32386" xr:uid="{E13D9613-26D1-4829-986F-752E39AD83AE}"/>
    <cellStyle name="Currency 5 3 5 8 3" xfId="11274" xr:uid="{1B67F9EC-E20B-45CA-900B-B10A1474A972}"/>
    <cellStyle name="Currency 5 3 5 8 4" xfId="19722" xr:uid="{A747A181-AC4C-4AB1-92C5-A29FD6F41F1C}"/>
    <cellStyle name="Currency 5 3 5 8 5" xfId="28169" xr:uid="{B1456EBF-90A0-4B53-A458-BDAB3E01CE51}"/>
    <cellStyle name="Currency 5 3 5 9" xfId="4659" xr:uid="{00000000-0005-0000-0000-0000380D0000}"/>
    <cellStyle name="Currency 5 3 5 9 2" xfId="13109" xr:uid="{33EE642C-9D0D-4F5C-9638-1DEB67B71F90}"/>
    <cellStyle name="Currency 5 3 5 9 3" xfId="21556" xr:uid="{ED692BBC-73F1-4A15-92B9-3FB808B8B30D}"/>
    <cellStyle name="Currency 5 3 5 9 4" xfId="30003" xr:uid="{EDFDB11C-9DE7-4A25-871E-81234CF23457}"/>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9AFE11E1-0DB0-4487-AE8D-29EAFFBEA86C}"/>
    <cellStyle name="Currency 5 5 10 3" xfId="21557" xr:uid="{0C136B90-35EF-424E-97DD-AF470FED2840}"/>
    <cellStyle name="Currency 5 5 10 4" xfId="30004" xr:uid="{E116C3F2-7301-43F6-A11F-786B0F7C4208}"/>
    <cellStyle name="Currency 5 5 11" xfId="8892" xr:uid="{BA82487B-3D59-4ECC-8FB0-F1F8FC085F4A}"/>
    <cellStyle name="Currency 5 5 12" xfId="17340" xr:uid="{35739AFA-F437-4D9D-B1DF-7090FC850002}"/>
    <cellStyle name="Currency 5 5 13" xfId="25787" xr:uid="{91132173-8911-4FC3-9913-A293472200E3}"/>
    <cellStyle name="Currency 5 5 2" xfId="220" xr:uid="{00000000-0005-0000-0000-00003D0D0000}"/>
    <cellStyle name="Currency 5 5 2 10" xfId="8893" xr:uid="{D0383614-0541-4C1A-A467-CC72262D815A}"/>
    <cellStyle name="Currency 5 5 2 11" xfId="17341" xr:uid="{0B97DE22-1690-46B8-B2A1-3AC642DD6F33}"/>
    <cellStyle name="Currency 5 5 2 12" xfId="25788" xr:uid="{E6E7AAA8-1358-4988-AB9E-20CE52CF737B}"/>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9CC932F7-4A72-4D1C-B685-F6732CFA64F2}"/>
    <cellStyle name="Currency 5 5 2 2 2 2 3" xfId="24117" xr:uid="{9C286869-0251-4CA7-8246-CEDAAC1F08ED}"/>
    <cellStyle name="Currency 5 5 2 2 2 2 4" xfId="32564" xr:uid="{C6CE926F-2B0F-4838-9DA6-4C4DF6709A5C}"/>
    <cellStyle name="Currency 5 5 2 2 2 3" xfId="11452" xr:uid="{9DCCE995-8410-4B59-B167-60AD9A96648E}"/>
    <cellStyle name="Currency 5 5 2 2 2 4" xfId="19900" xr:uid="{FD07CAC9-23B4-4575-9DD4-F03DC726C69A}"/>
    <cellStyle name="Currency 5 5 2 2 2 5" xfId="28347" xr:uid="{D7CA433D-BA08-438B-8F76-98B993E7CDC7}"/>
    <cellStyle name="Currency 5 5 2 2 3" xfId="5075" xr:uid="{00000000-0005-0000-0000-0000410D0000}"/>
    <cellStyle name="Currency 5 5 2 2 3 2" xfId="13525" xr:uid="{003167FF-31E2-47DD-BE82-50366FE74E5C}"/>
    <cellStyle name="Currency 5 5 2 2 3 3" xfId="21972" xr:uid="{3FAD5A3E-B9ED-49BB-9692-6F4C107BBB61}"/>
    <cellStyle name="Currency 5 5 2 2 3 4" xfId="30419" xr:uid="{D92393C2-6475-421A-A3E9-4EAFD1C5B673}"/>
    <cellStyle name="Currency 5 5 2 2 4" xfId="9307" xr:uid="{82D212AA-633A-4FCF-9520-F5C9B2251A98}"/>
    <cellStyle name="Currency 5 5 2 2 5" xfId="17755" xr:uid="{4073D861-E169-4BB2-AB0E-D01C64AE7B1B}"/>
    <cellStyle name="Currency 5 5 2 2 6" xfId="26202" xr:uid="{4BEB4D60-83E7-4891-BAF4-2ED2BBB9270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1DDCD4B5-A2A4-41A2-8FF6-872454E13F48}"/>
    <cellStyle name="Currency 5 5 2 3 2 2 3" xfId="24530" xr:uid="{01B535D6-B532-4977-9AEF-8FDAC7EBA565}"/>
    <cellStyle name="Currency 5 5 2 3 2 2 4" xfId="32977" xr:uid="{0CD39374-CBBC-4411-B74C-8F850AE8119F}"/>
    <cellStyle name="Currency 5 5 2 3 2 3" xfId="11865" xr:uid="{830FA372-859F-44AD-8CAD-3813DA8D9B4B}"/>
    <cellStyle name="Currency 5 5 2 3 2 4" xfId="20313" xr:uid="{F556C9B9-CBD8-4932-8342-BCFA0EC3CED9}"/>
    <cellStyle name="Currency 5 5 2 3 2 5" xfId="28760" xr:uid="{30F56AE7-5979-4705-BF4B-5B783240676C}"/>
    <cellStyle name="Currency 5 5 2 3 3" xfId="5488" xr:uid="{00000000-0005-0000-0000-0000450D0000}"/>
    <cellStyle name="Currency 5 5 2 3 3 2" xfId="13938" xr:uid="{D401962F-5487-4878-84A0-69D8204C11A7}"/>
    <cellStyle name="Currency 5 5 2 3 3 3" xfId="22385" xr:uid="{4E980A97-7725-4ABA-B01C-BDAA028F0C79}"/>
    <cellStyle name="Currency 5 5 2 3 3 4" xfId="30832" xr:uid="{B35B43B2-3EBC-4037-8E8E-19D66B5AB14A}"/>
    <cellStyle name="Currency 5 5 2 3 4" xfId="9720" xr:uid="{81F8010B-43DA-4BFC-BCAD-C4CA9AB516FF}"/>
    <cellStyle name="Currency 5 5 2 3 5" xfId="18168" xr:uid="{27B2EF9D-6E7D-49FD-9031-707DFEAC940D}"/>
    <cellStyle name="Currency 5 5 2 3 6" xfId="26615" xr:uid="{0EBE9194-9E2F-4279-A596-271CA718AA06}"/>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299D4182-023A-443C-A533-B0EF2539B3FC}"/>
    <cellStyle name="Currency 5 5 2 4 2 2 3" xfId="24943" xr:uid="{8B83DE45-F23A-4763-A288-CFFC7AA3D8AB}"/>
    <cellStyle name="Currency 5 5 2 4 2 2 4" xfId="33390" xr:uid="{7561B1CB-DC8A-43E4-9D2C-3E8858552D33}"/>
    <cellStyle name="Currency 5 5 2 4 2 3" xfId="12278" xr:uid="{419AE6F5-68AF-472D-A6E6-D234D43425D2}"/>
    <cellStyle name="Currency 5 5 2 4 2 4" xfId="20726" xr:uid="{BABB70BE-D0DF-4372-BDDC-9BB95660C73E}"/>
    <cellStyle name="Currency 5 5 2 4 2 5" xfId="29173" xr:uid="{7508341B-CB8F-4F94-BE0E-2C02331B1FFE}"/>
    <cellStyle name="Currency 5 5 2 4 3" xfId="5901" xr:uid="{00000000-0005-0000-0000-0000490D0000}"/>
    <cellStyle name="Currency 5 5 2 4 3 2" xfId="14351" xr:uid="{283376A8-7D12-4C98-A3E3-23F35A251032}"/>
    <cellStyle name="Currency 5 5 2 4 3 3" xfId="22798" xr:uid="{F052444A-D151-42D7-98BB-C5E93128CAC4}"/>
    <cellStyle name="Currency 5 5 2 4 3 4" xfId="31245" xr:uid="{ACB01714-4B73-4CE3-81D9-0A2B1AC2EE2E}"/>
    <cellStyle name="Currency 5 5 2 4 4" xfId="10133" xr:uid="{32EBEFF1-8C9A-4817-A9BE-9AE1DE83EBFF}"/>
    <cellStyle name="Currency 5 5 2 4 5" xfId="18581" xr:uid="{730B99A6-D445-4B40-96B8-BFC85C354831}"/>
    <cellStyle name="Currency 5 5 2 4 6" xfId="27028" xr:uid="{6732160D-B18C-4D3C-B6FC-5A85B3A32CA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B5E976A2-BB51-4E52-93EC-DD2B0764E4E7}"/>
    <cellStyle name="Currency 5 5 2 5 2 2 3" xfId="25356" xr:uid="{F010541B-23DF-481C-9A7A-322BA0D9AFDB}"/>
    <cellStyle name="Currency 5 5 2 5 2 2 4" xfId="33803" xr:uid="{B78D85DB-DD1D-4E2C-A642-EC3A9C8B9811}"/>
    <cellStyle name="Currency 5 5 2 5 2 3" xfId="12691" xr:uid="{210C8360-7F25-4C66-92C1-367CC7F2C1BE}"/>
    <cellStyle name="Currency 5 5 2 5 2 4" xfId="21139" xr:uid="{DFABB057-750C-44C5-8629-7357D910EB9C}"/>
    <cellStyle name="Currency 5 5 2 5 2 5" xfId="29586" xr:uid="{2F31AB7C-E0BA-4A52-8AAE-FBC9CA206394}"/>
    <cellStyle name="Currency 5 5 2 5 3" xfId="6314" xr:uid="{00000000-0005-0000-0000-00004D0D0000}"/>
    <cellStyle name="Currency 5 5 2 5 3 2" xfId="14764" xr:uid="{E8F160FE-343B-4860-8ACB-70E2411436AB}"/>
    <cellStyle name="Currency 5 5 2 5 3 3" xfId="23211" xr:uid="{EA94EC08-2369-49E3-A387-0D4E48C5DC14}"/>
    <cellStyle name="Currency 5 5 2 5 3 4" xfId="31658" xr:uid="{91D1B615-3438-4210-A166-9C113D3AD084}"/>
    <cellStyle name="Currency 5 5 2 5 4" xfId="10546" xr:uid="{90324A09-F8A6-488C-ACBD-EC5E4573BEBC}"/>
    <cellStyle name="Currency 5 5 2 5 5" xfId="18994" xr:uid="{8D364777-652E-47CA-AECA-EBC84993118A}"/>
    <cellStyle name="Currency 5 5 2 5 6" xfId="27441" xr:uid="{FC7BAB11-5057-4AAA-A6D0-EDCBF9DD37F7}"/>
    <cellStyle name="Currency 5 5 2 6" xfId="2443" xr:uid="{00000000-0005-0000-0000-00004E0D0000}"/>
    <cellStyle name="Currency 5 5 2 6 2" xfId="6727" xr:uid="{00000000-0005-0000-0000-00004F0D0000}"/>
    <cellStyle name="Currency 5 5 2 6 2 2" xfId="15177" xr:uid="{AC096F60-ABBA-49A4-BFB1-A5AC5EEBA3DE}"/>
    <cellStyle name="Currency 5 5 2 6 2 3" xfId="23624" xr:uid="{11AD5647-281B-476C-A60A-CFDC808096F7}"/>
    <cellStyle name="Currency 5 5 2 6 2 4" xfId="32071" xr:uid="{26A5204B-799B-4D77-B5C9-BA0C7DBB6D94}"/>
    <cellStyle name="Currency 5 5 2 6 3" xfId="10959" xr:uid="{1D080BBC-7349-4D7F-9473-AC844F067888}"/>
    <cellStyle name="Currency 5 5 2 6 4" xfId="19407" xr:uid="{0219A6FA-2C35-4AF0-B426-A7954E9B09D5}"/>
    <cellStyle name="Currency 5 5 2 6 5" xfId="27854" xr:uid="{7950494C-5CD7-4E2D-B7EF-C743F500AC45}"/>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F410971E-3D9C-4114-8C5F-3EC8075325CC}"/>
    <cellStyle name="Currency 5 5 2 8 2 3" xfId="23941" xr:uid="{C50328DC-316E-4A21-BD86-D3ABE7A675E4}"/>
    <cellStyle name="Currency 5 5 2 8 2 4" xfId="32388" xr:uid="{3E68066D-FA6D-464D-A701-070507920297}"/>
    <cellStyle name="Currency 5 5 2 8 3" xfId="11276" xr:uid="{14E85A46-055A-49D3-87D0-BAE7DD9E4E23}"/>
    <cellStyle name="Currency 5 5 2 8 4" xfId="19724" xr:uid="{09ED3934-41A8-4100-9E67-601B98BA4032}"/>
    <cellStyle name="Currency 5 5 2 8 5" xfId="28171" xr:uid="{09770713-36E8-4ED1-9476-28B4F9617711}"/>
    <cellStyle name="Currency 5 5 2 9" xfId="4661" xr:uid="{00000000-0005-0000-0000-0000530D0000}"/>
    <cellStyle name="Currency 5 5 2 9 2" xfId="13111" xr:uid="{E7FCC6C2-1B3C-4444-8059-82B6ACAED64F}"/>
    <cellStyle name="Currency 5 5 2 9 3" xfId="21558" xr:uid="{F20696CB-0B61-4504-823D-1BC87629C325}"/>
    <cellStyle name="Currency 5 5 2 9 4" xfId="30005" xr:uid="{B4D279E2-CDDC-45B1-95FE-79247DCF5B02}"/>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90BD95A7-5D5E-4BA5-90F1-372C9079B875}"/>
    <cellStyle name="Currency 5 5 3 2 2 3" xfId="24116" xr:uid="{296C4642-A3AA-40B2-B749-9280956596F2}"/>
    <cellStyle name="Currency 5 5 3 2 2 4" xfId="32563" xr:uid="{3BABDB65-7B4D-4ADF-AB52-3078238587FE}"/>
    <cellStyle name="Currency 5 5 3 2 3" xfId="11451" xr:uid="{732FF418-DBDF-47BB-985C-36695E18BD6C}"/>
    <cellStyle name="Currency 5 5 3 2 4" xfId="19899" xr:uid="{CFE09F8C-D459-4E60-9796-43BE2F979FDC}"/>
    <cellStyle name="Currency 5 5 3 2 5" xfId="28346" xr:uid="{896C6EF4-165E-4DE2-A342-C5BDD7CFD052}"/>
    <cellStyle name="Currency 5 5 3 3" xfId="5074" xr:uid="{00000000-0005-0000-0000-0000570D0000}"/>
    <cellStyle name="Currency 5 5 3 3 2" xfId="13524" xr:uid="{F8F7F8BE-7F9A-4007-B4D1-90F4E89F2FBA}"/>
    <cellStyle name="Currency 5 5 3 3 3" xfId="21971" xr:uid="{99D7373F-F0EC-457D-A825-C1B60558012F}"/>
    <cellStyle name="Currency 5 5 3 3 4" xfId="30418" xr:uid="{17327092-4823-4D30-9371-E556D92B5B5D}"/>
    <cellStyle name="Currency 5 5 3 4" xfId="9306" xr:uid="{1C7980B5-09C7-4DDA-9D37-292E1F441332}"/>
    <cellStyle name="Currency 5 5 3 5" xfId="17754" xr:uid="{216EA50C-EB56-41DC-B655-2DFAFFCDF889}"/>
    <cellStyle name="Currency 5 5 3 6" xfId="26201" xr:uid="{3A6A17F8-F336-4F69-B0C3-20C4894ACF54}"/>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194B9084-D7CE-4213-98E3-04D119CC987F}"/>
    <cellStyle name="Currency 5 5 4 2 2 3" xfId="24529" xr:uid="{E35579F7-3436-4DD0-BE35-937C782B05BD}"/>
    <cellStyle name="Currency 5 5 4 2 2 4" xfId="32976" xr:uid="{FD41A576-3C03-4A2D-BFD1-5C04BB21A1C3}"/>
    <cellStyle name="Currency 5 5 4 2 3" xfId="11864" xr:uid="{9EDA2E39-67FB-4192-9636-AA3AB67C2C03}"/>
    <cellStyle name="Currency 5 5 4 2 4" xfId="20312" xr:uid="{9C11BD14-6304-47BB-9210-0001611B07FD}"/>
    <cellStyle name="Currency 5 5 4 2 5" xfId="28759" xr:uid="{0AA74749-23D1-4CE1-85D3-95B6D8467739}"/>
    <cellStyle name="Currency 5 5 4 3" xfId="5487" xr:uid="{00000000-0005-0000-0000-00005B0D0000}"/>
    <cellStyle name="Currency 5 5 4 3 2" xfId="13937" xr:uid="{4DE25C0A-7558-4074-AEEA-78236B0B63DE}"/>
    <cellStyle name="Currency 5 5 4 3 3" xfId="22384" xr:uid="{FAB84804-74E3-48AA-BE6E-AAFACD38414D}"/>
    <cellStyle name="Currency 5 5 4 3 4" xfId="30831" xr:uid="{AEE54ABB-B600-458F-9698-85FEF7F35CFF}"/>
    <cellStyle name="Currency 5 5 4 4" xfId="9719" xr:uid="{9ABDB55A-DD2F-4D42-AFCA-C7DA1383A4EC}"/>
    <cellStyle name="Currency 5 5 4 5" xfId="18167" xr:uid="{B8D0902B-1DAB-452B-B9CA-650260C4333E}"/>
    <cellStyle name="Currency 5 5 4 6" xfId="26614" xr:uid="{5A826EDF-49B6-4B7E-B4C4-E5F3E20397A3}"/>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422188A2-2D11-4314-A5CC-E4058847211F}"/>
    <cellStyle name="Currency 5 5 5 2 2 3" xfId="24942" xr:uid="{74BB53A1-70D2-4DD9-A8B0-50E97E04A86F}"/>
    <cellStyle name="Currency 5 5 5 2 2 4" xfId="33389" xr:uid="{B3E21C02-F222-4FD0-9D15-E2CF95FECAC3}"/>
    <cellStyle name="Currency 5 5 5 2 3" xfId="12277" xr:uid="{6E9DB83B-5082-4BCF-9CBB-3B1701A9C18A}"/>
    <cellStyle name="Currency 5 5 5 2 4" xfId="20725" xr:uid="{517ED227-58B4-4F52-8C28-E181B953AF65}"/>
    <cellStyle name="Currency 5 5 5 2 5" xfId="29172" xr:uid="{72D769BC-24DF-49E5-95C8-2A2EDDC03C0C}"/>
    <cellStyle name="Currency 5 5 5 3" xfId="5900" xr:uid="{00000000-0005-0000-0000-00005F0D0000}"/>
    <cellStyle name="Currency 5 5 5 3 2" xfId="14350" xr:uid="{8B62FE23-E010-4EEA-AB26-3CD37C80F25F}"/>
    <cellStyle name="Currency 5 5 5 3 3" xfId="22797" xr:uid="{5AC903AF-2D3E-4C06-B74D-A18CBEC4CEBC}"/>
    <cellStyle name="Currency 5 5 5 3 4" xfId="31244" xr:uid="{63D7FACD-D4BF-4F98-AFFD-354A26997556}"/>
    <cellStyle name="Currency 5 5 5 4" xfId="10132" xr:uid="{49A447D3-1E97-4232-91F3-8195ED573544}"/>
    <cellStyle name="Currency 5 5 5 5" xfId="18580" xr:uid="{0B648A75-DD06-4E30-8F80-22F3E70DD2C2}"/>
    <cellStyle name="Currency 5 5 5 6" xfId="27027" xr:uid="{67628A24-0222-4378-8EDE-2A83B922CBAD}"/>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883D80CD-C0DE-4119-A17C-CCDC4EB01DB7}"/>
    <cellStyle name="Currency 5 5 6 2 2 3" xfId="25355" xr:uid="{44E797F3-CD64-4F8C-BF44-7AE1DD77D90A}"/>
    <cellStyle name="Currency 5 5 6 2 2 4" xfId="33802" xr:uid="{36121A64-0449-4DBD-A2B3-DAFB0C6DA863}"/>
    <cellStyle name="Currency 5 5 6 2 3" xfId="12690" xr:uid="{8338670D-39B2-4F85-9B6D-4E28285B41EA}"/>
    <cellStyle name="Currency 5 5 6 2 4" xfId="21138" xr:uid="{12697044-CD7A-4066-A59D-7C9EB407EF8C}"/>
    <cellStyle name="Currency 5 5 6 2 5" xfId="29585" xr:uid="{D89B38F9-D066-48FE-B5D1-58CD0A525036}"/>
    <cellStyle name="Currency 5 5 6 3" xfId="6313" xr:uid="{00000000-0005-0000-0000-0000630D0000}"/>
    <cellStyle name="Currency 5 5 6 3 2" xfId="14763" xr:uid="{9CCD591F-5E48-4E9A-A459-5A75C53D1C8E}"/>
    <cellStyle name="Currency 5 5 6 3 3" xfId="23210" xr:uid="{47033ACB-8284-4FE1-8FC2-EE25B10F039A}"/>
    <cellStyle name="Currency 5 5 6 3 4" xfId="31657" xr:uid="{06501ED4-1893-4344-95F7-4C33DE5547AD}"/>
    <cellStyle name="Currency 5 5 6 4" xfId="10545" xr:uid="{A952E098-9746-4B7E-93F0-90A83AE25CB3}"/>
    <cellStyle name="Currency 5 5 6 5" xfId="18993" xr:uid="{C5387C17-04CC-48B9-9AFF-A973064C2AC4}"/>
    <cellStyle name="Currency 5 5 6 6" xfId="27440" xr:uid="{23BB8953-AE36-4FFB-95AE-14D0EA7BFBA3}"/>
    <cellStyle name="Currency 5 5 7" xfId="2442" xr:uid="{00000000-0005-0000-0000-0000640D0000}"/>
    <cellStyle name="Currency 5 5 7 2" xfId="6726" xr:uid="{00000000-0005-0000-0000-0000650D0000}"/>
    <cellStyle name="Currency 5 5 7 2 2" xfId="15176" xr:uid="{009D4A8C-8563-43E8-9FA0-6E6659B7F3D0}"/>
    <cellStyle name="Currency 5 5 7 2 3" xfId="23623" xr:uid="{A2AC2C73-5873-4754-A6E8-CC823462B269}"/>
    <cellStyle name="Currency 5 5 7 2 4" xfId="32070" xr:uid="{81EB401B-4C7E-49AF-9069-D7E0EFE14AAE}"/>
    <cellStyle name="Currency 5 5 7 3" xfId="10958" xr:uid="{08E3C042-310C-45AD-B7E4-7ED143A29CD9}"/>
    <cellStyle name="Currency 5 5 7 4" xfId="19406" xr:uid="{512AE307-68D3-44D7-94F8-A67BFC1B8308}"/>
    <cellStyle name="Currency 5 5 7 5" xfId="27853" xr:uid="{D132EE5B-E028-41B2-B4F0-B9A4532315ED}"/>
    <cellStyle name="Currency 5 5 8" xfId="2739" xr:uid="{00000000-0005-0000-0000-0000660D0000}"/>
    <cellStyle name="Currency 5 5 9" xfId="2820" xr:uid="{00000000-0005-0000-0000-0000670D0000}"/>
    <cellStyle name="Currency 5 5 9 2" xfId="7043" xr:uid="{00000000-0005-0000-0000-0000680D0000}"/>
    <cellStyle name="Currency 5 5 9 2 2" xfId="15493" xr:uid="{5009EE56-9180-47D8-993E-79F7A9677BB4}"/>
    <cellStyle name="Currency 5 5 9 2 3" xfId="23940" xr:uid="{573AEAAB-F547-441C-BBD7-142B98117146}"/>
    <cellStyle name="Currency 5 5 9 2 4" xfId="32387" xr:uid="{69C2939C-5657-4A2D-B526-4917443402BC}"/>
    <cellStyle name="Currency 5 5 9 3" xfId="11275" xr:uid="{907C405E-0EFF-4D32-9133-FADAC593F97A}"/>
    <cellStyle name="Currency 5 5 9 4" xfId="19723" xr:uid="{6E1078B1-9E68-4B27-9BFC-CD904BEA3C07}"/>
    <cellStyle name="Currency 5 5 9 5" xfId="28170" xr:uid="{25FA5E1F-C57D-47B6-92AE-F5E0434786CF}"/>
    <cellStyle name="Currency 5 6" xfId="221" xr:uid="{00000000-0005-0000-0000-0000690D0000}"/>
    <cellStyle name="Currency 5 6 10" xfId="8894" xr:uid="{13943B4C-5505-44EF-9F72-BBBEBE321252}"/>
    <cellStyle name="Currency 5 6 11" xfId="17342" xr:uid="{8E28CE23-1FEF-47BD-8BE4-05F5E06BD7C2}"/>
    <cellStyle name="Currency 5 6 12" xfId="25789" xr:uid="{90C42BDC-38EF-470D-A5D7-B14D62877BCE}"/>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12B6FB84-1731-4BF2-929D-D49DD3873641}"/>
    <cellStyle name="Currency 5 6 2 2 2 3" xfId="24118" xr:uid="{C72F1372-03C6-4AB3-8EE8-F9BCBF0CFE4B}"/>
    <cellStyle name="Currency 5 6 2 2 2 4" xfId="32565" xr:uid="{3D15D97F-7727-4C99-B112-77AB5112ED50}"/>
    <cellStyle name="Currency 5 6 2 2 3" xfId="11453" xr:uid="{8EC7F49D-08C6-4558-9AC2-F6DF507C7D5C}"/>
    <cellStyle name="Currency 5 6 2 2 4" xfId="19901" xr:uid="{3146C571-9321-4024-93A1-242D57C8737C}"/>
    <cellStyle name="Currency 5 6 2 2 5" xfId="28348" xr:uid="{E574DEB1-60D7-40BE-BDF9-BA31C83A6B4B}"/>
    <cellStyle name="Currency 5 6 2 3" xfId="5076" xr:uid="{00000000-0005-0000-0000-00006D0D0000}"/>
    <cellStyle name="Currency 5 6 2 3 2" xfId="13526" xr:uid="{FDA19D95-F759-42CB-85C8-69B31D3C61B3}"/>
    <cellStyle name="Currency 5 6 2 3 3" xfId="21973" xr:uid="{D7818B22-0E5E-4CFD-8379-F0721576187A}"/>
    <cellStyle name="Currency 5 6 2 3 4" xfId="30420" xr:uid="{D4919B8C-C292-48EE-9318-EDE7B5781971}"/>
    <cellStyle name="Currency 5 6 2 4" xfId="9308" xr:uid="{A3C16764-8FB8-49ED-B750-9480079BCF01}"/>
    <cellStyle name="Currency 5 6 2 5" xfId="17756" xr:uid="{90E602D1-700E-4801-8240-EF3D054D77E0}"/>
    <cellStyle name="Currency 5 6 2 6" xfId="26203" xr:uid="{28DE1C4E-764D-41D9-AB94-D75224C562DD}"/>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E01632BB-F6EE-437B-B683-8279EE6FCF32}"/>
    <cellStyle name="Currency 5 6 3 2 2 3" xfId="24531" xr:uid="{DD1C55ED-EC9C-4266-A947-CE8A62155F94}"/>
    <cellStyle name="Currency 5 6 3 2 2 4" xfId="32978" xr:uid="{71E64232-9AD5-4F27-B97D-369AD9130127}"/>
    <cellStyle name="Currency 5 6 3 2 3" xfId="11866" xr:uid="{F95FA042-6649-410B-8065-F1C323D4BF0B}"/>
    <cellStyle name="Currency 5 6 3 2 4" xfId="20314" xr:uid="{3C6F3A06-8A2A-4054-9880-660662801A5C}"/>
    <cellStyle name="Currency 5 6 3 2 5" xfId="28761" xr:uid="{0F436344-4D29-4C58-AEFB-120EC5A45AC6}"/>
    <cellStyle name="Currency 5 6 3 3" xfId="5489" xr:uid="{00000000-0005-0000-0000-0000710D0000}"/>
    <cellStyle name="Currency 5 6 3 3 2" xfId="13939" xr:uid="{7B7E1C21-D56F-4D36-8CF8-CB1E575C04F4}"/>
    <cellStyle name="Currency 5 6 3 3 3" xfId="22386" xr:uid="{9D221E53-1673-43F8-9D35-CBAD5A284113}"/>
    <cellStyle name="Currency 5 6 3 3 4" xfId="30833" xr:uid="{5A8B8D12-4731-4EB1-B4C0-F367990B4672}"/>
    <cellStyle name="Currency 5 6 3 4" xfId="9721" xr:uid="{214F7BFC-21B6-40BB-853B-8E842B7FBEBD}"/>
    <cellStyle name="Currency 5 6 3 5" xfId="18169" xr:uid="{05664E22-E204-4E04-AB14-69B09643796E}"/>
    <cellStyle name="Currency 5 6 3 6" xfId="26616" xr:uid="{E131F4E0-511F-4F2B-8C78-EA9478C223B4}"/>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D768C2F2-70E0-4F48-B268-C129BB0E67F7}"/>
    <cellStyle name="Currency 5 6 4 2 2 3" xfId="24944" xr:uid="{BA57295F-B9FC-419E-9A7E-955B8499FA8C}"/>
    <cellStyle name="Currency 5 6 4 2 2 4" xfId="33391" xr:uid="{1F067A68-F88B-4092-B05A-3A494F84B886}"/>
    <cellStyle name="Currency 5 6 4 2 3" xfId="12279" xr:uid="{992A1B19-AAD4-4D60-82F9-3FD132A528EF}"/>
    <cellStyle name="Currency 5 6 4 2 4" xfId="20727" xr:uid="{2D6332AC-111B-42EF-9550-4965926FA538}"/>
    <cellStyle name="Currency 5 6 4 2 5" xfId="29174" xr:uid="{AE5F12DA-03B2-4D03-A1CE-3D5103C8CEA5}"/>
    <cellStyle name="Currency 5 6 4 3" xfId="5902" xr:uid="{00000000-0005-0000-0000-0000750D0000}"/>
    <cellStyle name="Currency 5 6 4 3 2" xfId="14352" xr:uid="{1409778B-876E-4E72-8A3B-31E3EF04CDC4}"/>
    <cellStyle name="Currency 5 6 4 3 3" xfId="22799" xr:uid="{450DF8FA-8436-434C-B316-6BA271692400}"/>
    <cellStyle name="Currency 5 6 4 3 4" xfId="31246" xr:uid="{EB868224-5C9F-4D0F-B5BF-151052465685}"/>
    <cellStyle name="Currency 5 6 4 4" xfId="10134" xr:uid="{F0086ADF-DF98-4393-A7D1-1097ECFCDED1}"/>
    <cellStyle name="Currency 5 6 4 5" xfId="18582" xr:uid="{473F1EFE-3A99-4727-BF40-E1CBE495440D}"/>
    <cellStyle name="Currency 5 6 4 6" xfId="27029" xr:uid="{2976BE85-E6CB-44C2-9B45-73213E9EF310}"/>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2E7A8FC8-C433-43C3-9DDC-C5CCFD183982}"/>
    <cellStyle name="Currency 5 6 5 2 2 3" xfId="25357" xr:uid="{10C4F3B4-54AB-421B-874D-B9ABCA49DA15}"/>
    <cellStyle name="Currency 5 6 5 2 2 4" xfId="33804" xr:uid="{F6828DD3-5B81-42CD-B039-415F2CD5C8DF}"/>
    <cellStyle name="Currency 5 6 5 2 3" xfId="12692" xr:uid="{0520CD63-73CC-4D44-B4E3-F42C95AAB312}"/>
    <cellStyle name="Currency 5 6 5 2 4" xfId="21140" xr:uid="{D051E897-8323-44C6-9D7D-06D5296A1113}"/>
    <cellStyle name="Currency 5 6 5 2 5" xfId="29587" xr:uid="{64CBB77A-798D-4291-8834-501AFDBCE2C4}"/>
    <cellStyle name="Currency 5 6 5 3" xfId="6315" xr:uid="{00000000-0005-0000-0000-0000790D0000}"/>
    <cellStyle name="Currency 5 6 5 3 2" xfId="14765" xr:uid="{6D56EF05-161C-486A-B954-C37D11725AED}"/>
    <cellStyle name="Currency 5 6 5 3 3" xfId="23212" xr:uid="{9FAE26CC-22DA-494F-B487-E6A9ACF1CF1B}"/>
    <cellStyle name="Currency 5 6 5 3 4" xfId="31659" xr:uid="{305E86FF-3320-4B78-ADD3-822BB0EE2165}"/>
    <cellStyle name="Currency 5 6 5 4" xfId="10547" xr:uid="{D4A08F9C-7713-45B6-9CF6-56DF4AB05FE8}"/>
    <cellStyle name="Currency 5 6 5 5" xfId="18995" xr:uid="{F50FA12D-D26B-4EF7-A3E5-8BF44273E797}"/>
    <cellStyle name="Currency 5 6 5 6" xfId="27442" xr:uid="{1D32B95A-F62B-44BF-9B29-459AB4BA1547}"/>
    <cellStyle name="Currency 5 6 6" xfId="2444" xr:uid="{00000000-0005-0000-0000-00007A0D0000}"/>
    <cellStyle name="Currency 5 6 6 2" xfId="6728" xr:uid="{00000000-0005-0000-0000-00007B0D0000}"/>
    <cellStyle name="Currency 5 6 6 2 2" xfId="15178" xr:uid="{B9C2D11B-F92B-4AF2-B25F-2FC68C8DDB9A}"/>
    <cellStyle name="Currency 5 6 6 2 3" xfId="23625" xr:uid="{1AA56B6C-3836-46DD-85E7-EE55E631514F}"/>
    <cellStyle name="Currency 5 6 6 2 4" xfId="32072" xr:uid="{FC590D2F-EB7D-419E-BA04-2BFB80C60C81}"/>
    <cellStyle name="Currency 5 6 6 3" xfId="10960" xr:uid="{12C0E137-7209-447F-AAB1-E900EF17ED5D}"/>
    <cellStyle name="Currency 5 6 6 4" xfId="19408" xr:uid="{8D127ABA-DE89-4093-B582-62A5FAAF5D39}"/>
    <cellStyle name="Currency 5 6 6 5" xfId="27855" xr:uid="{7FFC98B9-1CCC-4C37-A78A-3E4CF07AF97D}"/>
    <cellStyle name="Currency 5 6 7" xfId="2741" xr:uid="{00000000-0005-0000-0000-00007C0D0000}"/>
    <cellStyle name="Currency 5 6 8" xfId="2822" xr:uid="{00000000-0005-0000-0000-00007D0D0000}"/>
    <cellStyle name="Currency 5 6 8 2" xfId="7045" xr:uid="{00000000-0005-0000-0000-00007E0D0000}"/>
    <cellStyle name="Currency 5 6 8 2 2" xfId="15495" xr:uid="{F547F543-2E30-4130-B2FB-F2AF5167E09F}"/>
    <cellStyle name="Currency 5 6 8 2 3" xfId="23942" xr:uid="{887F2E71-7A47-4B0E-B4E9-0BA0262E59FD}"/>
    <cellStyle name="Currency 5 6 8 2 4" xfId="32389" xr:uid="{F6CB25CB-2421-4DD3-975E-39742EDDAD5B}"/>
    <cellStyle name="Currency 5 6 8 3" xfId="11277" xr:uid="{6D032DD5-C135-4051-B2A5-FDB84CCB1CC6}"/>
    <cellStyle name="Currency 5 6 8 4" xfId="19725" xr:uid="{E515615A-7541-4FB7-B6FE-3065C3E736F2}"/>
    <cellStyle name="Currency 5 6 8 5" xfId="28172" xr:uid="{5A28A891-2136-4C5D-B783-6AC53E57451C}"/>
    <cellStyle name="Currency 5 6 9" xfId="4662" xr:uid="{00000000-0005-0000-0000-00007F0D0000}"/>
    <cellStyle name="Currency 5 6 9 2" xfId="13112" xr:uid="{EDE790FB-9805-4599-867C-C4ED1B287714}"/>
    <cellStyle name="Currency 5 6 9 3" xfId="21559" xr:uid="{301FDB34-B353-4A2E-B2E2-67A7A5F8F72F}"/>
    <cellStyle name="Currency 5 6 9 4" xfId="30006" xr:uid="{0DBCCD3B-E5FF-49DC-AC32-6D754A4F6EA3}"/>
    <cellStyle name="Currency 5 7" xfId="222" xr:uid="{00000000-0005-0000-0000-0000800D0000}"/>
    <cellStyle name="Currency 5 7 10" xfId="8895" xr:uid="{AF0BD99D-9C06-410A-8C43-CF1C92071522}"/>
    <cellStyle name="Currency 5 7 11" xfId="17343" xr:uid="{ADF4C4AD-E12D-4E1C-8816-62BDD6070BD0}"/>
    <cellStyle name="Currency 5 7 12" xfId="25790" xr:uid="{6FA1839A-30C0-4592-B9C2-5F47236643D0}"/>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6EA98F4D-4642-4810-8CBC-FD7A455F7447}"/>
    <cellStyle name="Currency 5 7 2 2 2 3" xfId="24119" xr:uid="{DD952AED-1328-4AFC-9F0D-BB9D9565F85E}"/>
    <cellStyle name="Currency 5 7 2 2 2 4" xfId="32566" xr:uid="{344EF5D8-F606-4EB4-AFA6-57E1BAC94127}"/>
    <cellStyle name="Currency 5 7 2 2 3" xfId="11454" xr:uid="{E6CD0584-6D74-4113-B2A1-87B6CEF67C5E}"/>
    <cellStyle name="Currency 5 7 2 2 4" xfId="19902" xr:uid="{73DD6DEE-9404-48E5-8E41-F2F36AE928C2}"/>
    <cellStyle name="Currency 5 7 2 2 5" xfId="28349" xr:uid="{BDF0C3C3-9177-4AC6-8F19-394B5850ADB6}"/>
    <cellStyle name="Currency 5 7 2 3" xfId="5077" xr:uid="{00000000-0005-0000-0000-0000840D0000}"/>
    <cellStyle name="Currency 5 7 2 3 2" xfId="13527" xr:uid="{5F978D33-373F-4133-B913-EEBBE5AD34BF}"/>
    <cellStyle name="Currency 5 7 2 3 3" xfId="21974" xr:uid="{E594E868-3CED-4D12-BCC4-26A417D0EEAC}"/>
    <cellStyle name="Currency 5 7 2 3 4" xfId="30421" xr:uid="{F789C17B-5BDB-4011-8425-36F5EE6323EA}"/>
    <cellStyle name="Currency 5 7 2 4" xfId="9309" xr:uid="{4FE2428A-58CA-4CCD-AF51-F367A1C1484E}"/>
    <cellStyle name="Currency 5 7 2 5" xfId="17757" xr:uid="{C2A92E26-BC0F-4E66-9778-AA35BDE193AA}"/>
    <cellStyle name="Currency 5 7 2 6" xfId="26204" xr:uid="{D13DBF01-7BD8-4FEF-9D8F-CB20A3FE3E92}"/>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133B7F63-882C-4C2F-B314-FFD8DD223197}"/>
    <cellStyle name="Currency 5 7 3 2 2 3" xfId="24532" xr:uid="{B515F2EA-2892-47E9-AFBE-208A11A2D4C1}"/>
    <cellStyle name="Currency 5 7 3 2 2 4" xfId="32979" xr:uid="{3F356BC0-BBC0-4D84-969B-4CD755E43D99}"/>
    <cellStyle name="Currency 5 7 3 2 3" xfId="11867" xr:uid="{57357548-903D-45BD-AFCB-E31DE96BA59E}"/>
    <cellStyle name="Currency 5 7 3 2 4" xfId="20315" xr:uid="{5B289D8A-01A9-4573-9A34-9255B08EF8FC}"/>
    <cellStyle name="Currency 5 7 3 2 5" xfId="28762" xr:uid="{6324F263-E1E0-477C-8013-0B59E4075A63}"/>
    <cellStyle name="Currency 5 7 3 3" xfId="5490" xr:uid="{00000000-0005-0000-0000-0000880D0000}"/>
    <cellStyle name="Currency 5 7 3 3 2" xfId="13940" xr:uid="{0AFA5614-02A1-43C2-8FBB-E6017113FF9F}"/>
    <cellStyle name="Currency 5 7 3 3 3" xfId="22387" xr:uid="{CFFBF5A5-A686-443C-AC04-165EA588A795}"/>
    <cellStyle name="Currency 5 7 3 3 4" xfId="30834" xr:uid="{5D3E2532-42FE-41FE-B167-2D8F650A3267}"/>
    <cellStyle name="Currency 5 7 3 4" xfId="9722" xr:uid="{43165524-EB28-405A-848A-5B0104FAA5A8}"/>
    <cellStyle name="Currency 5 7 3 5" xfId="18170" xr:uid="{4ED6A975-586C-457F-AE63-C1FCAD7F3F60}"/>
    <cellStyle name="Currency 5 7 3 6" xfId="26617" xr:uid="{1E2CCFB7-73BD-47C8-86CF-A12BCECA39AE}"/>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EAED5693-6664-4422-A49F-303E677BA91B}"/>
    <cellStyle name="Currency 5 7 4 2 2 3" xfId="24945" xr:uid="{311D8EFD-6C73-481C-AA0C-B26D1CB9622C}"/>
    <cellStyle name="Currency 5 7 4 2 2 4" xfId="33392" xr:uid="{A435D16F-3C65-4AB4-87CB-BB8F61EC9855}"/>
    <cellStyle name="Currency 5 7 4 2 3" xfId="12280" xr:uid="{0C933CDD-ECD8-4674-918A-6BCB7B245CCA}"/>
    <cellStyle name="Currency 5 7 4 2 4" xfId="20728" xr:uid="{E074ECF9-8D04-410C-A0B2-160CCBAAA1EA}"/>
    <cellStyle name="Currency 5 7 4 2 5" xfId="29175" xr:uid="{6A7E6219-30EE-42DB-87B5-F3D26214CDEA}"/>
    <cellStyle name="Currency 5 7 4 3" xfId="5903" xr:uid="{00000000-0005-0000-0000-00008C0D0000}"/>
    <cellStyle name="Currency 5 7 4 3 2" xfId="14353" xr:uid="{E44E5456-0DA1-4B47-8B5C-89DFD27B765B}"/>
    <cellStyle name="Currency 5 7 4 3 3" xfId="22800" xr:uid="{82665F44-1D19-4DAF-BE0A-3252E594320C}"/>
    <cellStyle name="Currency 5 7 4 3 4" xfId="31247" xr:uid="{4FD2AEC2-607F-4169-9C0C-A6245849B47D}"/>
    <cellStyle name="Currency 5 7 4 4" xfId="10135" xr:uid="{618AB5B1-3B9C-42E2-BA5E-3549A209844A}"/>
    <cellStyle name="Currency 5 7 4 5" xfId="18583" xr:uid="{749D2FC7-77C5-46F3-AF49-0FFA3C2B3B6D}"/>
    <cellStyle name="Currency 5 7 4 6" xfId="27030" xr:uid="{78CBF185-2B85-48F2-99CC-86A589F747BC}"/>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9C2B03D3-25C7-46BB-BC2D-211ABF686BC9}"/>
    <cellStyle name="Currency 5 7 5 2 2 3" xfId="25358" xr:uid="{7FFB20F0-BD7A-459E-A800-D4D077CDCE63}"/>
    <cellStyle name="Currency 5 7 5 2 2 4" xfId="33805" xr:uid="{FAC923F1-EBA0-49A5-99BE-F6A37DAFD357}"/>
    <cellStyle name="Currency 5 7 5 2 3" xfId="12693" xr:uid="{2447A663-694C-4F2B-A10F-091F830B5655}"/>
    <cellStyle name="Currency 5 7 5 2 4" xfId="21141" xr:uid="{24834532-D131-4B1C-995B-F5F742F4B482}"/>
    <cellStyle name="Currency 5 7 5 2 5" xfId="29588" xr:uid="{C5F6C594-3F8D-4841-9711-17F3DE5D4F2B}"/>
    <cellStyle name="Currency 5 7 5 3" xfId="6316" xr:uid="{00000000-0005-0000-0000-0000900D0000}"/>
    <cellStyle name="Currency 5 7 5 3 2" xfId="14766" xr:uid="{25170546-A0BB-49A1-952C-05C23BEAAE45}"/>
    <cellStyle name="Currency 5 7 5 3 3" xfId="23213" xr:uid="{77C42FC5-3A18-4722-8458-A2F91DE5F566}"/>
    <cellStyle name="Currency 5 7 5 3 4" xfId="31660" xr:uid="{2051BD90-5D32-4868-B546-AAFC8C50C88D}"/>
    <cellStyle name="Currency 5 7 5 4" xfId="10548" xr:uid="{E92C61D5-9088-4DC9-AEDE-3DDBC6F245D4}"/>
    <cellStyle name="Currency 5 7 5 5" xfId="18996" xr:uid="{512B1C35-1261-4529-B4C6-FFEDE0995B61}"/>
    <cellStyle name="Currency 5 7 5 6" xfId="27443" xr:uid="{0AFFE738-1A3D-457C-AC32-30FD9741E2F2}"/>
    <cellStyle name="Currency 5 7 6" xfId="2445" xr:uid="{00000000-0005-0000-0000-0000910D0000}"/>
    <cellStyle name="Currency 5 7 6 2" xfId="6729" xr:uid="{00000000-0005-0000-0000-0000920D0000}"/>
    <cellStyle name="Currency 5 7 6 2 2" xfId="15179" xr:uid="{5BB40954-FAD5-4C1B-BA41-C95CA12E2AC2}"/>
    <cellStyle name="Currency 5 7 6 2 3" xfId="23626" xr:uid="{7B9F3916-AEBE-4F38-8053-6EA245376965}"/>
    <cellStyle name="Currency 5 7 6 2 4" xfId="32073" xr:uid="{EF6FB98E-3936-4959-8FBD-B2F3F416613A}"/>
    <cellStyle name="Currency 5 7 6 3" xfId="10961" xr:uid="{8BE5EBD6-C201-44DD-ABD7-AA673BC6AE06}"/>
    <cellStyle name="Currency 5 7 6 4" xfId="19409" xr:uid="{00CF3AD4-5406-4130-A99C-E7A22E2AD6CE}"/>
    <cellStyle name="Currency 5 7 6 5" xfId="27856" xr:uid="{86FA046E-779E-40A6-BA06-A425390A573F}"/>
    <cellStyle name="Currency 5 7 7" xfId="2742" xr:uid="{00000000-0005-0000-0000-0000930D0000}"/>
    <cellStyle name="Currency 5 7 8" xfId="2823" xr:uid="{00000000-0005-0000-0000-0000940D0000}"/>
    <cellStyle name="Currency 5 7 8 2" xfId="7046" xr:uid="{00000000-0005-0000-0000-0000950D0000}"/>
    <cellStyle name="Currency 5 7 8 2 2" xfId="15496" xr:uid="{2B932739-DC20-4D7C-82D6-14C1E1337BE7}"/>
    <cellStyle name="Currency 5 7 8 2 3" xfId="23943" xr:uid="{869C79DE-5E44-4DFE-82C3-1517D1D7FF5A}"/>
    <cellStyle name="Currency 5 7 8 2 4" xfId="32390" xr:uid="{C083BAEF-79F3-4C24-B36D-B1DB198A3666}"/>
    <cellStyle name="Currency 5 7 8 3" xfId="11278" xr:uid="{78DB1616-0692-41A4-97CC-B38D8C95AA5C}"/>
    <cellStyle name="Currency 5 7 8 4" xfId="19726" xr:uid="{FEA8327B-8CA7-4BAD-A557-98CA927D8B3D}"/>
    <cellStyle name="Currency 5 7 8 5" xfId="28173" xr:uid="{FD423A6F-FCFB-44F7-9F33-9BB394EC2A64}"/>
    <cellStyle name="Currency 5 7 9" xfId="4663" xr:uid="{00000000-0005-0000-0000-0000960D0000}"/>
    <cellStyle name="Currency 5 7 9 2" xfId="13113" xr:uid="{6AA96A43-196A-4B41-92A7-0DC8FB01B1B7}"/>
    <cellStyle name="Currency 5 7 9 3" xfId="21560" xr:uid="{299D9BAF-669D-4AC7-A12F-FCD6FAD2D3C0}"/>
    <cellStyle name="Currency 5 7 9 4" xfId="30007" xr:uid="{D93A042B-5578-4388-953A-273B33D5685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7954B6EF-5D72-44C2-87F7-4F4B7540AFA9}"/>
    <cellStyle name="Normal 12 10 2 3" xfId="23627" xr:uid="{DAD5E943-86EB-418C-97DB-EDDF77193175}"/>
    <cellStyle name="Normal 12 10 2 4" xfId="32074" xr:uid="{197AA1ED-E462-423C-953F-4680EF9259EE}"/>
    <cellStyle name="Normal 12 10 3" xfId="10962" xr:uid="{22971BC7-7BC1-428C-92EA-787ABB1B158C}"/>
    <cellStyle name="Normal 12 10 4" xfId="19410" xr:uid="{7DF50849-4814-43B4-906B-1AC8850039D3}"/>
    <cellStyle name="Normal 12 10 5" xfId="27857" xr:uid="{5815524C-D673-4CC8-B2F3-099435D076D4}"/>
    <cellStyle name="Normal 12 11" xfId="4664" xr:uid="{00000000-0005-0000-0000-0000CC0D0000}"/>
    <cellStyle name="Normal 12 11 2" xfId="13114" xr:uid="{732F351A-73E3-4FE7-8AA8-F62160ABF83B}"/>
    <cellStyle name="Normal 12 11 3" xfId="21561" xr:uid="{2DD4CD3E-F177-4C5A-AD17-1575DB276F5E}"/>
    <cellStyle name="Normal 12 11 4" xfId="30008" xr:uid="{BB8E9570-DFE2-49EE-9E82-59B3F450E7BF}"/>
    <cellStyle name="Normal 12 12" xfId="8896" xr:uid="{D1B59876-7693-4D02-B30B-F87592A3FBEB}"/>
    <cellStyle name="Normal 12 13" xfId="17344" xr:uid="{D46DE43F-E23E-4119-8BB2-0C86327DC2FE}"/>
    <cellStyle name="Normal 12 14" xfId="25791" xr:uid="{C746C57E-AFB0-43EA-B1A7-7AFBC3D85735}"/>
    <cellStyle name="Normal 12 2" xfId="260" xr:uid="{00000000-0005-0000-0000-0000CD0D0000}"/>
    <cellStyle name="Normal 12 2 10" xfId="8897" xr:uid="{45D4BBFB-54FB-456A-AC95-4FA449814602}"/>
    <cellStyle name="Normal 12 2 11" xfId="17345" xr:uid="{2BB940C7-C9D3-4150-9C63-5AACA6325C14}"/>
    <cellStyle name="Normal 12 2 12" xfId="25792" xr:uid="{3563FE87-8672-469A-B6F4-309159E809B6}"/>
    <cellStyle name="Normal 12 2 2" xfId="261" xr:uid="{00000000-0005-0000-0000-0000CE0D0000}"/>
    <cellStyle name="Normal 12 2 2 10" xfId="17346" xr:uid="{7F5A5369-2D9C-4694-A5AB-C332B6B7739F}"/>
    <cellStyle name="Normal 12 2 2 11" xfId="25793" xr:uid="{AC381D1D-31B5-46F4-AC9F-10EADF25352A}"/>
    <cellStyle name="Normal 12 2 2 2" xfId="262" xr:uid="{00000000-0005-0000-0000-0000CF0D0000}"/>
    <cellStyle name="Normal 12 2 2 2 10" xfId="25794" xr:uid="{D21139A3-D6F5-4336-ACE4-C1918655D228}"/>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C4B8721A-BDA0-4F87-8062-296A5A838851}"/>
    <cellStyle name="Normal 12 2 2 2 2 2 2 3" xfId="24123" xr:uid="{8F62631B-8E2B-44ED-A20E-0FBC0A0C32B5}"/>
    <cellStyle name="Normal 12 2 2 2 2 2 2 4" xfId="32570" xr:uid="{4A1862FF-749D-4FC0-A24E-69DD810B86AA}"/>
    <cellStyle name="Normal 12 2 2 2 2 2 3" xfId="11458" xr:uid="{ABD723EB-68CF-44AE-8CBE-4E2C85A83A26}"/>
    <cellStyle name="Normal 12 2 2 2 2 2 4" xfId="19906" xr:uid="{80C66110-A5D5-46FD-9DB7-0027090E2A0F}"/>
    <cellStyle name="Normal 12 2 2 2 2 2 5" xfId="28353" xr:uid="{1877A9D6-2D6B-4F67-9493-F622953BCF9B}"/>
    <cellStyle name="Normal 12 2 2 2 2 3" xfId="5081" xr:uid="{00000000-0005-0000-0000-0000D30D0000}"/>
    <cellStyle name="Normal 12 2 2 2 2 3 2" xfId="13531" xr:uid="{CCC1716D-1C18-465C-A040-D30F9EC11BB7}"/>
    <cellStyle name="Normal 12 2 2 2 2 3 3" xfId="21978" xr:uid="{602F3970-DA37-4D59-84CE-7CCD5A5B0CF7}"/>
    <cellStyle name="Normal 12 2 2 2 2 3 4" xfId="30425" xr:uid="{AAB0B849-A6A9-48B1-9EE0-94F007D743E8}"/>
    <cellStyle name="Normal 12 2 2 2 2 4" xfId="9313" xr:uid="{37B2C0F2-BA72-440F-85EE-FA8BEEB0D71A}"/>
    <cellStyle name="Normal 12 2 2 2 2 5" xfId="17761" xr:uid="{8E59B00F-1546-4CF6-9F2B-99BB141CCB7B}"/>
    <cellStyle name="Normal 12 2 2 2 2 6" xfId="26208" xr:uid="{32B38AFC-39DD-44F2-9435-BF5A99CDDA8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939D12E6-6AB0-469E-B5E1-04E50F7B3F3F}"/>
    <cellStyle name="Normal 12 2 2 2 3 2 2 3" xfId="24536" xr:uid="{333571AF-F891-4DF6-A392-10D84708CBDB}"/>
    <cellStyle name="Normal 12 2 2 2 3 2 2 4" xfId="32983" xr:uid="{5DA7A2EA-019C-477E-ACB1-AA8273929B33}"/>
    <cellStyle name="Normal 12 2 2 2 3 2 3" xfId="11871" xr:uid="{2698DAF1-7713-4EE2-9C53-A395DCD51E1A}"/>
    <cellStyle name="Normal 12 2 2 2 3 2 4" xfId="20319" xr:uid="{141CC62F-4DD2-43B7-9DFD-EE27504DAFB7}"/>
    <cellStyle name="Normal 12 2 2 2 3 2 5" xfId="28766" xr:uid="{FDC4FE99-87FB-481D-A75E-E6243ADF14A6}"/>
    <cellStyle name="Normal 12 2 2 2 3 3" xfId="5494" xr:uid="{00000000-0005-0000-0000-0000D70D0000}"/>
    <cellStyle name="Normal 12 2 2 2 3 3 2" xfId="13944" xr:uid="{D7A217CB-322B-4F83-80E4-0B39DAB6F3CA}"/>
    <cellStyle name="Normal 12 2 2 2 3 3 3" xfId="22391" xr:uid="{A74967A6-DC0C-4C67-8F82-20D9369CBEC2}"/>
    <cellStyle name="Normal 12 2 2 2 3 3 4" xfId="30838" xr:uid="{814FB758-9377-49DB-88A6-0B95DEDB82C0}"/>
    <cellStyle name="Normal 12 2 2 2 3 4" xfId="9726" xr:uid="{662D996C-A68B-4828-8218-AE54AA349C7E}"/>
    <cellStyle name="Normal 12 2 2 2 3 5" xfId="18174" xr:uid="{5C86AEEE-75EC-425D-8B61-5468BE6C4895}"/>
    <cellStyle name="Normal 12 2 2 2 3 6" xfId="26621" xr:uid="{2DAC5735-A911-4F9B-9B5F-8096E14DA3B4}"/>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1486C595-9DD5-4828-81B4-E068968CE4F5}"/>
    <cellStyle name="Normal 12 2 2 2 4 2 2 3" xfId="24949" xr:uid="{AEFF13E8-3F54-491A-A764-80FF242C2120}"/>
    <cellStyle name="Normal 12 2 2 2 4 2 2 4" xfId="33396" xr:uid="{26ADD2CB-8D8E-41D6-9B33-04D1BF241C78}"/>
    <cellStyle name="Normal 12 2 2 2 4 2 3" xfId="12284" xr:uid="{B9547DDE-CE01-44AE-9575-1D67B8D48C1C}"/>
    <cellStyle name="Normal 12 2 2 2 4 2 4" xfId="20732" xr:uid="{38280E01-1D15-4BCB-B013-4FCF3202C357}"/>
    <cellStyle name="Normal 12 2 2 2 4 2 5" xfId="29179" xr:uid="{083204D3-120C-4B8A-8052-11DEC100AE6A}"/>
    <cellStyle name="Normal 12 2 2 2 4 3" xfId="5907" xr:uid="{00000000-0005-0000-0000-0000DB0D0000}"/>
    <cellStyle name="Normal 12 2 2 2 4 3 2" xfId="14357" xr:uid="{C712DC8B-46EB-4596-BC77-C66D4EB074B8}"/>
    <cellStyle name="Normal 12 2 2 2 4 3 3" xfId="22804" xr:uid="{31EA1B91-5968-474F-9F7F-427EE261C805}"/>
    <cellStyle name="Normal 12 2 2 2 4 3 4" xfId="31251" xr:uid="{18E010C0-2BF4-46BB-886D-CFD5795BD644}"/>
    <cellStyle name="Normal 12 2 2 2 4 4" xfId="10139" xr:uid="{C84E273A-F845-4CA8-9890-8A80BA78E194}"/>
    <cellStyle name="Normal 12 2 2 2 4 5" xfId="18587" xr:uid="{4645A4EB-95DB-4F70-895D-C2B911D6631F}"/>
    <cellStyle name="Normal 12 2 2 2 4 6" xfId="27034" xr:uid="{11BAC4A7-5FDE-4AA9-81B3-0FD3827F659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719AC780-4D78-4446-B9E2-07575CE59DC9}"/>
    <cellStyle name="Normal 12 2 2 2 5 2 2 3" xfId="25362" xr:uid="{85DF3033-C2F6-4EBB-8ACE-E0EBEB0DC372}"/>
    <cellStyle name="Normal 12 2 2 2 5 2 2 4" xfId="33809" xr:uid="{1FE5952F-86CD-4A73-9CA5-074555B1936D}"/>
    <cellStyle name="Normal 12 2 2 2 5 2 3" xfId="12697" xr:uid="{7418F439-8075-459D-84E8-AD5602A569E1}"/>
    <cellStyle name="Normal 12 2 2 2 5 2 4" xfId="21145" xr:uid="{5C7AD3C2-E439-48D7-BC87-526A29810A13}"/>
    <cellStyle name="Normal 12 2 2 2 5 2 5" xfId="29592" xr:uid="{EB8C0099-16E1-41D6-9457-E71F4A8926A7}"/>
    <cellStyle name="Normal 12 2 2 2 5 3" xfId="6320" xr:uid="{00000000-0005-0000-0000-0000DF0D0000}"/>
    <cellStyle name="Normal 12 2 2 2 5 3 2" xfId="14770" xr:uid="{5E4A19E7-E4F3-4588-B187-45E8646030D8}"/>
    <cellStyle name="Normal 12 2 2 2 5 3 3" xfId="23217" xr:uid="{CA9FE012-9958-4602-916B-EF84897BEC44}"/>
    <cellStyle name="Normal 12 2 2 2 5 3 4" xfId="31664" xr:uid="{81C94E59-23CB-4BDD-B413-315C735DB872}"/>
    <cellStyle name="Normal 12 2 2 2 5 4" xfId="10552" xr:uid="{B0EA325D-9B9D-4F25-BE5B-C1F84F5507AE}"/>
    <cellStyle name="Normal 12 2 2 2 5 5" xfId="19000" xr:uid="{F9C7C01C-40C0-445C-90D4-37138653C80A}"/>
    <cellStyle name="Normal 12 2 2 2 5 6" xfId="27447" xr:uid="{5C098F79-061F-46EF-80E7-2CFA46294E23}"/>
    <cellStyle name="Normal 12 2 2 2 6" xfId="2450" xr:uid="{00000000-0005-0000-0000-0000E00D0000}"/>
    <cellStyle name="Normal 12 2 2 2 6 2" xfId="6733" xr:uid="{00000000-0005-0000-0000-0000E10D0000}"/>
    <cellStyle name="Normal 12 2 2 2 6 2 2" xfId="15183" xr:uid="{60BF4260-39C8-42D5-8022-A531509D1151}"/>
    <cellStyle name="Normal 12 2 2 2 6 2 3" xfId="23630" xr:uid="{AE152687-89A3-4DC4-968D-177C7D9490CC}"/>
    <cellStyle name="Normal 12 2 2 2 6 2 4" xfId="32077" xr:uid="{878A1822-40FA-4C9C-8EDC-24881F55E71B}"/>
    <cellStyle name="Normal 12 2 2 2 6 3" xfId="10965" xr:uid="{9832C03C-4B89-4265-888A-DB092E6BFBD2}"/>
    <cellStyle name="Normal 12 2 2 2 6 4" xfId="19413" xr:uid="{DE1002C7-C34A-4413-8B07-8E2A48820D5A}"/>
    <cellStyle name="Normal 12 2 2 2 6 5" xfId="27860" xr:uid="{F25C0D9F-45E8-4814-8640-BE153B44E4ED}"/>
    <cellStyle name="Normal 12 2 2 2 7" xfId="4667" xr:uid="{00000000-0005-0000-0000-0000E20D0000}"/>
    <cellStyle name="Normal 12 2 2 2 7 2" xfId="13117" xr:uid="{C53C5DC9-9752-409D-AB8F-E9D48221B892}"/>
    <cellStyle name="Normal 12 2 2 2 7 3" xfId="21564" xr:uid="{3531C589-841E-40D7-B433-98A3D9B08A27}"/>
    <cellStyle name="Normal 12 2 2 2 7 4" xfId="30011" xr:uid="{D7505410-C880-446C-B6DA-33E466437C66}"/>
    <cellStyle name="Normal 12 2 2 2 8" xfId="8899" xr:uid="{F5BEC318-8B1D-40DC-9C1D-CFFDF405BE1C}"/>
    <cellStyle name="Normal 12 2 2 2 9" xfId="17347" xr:uid="{311C10F3-3783-4BC1-95DE-AE21423CA7A3}"/>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4F07A854-10AE-45E0-BFAC-61B42C343CDC}"/>
    <cellStyle name="Normal 12 2 2 3 2 2 3" xfId="24122" xr:uid="{728F6632-01EB-494F-B10E-3A5A2ADE33CE}"/>
    <cellStyle name="Normal 12 2 2 3 2 2 4" xfId="32569" xr:uid="{53C9F5BA-B07F-4DD5-9DAF-2024B04671C9}"/>
    <cellStyle name="Normal 12 2 2 3 2 3" xfId="11457" xr:uid="{486F0FFB-255E-4739-9515-1E8051F2F0DF}"/>
    <cellStyle name="Normal 12 2 2 3 2 4" xfId="19905" xr:uid="{29EDDB4C-A824-4395-BD0A-C20406BAB548}"/>
    <cellStyle name="Normal 12 2 2 3 2 5" xfId="28352" xr:uid="{F10EA456-718F-4E2A-95AB-E4B9B835C17F}"/>
    <cellStyle name="Normal 12 2 2 3 3" xfId="5080" xr:uid="{00000000-0005-0000-0000-0000E60D0000}"/>
    <cellStyle name="Normal 12 2 2 3 3 2" xfId="13530" xr:uid="{CC0BD5FE-F886-4B77-A338-D955265E3C47}"/>
    <cellStyle name="Normal 12 2 2 3 3 3" xfId="21977" xr:uid="{2BBEB04B-916B-4982-BBB3-8204BE434FC0}"/>
    <cellStyle name="Normal 12 2 2 3 3 4" xfId="30424" xr:uid="{7FA2152E-6FCE-4908-A875-70CC17CD9472}"/>
    <cellStyle name="Normal 12 2 2 3 4" xfId="9312" xr:uid="{B71B65CE-B9CF-401D-A5FE-5E354E6726CD}"/>
    <cellStyle name="Normal 12 2 2 3 5" xfId="17760" xr:uid="{97D7B00E-91F5-48C9-8FED-769679B8C552}"/>
    <cellStyle name="Normal 12 2 2 3 6" xfId="26207" xr:uid="{019A180C-F1E7-4AC2-9FED-66939BEB9BA2}"/>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670F3C04-DE64-44D3-B66B-17B98B020347}"/>
    <cellStyle name="Normal 12 2 2 4 2 2 3" xfId="24535" xr:uid="{436B7508-AE5F-443D-BEC5-09562898D479}"/>
    <cellStyle name="Normal 12 2 2 4 2 2 4" xfId="32982" xr:uid="{F53F8F54-B291-4D47-83C2-7DC2E1CC9322}"/>
    <cellStyle name="Normal 12 2 2 4 2 3" xfId="11870" xr:uid="{69F8EB6F-6E85-4872-A114-6882BD646D54}"/>
    <cellStyle name="Normal 12 2 2 4 2 4" xfId="20318" xr:uid="{896A37DF-602F-4C4B-AB08-2EAE51D7CB4C}"/>
    <cellStyle name="Normal 12 2 2 4 2 5" xfId="28765" xr:uid="{FCFFB9EB-94B3-4A23-9520-9ED7576B8A95}"/>
    <cellStyle name="Normal 12 2 2 4 3" xfId="5493" xr:uid="{00000000-0005-0000-0000-0000EA0D0000}"/>
    <cellStyle name="Normal 12 2 2 4 3 2" xfId="13943" xr:uid="{1E4470B8-D89D-4575-9FC0-76F2115BF765}"/>
    <cellStyle name="Normal 12 2 2 4 3 3" xfId="22390" xr:uid="{6D1B0010-80BC-4471-93BD-F88EE20D4C51}"/>
    <cellStyle name="Normal 12 2 2 4 3 4" xfId="30837" xr:uid="{39CD613F-BD6C-49C0-9A22-2CCF837819C1}"/>
    <cellStyle name="Normal 12 2 2 4 4" xfId="9725" xr:uid="{E852A185-C4D8-4B9E-AE15-A912E105E8A2}"/>
    <cellStyle name="Normal 12 2 2 4 5" xfId="18173" xr:uid="{CD913FA7-8FE7-40FA-AB47-F9463BD7A85D}"/>
    <cellStyle name="Normal 12 2 2 4 6" xfId="26620" xr:uid="{FDECC7A3-B475-41B6-A078-BF41C6A4E503}"/>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40794447-AA1F-48CE-ACDB-8F6E9B133EF7}"/>
    <cellStyle name="Normal 12 2 2 5 2 2 3" xfId="24948" xr:uid="{EF151546-9126-44F6-B3E7-A52F2603E79A}"/>
    <cellStyle name="Normal 12 2 2 5 2 2 4" xfId="33395" xr:uid="{2232DB8C-6CFF-4441-8BA8-04473C3A1AE1}"/>
    <cellStyle name="Normal 12 2 2 5 2 3" xfId="12283" xr:uid="{7D845D3E-D4CC-4F74-81D0-FC37020EF87C}"/>
    <cellStyle name="Normal 12 2 2 5 2 4" xfId="20731" xr:uid="{D5F10926-BD5C-403F-A0C1-799616B9B273}"/>
    <cellStyle name="Normal 12 2 2 5 2 5" xfId="29178" xr:uid="{246F9ECF-EC99-4061-A98F-2489B33A0F3B}"/>
    <cellStyle name="Normal 12 2 2 5 3" xfId="5906" xr:uid="{00000000-0005-0000-0000-0000EE0D0000}"/>
    <cellStyle name="Normal 12 2 2 5 3 2" xfId="14356" xr:uid="{364C967A-C56F-4CFB-AFC3-322734DB23BC}"/>
    <cellStyle name="Normal 12 2 2 5 3 3" xfId="22803" xr:uid="{675D661A-6FFB-44CA-B905-A9C452359D26}"/>
    <cellStyle name="Normal 12 2 2 5 3 4" xfId="31250" xr:uid="{351517CC-12E3-409A-ADDF-18EEC0FDDD66}"/>
    <cellStyle name="Normal 12 2 2 5 4" xfId="10138" xr:uid="{A980C837-CE8F-4467-AD55-16DCA9EF7AA9}"/>
    <cellStyle name="Normal 12 2 2 5 5" xfId="18586" xr:uid="{73D4F51B-D43A-4366-91DC-8B75C845CA0B}"/>
    <cellStyle name="Normal 12 2 2 5 6" xfId="27033" xr:uid="{2863D668-6FDD-41CF-A1E1-975CD2C0E428}"/>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9F3F394A-39CA-4E84-A1D2-9BC96C0572A9}"/>
    <cellStyle name="Normal 12 2 2 6 2 2 3" xfId="25361" xr:uid="{85A7403F-AEDD-44C6-A8D9-0583623F01D5}"/>
    <cellStyle name="Normal 12 2 2 6 2 2 4" xfId="33808" xr:uid="{2CE10D8D-2BAE-4531-B28B-B3D6EA336FF1}"/>
    <cellStyle name="Normal 12 2 2 6 2 3" xfId="12696" xr:uid="{7E2F2972-A8A6-467D-8CBD-1214378EC0DF}"/>
    <cellStyle name="Normal 12 2 2 6 2 4" xfId="21144" xr:uid="{C3861CDB-BAA8-4D11-91A8-989E047DAD82}"/>
    <cellStyle name="Normal 12 2 2 6 2 5" xfId="29591" xr:uid="{ADC1D253-53A3-4C74-A31C-5D7AFF5BB02F}"/>
    <cellStyle name="Normal 12 2 2 6 3" xfId="6319" xr:uid="{00000000-0005-0000-0000-0000F20D0000}"/>
    <cellStyle name="Normal 12 2 2 6 3 2" xfId="14769" xr:uid="{280614E5-FD06-4273-8C02-670E5A321F0B}"/>
    <cellStyle name="Normal 12 2 2 6 3 3" xfId="23216" xr:uid="{DEB270B9-1384-4461-896A-33308C13AD20}"/>
    <cellStyle name="Normal 12 2 2 6 3 4" xfId="31663" xr:uid="{8B5D6F0C-695A-4FD0-9F5F-73F116CD4BA4}"/>
    <cellStyle name="Normal 12 2 2 6 4" xfId="10551" xr:uid="{873333AA-301D-45CA-AD3F-D395F342AB23}"/>
    <cellStyle name="Normal 12 2 2 6 5" xfId="18999" xr:uid="{DF2C44EB-CB8A-43BE-8FA9-F8AA5FC73D08}"/>
    <cellStyle name="Normal 12 2 2 6 6" xfId="27446" xr:uid="{85B5C67B-917B-4C13-A44A-3F8C52174A76}"/>
    <cellStyle name="Normal 12 2 2 7" xfId="2449" xr:uid="{00000000-0005-0000-0000-0000F30D0000}"/>
    <cellStyle name="Normal 12 2 2 7 2" xfId="6732" xr:uid="{00000000-0005-0000-0000-0000F40D0000}"/>
    <cellStyle name="Normal 12 2 2 7 2 2" xfId="15182" xr:uid="{96F795D5-2A55-4596-A0BA-CFD883C31259}"/>
    <cellStyle name="Normal 12 2 2 7 2 3" xfId="23629" xr:uid="{9125BF4D-085C-487B-AA84-0FE699F11548}"/>
    <cellStyle name="Normal 12 2 2 7 2 4" xfId="32076" xr:uid="{B0AE9442-AFEA-4A34-BA1D-78CCB178A879}"/>
    <cellStyle name="Normal 12 2 2 7 3" xfId="10964" xr:uid="{7A1550CC-B17F-4CE6-8D67-9CEACFD5D708}"/>
    <cellStyle name="Normal 12 2 2 7 4" xfId="19412" xr:uid="{27062D92-FCA9-4B6D-8EF7-D1D6A71BB42A}"/>
    <cellStyle name="Normal 12 2 2 7 5" xfId="27859" xr:uid="{DA19D1B4-C52B-4E2D-86AD-611D41E88CE7}"/>
    <cellStyle name="Normal 12 2 2 8" xfId="4666" xr:uid="{00000000-0005-0000-0000-0000F50D0000}"/>
    <cellStyle name="Normal 12 2 2 8 2" xfId="13116" xr:uid="{BC84A2BD-B949-4F9D-AA6E-25CCAC5CF117}"/>
    <cellStyle name="Normal 12 2 2 8 3" xfId="21563" xr:uid="{8413734A-A1C8-4837-A26B-F7F9693C939D}"/>
    <cellStyle name="Normal 12 2 2 8 4" xfId="30010" xr:uid="{AAA10BFC-8028-47FD-B009-2E99403757CE}"/>
    <cellStyle name="Normal 12 2 2 9" xfId="8898" xr:uid="{11D3FF62-467A-453D-ADF7-2860D76ADCF2}"/>
    <cellStyle name="Normal 12 2 3" xfId="263" xr:uid="{00000000-0005-0000-0000-0000F60D0000}"/>
    <cellStyle name="Normal 12 2 3 10" xfId="25795" xr:uid="{E4D40042-F814-4A7D-B9B5-A7FC813166D7}"/>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893314DA-0478-46E3-89CB-4E546BA79713}"/>
    <cellStyle name="Normal 12 2 3 2 2 2 3" xfId="24124" xr:uid="{B83101F1-F633-475C-9BA2-9C39BF865CE4}"/>
    <cellStyle name="Normal 12 2 3 2 2 2 4" xfId="32571" xr:uid="{9D9C3249-8CD0-4122-B836-748818E343EF}"/>
    <cellStyle name="Normal 12 2 3 2 2 3" xfId="11459" xr:uid="{CF2F6FD2-1694-4E9D-B94F-610F4AA90748}"/>
    <cellStyle name="Normal 12 2 3 2 2 4" xfId="19907" xr:uid="{39050854-5CAB-474D-9483-71D3D2C0B6AC}"/>
    <cellStyle name="Normal 12 2 3 2 2 5" xfId="28354" xr:uid="{041CC798-6F55-4E95-AE08-BDF30EF574F0}"/>
    <cellStyle name="Normal 12 2 3 2 3" xfId="5082" xr:uid="{00000000-0005-0000-0000-0000FA0D0000}"/>
    <cellStyle name="Normal 12 2 3 2 3 2" xfId="13532" xr:uid="{9DCBA64F-2597-4DA9-B4D7-2DCFEDB0FF31}"/>
    <cellStyle name="Normal 12 2 3 2 3 3" xfId="21979" xr:uid="{EA089DF0-2C8C-4EBA-90BF-76B92CE9AE06}"/>
    <cellStyle name="Normal 12 2 3 2 3 4" xfId="30426" xr:uid="{A8087568-4B49-41A8-8A00-DA857927A29A}"/>
    <cellStyle name="Normal 12 2 3 2 4" xfId="9314" xr:uid="{DD3AEF23-338D-4062-8CFA-47DB414849D0}"/>
    <cellStyle name="Normal 12 2 3 2 5" xfId="17762" xr:uid="{F4C2972E-E727-4461-ABE5-485A01AEA125}"/>
    <cellStyle name="Normal 12 2 3 2 6" xfId="26209" xr:uid="{67F4F94F-7449-4A8A-A53C-5D6F83E6B0E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2E5AD0C2-D780-4C4C-A56F-C76E9FEBEF89}"/>
    <cellStyle name="Normal 12 2 3 3 2 2 3" xfId="24537" xr:uid="{5C0A4494-8EC0-4832-A72C-429465F0DF0E}"/>
    <cellStyle name="Normal 12 2 3 3 2 2 4" xfId="32984" xr:uid="{81F8D41C-6810-41ED-93C2-94A2D3AB7323}"/>
    <cellStyle name="Normal 12 2 3 3 2 3" xfId="11872" xr:uid="{92DC744D-346D-486A-B2E4-CF3F236DB4B5}"/>
    <cellStyle name="Normal 12 2 3 3 2 4" xfId="20320" xr:uid="{4F8F567E-2867-402F-8CB0-0AF4F623A50E}"/>
    <cellStyle name="Normal 12 2 3 3 2 5" xfId="28767" xr:uid="{A227E5EA-69A7-40DD-B972-85C6E24DDC09}"/>
    <cellStyle name="Normal 12 2 3 3 3" xfId="5495" xr:uid="{00000000-0005-0000-0000-0000FE0D0000}"/>
    <cellStyle name="Normal 12 2 3 3 3 2" xfId="13945" xr:uid="{E792E3F8-69FE-4451-842F-DF46B0F06935}"/>
    <cellStyle name="Normal 12 2 3 3 3 3" xfId="22392" xr:uid="{12771DFA-9A34-4810-A28B-C56445BDAF3C}"/>
    <cellStyle name="Normal 12 2 3 3 3 4" xfId="30839" xr:uid="{55876D5E-D56B-4DE2-80A1-B45BB2C54D93}"/>
    <cellStyle name="Normal 12 2 3 3 4" xfId="9727" xr:uid="{C401738B-606E-451F-97AD-697D2C72074A}"/>
    <cellStyle name="Normal 12 2 3 3 5" xfId="18175" xr:uid="{CE4878DF-1398-49FA-9FD0-5B4ED24CB992}"/>
    <cellStyle name="Normal 12 2 3 3 6" xfId="26622" xr:uid="{F8BC50E9-249A-471B-A8DE-F66E75764CF0}"/>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4A0B5C41-C359-4D6E-B270-ADAA6C742BA0}"/>
    <cellStyle name="Normal 12 2 3 4 2 2 3" xfId="24950" xr:uid="{7D5F5C6C-10C3-4556-B3AE-57C857A3DD2C}"/>
    <cellStyle name="Normal 12 2 3 4 2 2 4" xfId="33397" xr:uid="{108BF3C6-704F-4BBE-AAFD-02C612057F74}"/>
    <cellStyle name="Normal 12 2 3 4 2 3" xfId="12285" xr:uid="{5FB813E8-E898-4EB9-BBD3-C4B470E106B7}"/>
    <cellStyle name="Normal 12 2 3 4 2 4" xfId="20733" xr:uid="{B04C3E2C-EDF4-4C80-81E8-BC1FDB405AF1}"/>
    <cellStyle name="Normal 12 2 3 4 2 5" xfId="29180" xr:uid="{FFF59079-8CE2-4D9E-99C5-61A6B2BFA308}"/>
    <cellStyle name="Normal 12 2 3 4 3" xfId="5908" xr:uid="{00000000-0005-0000-0000-0000020E0000}"/>
    <cellStyle name="Normal 12 2 3 4 3 2" xfId="14358" xr:uid="{481F9D5E-6247-498C-9481-31374EADFD3D}"/>
    <cellStyle name="Normal 12 2 3 4 3 3" xfId="22805" xr:uid="{82088A86-0DE9-4FB2-A9E5-36915C6A777B}"/>
    <cellStyle name="Normal 12 2 3 4 3 4" xfId="31252" xr:uid="{5F27972B-8C12-4AA9-83CF-EC77991FC0D1}"/>
    <cellStyle name="Normal 12 2 3 4 4" xfId="10140" xr:uid="{97B7BCD4-0C45-4870-8FD3-F9D77BB52975}"/>
    <cellStyle name="Normal 12 2 3 4 5" xfId="18588" xr:uid="{8515129C-1664-4564-A4E2-E4E0150F3210}"/>
    <cellStyle name="Normal 12 2 3 4 6" xfId="27035" xr:uid="{24183A31-3CE3-4186-9375-402816B7E325}"/>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3ACDAFF7-5A11-4691-8274-3739C3FBECD0}"/>
    <cellStyle name="Normal 12 2 3 5 2 2 3" xfId="25363" xr:uid="{DDFD6D7A-1C0C-49CC-A197-23C7A661393F}"/>
    <cellStyle name="Normal 12 2 3 5 2 2 4" xfId="33810" xr:uid="{110EEE78-B00C-4FBC-83D6-EBDBE8163380}"/>
    <cellStyle name="Normal 12 2 3 5 2 3" xfId="12698" xr:uid="{F3C27914-481B-446A-9CD4-FEDB099CA1AE}"/>
    <cellStyle name="Normal 12 2 3 5 2 4" xfId="21146" xr:uid="{1C7314CF-1BC1-44F2-8AC7-286F7F6E97DE}"/>
    <cellStyle name="Normal 12 2 3 5 2 5" xfId="29593" xr:uid="{A823983F-4A75-4951-9E3E-9959D40BD573}"/>
    <cellStyle name="Normal 12 2 3 5 3" xfId="6321" xr:uid="{00000000-0005-0000-0000-0000060E0000}"/>
    <cellStyle name="Normal 12 2 3 5 3 2" xfId="14771" xr:uid="{C062A778-0253-474B-9B1D-8A94AB97A888}"/>
    <cellStyle name="Normal 12 2 3 5 3 3" xfId="23218" xr:uid="{6B116DE9-CADB-4AC9-95FA-65F2F52CC7AE}"/>
    <cellStyle name="Normal 12 2 3 5 3 4" xfId="31665" xr:uid="{DC078318-957A-4199-BF4C-1A3D182B0EF9}"/>
    <cellStyle name="Normal 12 2 3 5 4" xfId="10553" xr:uid="{FD26B834-9BB8-41B5-8899-53F423C4A0CE}"/>
    <cellStyle name="Normal 12 2 3 5 5" xfId="19001" xr:uid="{2BE5E584-8C57-463E-8797-49CE42E1152B}"/>
    <cellStyle name="Normal 12 2 3 5 6" xfId="27448" xr:uid="{8FC876B6-47E1-408D-949C-B98C1929104D}"/>
    <cellStyle name="Normal 12 2 3 6" xfId="2451" xr:uid="{00000000-0005-0000-0000-0000070E0000}"/>
    <cellStyle name="Normal 12 2 3 6 2" xfId="6734" xr:uid="{00000000-0005-0000-0000-0000080E0000}"/>
    <cellStyle name="Normal 12 2 3 6 2 2" xfId="15184" xr:uid="{556C271D-302F-4D4E-B062-0E23E4F1F9E3}"/>
    <cellStyle name="Normal 12 2 3 6 2 3" xfId="23631" xr:uid="{9154377D-0726-407D-B790-D512AECC1AC2}"/>
    <cellStyle name="Normal 12 2 3 6 2 4" xfId="32078" xr:uid="{D3204266-81CD-4C72-9715-F449FFFB1809}"/>
    <cellStyle name="Normal 12 2 3 6 3" xfId="10966" xr:uid="{DC7B1C05-8DCD-44A1-8B44-DB68AFFBA9F6}"/>
    <cellStyle name="Normal 12 2 3 6 4" xfId="19414" xr:uid="{18088307-4809-4C30-BACB-FCCF339F6807}"/>
    <cellStyle name="Normal 12 2 3 6 5" xfId="27861" xr:uid="{280FCD24-A9A8-4B05-988B-EEDF7DAB189F}"/>
    <cellStyle name="Normal 12 2 3 7" xfId="4668" xr:uid="{00000000-0005-0000-0000-0000090E0000}"/>
    <cellStyle name="Normal 12 2 3 7 2" xfId="13118" xr:uid="{B32DC05C-925C-4A9A-A58A-A352420D989F}"/>
    <cellStyle name="Normal 12 2 3 7 3" xfId="21565" xr:uid="{19CC5A9D-C7E5-40C7-BF99-35FA267084B5}"/>
    <cellStyle name="Normal 12 2 3 7 4" xfId="30012" xr:uid="{67514D43-E7E6-44EF-8DD1-DC3E67632F09}"/>
    <cellStyle name="Normal 12 2 3 8" xfId="8900" xr:uid="{D05A92D6-6D29-4E12-A060-80212C91B13E}"/>
    <cellStyle name="Normal 12 2 3 9" xfId="17348" xr:uid="{FED3F1EF-5109-4002-B539-40575F3C9B7C}"/>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1DC48648-E65C-44E8-A632-8D0AEC062DFD}"/>
    <cellStyle name="Normal 12 2 4 2 2 3" xfId="24121" xr:uid="{D7661EBD-5117-4FCB-9654-BA57A8D807EA}"/>
    <cellStyle name="Normal 12 2 4 2 2 4" xfId="32568" xr:uid="{3E8A5117-BE10-41E6-AE9B-5AED9C0645F3}"/>
    <cellStyle name="Normal 12 2 4 2 3" xfId="11456" xr:uid="{E81AB6D1-82F8-4172-943E-187218254EFD}"/>
    <cellStyle name="Normal 12 2 4 2 4" xfId="19904" xr:uid="{C771AB9C-5B1F-4302-A1CB-843D7D109025}"/>
    <cellStyle name="Normal 12 2 4 2 5" xfId="28351" xr:uid="{043AC2CD-6620-4BCA-AE35-093E2D074E35}"/>
    <cellStyle name="Normal 12 2 4 3" xfId="5079" xr:uid="{00000000-0005-0000-0000-00000D0E0000}"/>
    <cellStyle name="Normal 12 2 4 3 2" xfId="13529" xr:uid="{C336388C-BC68-4F7B-864D-86B1FACF3027}"/>
    <cellStyle name="Normal 12 2 4 3 3" xfId="21976" xr:uid="{0BBB5D57-7D48-4262-B63B-BF06E7F99E8F}"/>
    <cellStyle name="Normal 12 2 4 3 4" xfId="30423" xr:uid="{9F608F2B-C388-4A7D-AF71-45F4672568C4}"/>
    <cellStyle name="Normal 12 2 4 4" xfId="9311" xr:uid="{D80DBDFB-489F-42C6-A4CA-597C9D9633EB}"/>
    <cellStyle name="Normal 12 2 4 5" xfId="17759" xr:uid="{AAB0E469-4ACB-42D7-B1A9-D338BA95DCBA}"/>
    <cellStyle name="Normal 12 2 4 6" xfId="26206" xr:uid="{D09C92B7-578F-4369-A4C4-CADB0F9E8E82}"/>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2EBD2442-D0B7-45D7-BF70-AC087FE6A880}"/>
    <cellStyle name="Normal 12 2 5 2 2 3" xfId="24534" xr:uid="{36350F70-2C72-4638-9C2C-9B4AF74CFA39}"/>
    <cellStyle name="Normal 12 2 5 2 2 4" xfId="32981" xr:uid="{796007D7-6A99-4EDB-9A42-A942D3B0B1A2}"/>
    <cellStyle name="Normal 12 2 5 2 3" xfId="11869" xr:uid="{0FEAB264-914B-43E9-8A21-6DD77659BA8C}"/>
    <cellStyle name="Normal 12 2 5 2 4" xfId="20317" xr:uid="{67E2FC41-D956-4F1B-B911-08C863D3F3FF}"/>
    <cellStyle name="Normal 12 2 5 2 5" xfId="28764" xr:uid="{4D59FFD4-D14B-4DAE-9841-19545CCEABAE}"/>
    <cellStyle name="Normal 12 2 5 3" xfId="5492" xr:uid="{00000000-0005-0000-0000-0000110E0000}"/>
    <cellStyle name="Normal 12 2 5 3 2" xfId="13942" xr:uid="{575BD672-E703-4C50-B3D5-1C16BD7A9C9D}"/>
    <cellStyle name="Normal 12 2 5 3 3" xfId="22389" xr:uid="{4A43D07E-A8D5-45E8-93D7-5539CBD3576B}"/>
    <cellStyle name="Normal 12 2 5 3 4" xfId="30836" xr:uid="{BAB15887-DFBA-4FDB-856D-E31426E61D42}"/>
    <cellStyle name="Normal 12 2 5 4" xfId="9724" xr:uid="{F7CFEF44-1E20-42B4-A691-B66B11114F3F}"/>
    <cellStyle name="Normal 12 2 5 5" xfId="18172" xr:uid="{2E8DD864-F09A-4B48-81B5-0514CE8ECAD6}"/>
    <cellStyle name="Normal 12 2 5 6" xfId="26619" xr:uid="{8B4FC0B5-FE78-44B4-9391-8034DDFA26CC}"/>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39192388-3579-4C09-BFC9-1F02FE2FDEF6}"/>
    <cellStyle name="Normal 12 2 6 2 2 3" xfId="24947" xr:uid="{DDDE816F-BBA0-4BF5-B0CD-1541C5603B5C}"/>
    <cellStyle name="Normal 12 2 6 2 2 4" xfId="33394" xr:uid="{429084EB-2A6B-4E4B-89ED-65D36EC055A8}"/>
    <cellStyle name="Normal 12 2 6 2 3" xfId="12282" xr:uid="{53F5DF67-7420-445E-A0C8-20BE59F384CB}"/>
    <cellStyle name="Normal 12 2 6 2 4" xfId="20730" xr:uid="{F7C0A915-30E7-4133-BA93-7234C90778F7}"/>
    <cellStyle name="Normal 12 2 6 2 5" xfId="29177" xr:uid="{AF2D8223-975D-46DF-8FAE-4E84DCD2F279}"/>
    <cellStyle name="Normal 12 2 6 3" xfId="5905" xr:uid="{00000000-0005-0000-0000-0000150E0000}"/>
    <cellStyle name="Normal 12 2 6 3 2" xfId="14355" xr:uid="{10D3A779-C07E-4664-9CED-C06A120432B0}"/>
    <cellStyle name="Normal 12 2 6 3 3" xfId="22802" xr:uid="{7AC14AE9-4B51-49F5-8720-2E75109C6106}"/>
    <cellStyle name="Normal 12 2 6 3 4" xfId="31249" xr:uid="{07213722-50B3-4E0D-A549-4D25E707CB02}"/>
    <cellStyle name="Normal 12 2 6 4" xfId="10137" xr:uid="{8AC974CA-119E-40FF-B0AB-B167B6A7CF5A}"/>
    <cellStyle name="Normal 12 2 6 5" xfId="18585" xr:uid="{4007FA9E-72C3-458B-9FA8-DEF5321C974A}"/>
    <cellStyle name="Normal 12 2 6 6" xfId="27032" xr:uid="{D873CAF4-8648-44BC-B6D6-5DFDFD837AD4}"/>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6747D838-9EB5-431B-9506-C52A8DD7236A}"/>
    <cellStyle name="Normal 12 2 7 2 2 3" xfId="25360" xr:uid="{66771011-5C4F-4E66-A48C-878DC3E6A938}"/>
    <cellStyle name="Normal 12 2 7 2 2 4" xfId="33807" xr:uid="{01EF2F49-1C36-452F-B1C7-AF8AA676904D}"/>
    <cellStyle name="Normal 12 2 7 2 3" xfId="12695" xr:uid="{1A8BD191-3B1C-4587-8D1E-C8512736608E}"/>
    <cellStyle name="Normal 12 2 7 2 4" xfId="21143" xr:uid="{5E3FB59B-560B-44A9-B8C4-E91AC5557773}"/>
    <cellStyle name="Normal 12 2 7 2 5" xfId="29590" xr:uid="{9B29A293-AC5A-4F8C-894D-31D101A845C1}"/>
    <cellStyle name="Normal 12 2 7 3" xfId="6318" xr:uid="{00000000-0005-0000-0000-0000190E0000}"/>
    <cellStyle name="Normal 12 2 7 3 2" xfId="14768" xr:uid="{DF5BF259-38B1-4FD7-B9BF-8F482C13EAEF}"/>
    <cellStyle name="Normal 12 2 7 3 3" xfId="23215" xr:uid="{4E1D784D-4DA4-4D7A-8E9B-038DEE181195}"/>
    <cellStyle name="Normal 12 2 7 3 4" xfId="31662" xr:uid="{A0B14A8A-74A6-4314-9CFA-6FD9A642714B}"/>
    <cellStyle name="Normal 12 2 7 4" xfId="10550" xr:uid="{70A35BEC-74A6-40A1-B082-D3E16B058154}"/>
    <cellStyle name="Normal 12 2 7 5" xfId="18998" xr:uid="{68CF1B63-2AFE-42C0-8755-2D5D5677A64C}"/>
    <cellStyle name="Normal 12 2 7 6" xfId="27445" xr:uid="{D06078E8-BFFD-4FCF-9117-109BE03D90AF}"/>
    <cellStyle name="Normal 12 2 8" xfId="2448" xr:uid="{00000000-0005-0000-0000-00001A0E0000}"/>
    <cellStyle name="Normal 12 2 8 2" xfId="6731" xr:uid="{00000000-0005-0000-0000-00001B0E0000}"/>
    <cellStyle name="Normal 12 2 8 2 2" xfId="15181" xr:uid="{6FA2E4F8-6538-4AC4-A93C-6213E871B51E}"/>
    <cellStyle name="Normal 12 2 8 2 3" xfId="23628" xr:uid="{32F14035-1B02-4F16-B2B3-5B453EFEDB26}"/>
    <cellStyle name="Normal 12 2 8 2 4" xfId="32075" xr:uid="{7415D094-FF09-4309-9520-2A0F39023F74}"/>
    <cellStyle name="Normal 12 2 8 3" xfId="10963" xr:uid="{407883AF-1576-4594-845F-6AE58164C27C}"/>
    <cellStyle name="Normal 12 2 8 4" xfId="19411" xr:uid="{07DE357F-FEDF-42E0-8830-C21AC2F69532}"/>
    <cellStyle name="Normal 12 2 8 5" xfId="27858" xr:uid="{F4DD7CF5-5DB5-462B-B3B0-A352DA93D57A}"/>
    <cellStyle name="Normal 12 2 9" xfId="4665" xr:uid="{00000000-0005-0000-0000-00001C0E0000}"/>
    <cellStyle name="Normal 12 2 9 2" xfId="13115" xr:uid="{6B008C55-13FF-49C3-8514-7EA34B612886}"/>
    <cellStyle name="Normal 12 2 9 3" xfId="21562" xr:uid="{CB4DA38E-6100-4225-BFE7-13C65BB6AB1C}"/>
    <cellStyle name="Normal 12 2 9 4" xfId="30009" xr:uid="{BC71AADD-BB0F-4CF3-B994-60D226F5BD0A}"/>
    <cellStyle name="Normal 12 3" xfId="264" xr:uid="{00000000-0005-0000-0000-00001D0E0000}"/>
    <cellStyle name="Normal 12 3 10" xfId="17349" xr:uid="{7153A844-9E11-441E-BEB2-939A2EC64371}"/>
    <cellStyle name="Normal 12 3 11" xfId="25796" xr:uid="{5F19B372-490C-4F2C-BE3C-33EC5EBDA125}"/>
    <cellStyle name="Normal 12 3 2" xfId="265" xr:uid="{00000000-0005-0000-0000-00001E0E0000}"/>
    <cellStyle name="Normal 12 3 2 10" xfId="25797" xr:uid="{CB117EE2-7BB2-4236-AE3B-DC03EBD991A7}"/>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129E7277-8258-494F-AA02-A3A3860587E6}"/>
    <cellStyle name="Normal 12 3 2 2 2 2 3" xfId="24126" xr:uid="{2F3AEA44-35E7-469D-9AB3-4452DC6B17DB}"/>
    <cellStyle name="Normal 12 3 2 2 2 2 4" xfId="32573" xr:uid="{93B1D8D8-5C1D-4EC3-94C6-A19A539E4768}"/>
    <cellStyle name="Normal 12 3 2 2 2 3" xfId="11461" xr:uid="{03BD25F9-4CC4-421A-910E-368524B4FF8C}"/>
    <cellStyle name="Normal 12 3 2 2 2 4" xfId="19909" xr:uid="{3FAF4D8A-9018-4D1E-9503-377DD82CE7EC}"/>
    <cellStyle name="Normal 12 3 2 2 2 5" xfId="28356" xr:uid="{9F85AFCD-C3B8-4811-B4EB-B6F1DA12250F}"/>
    <cellStyle name="Normal 12 3 2 2 3" xfId="5084" xr:uid="{00000000-0005-0000-0000-0000220E0000}"/>
    <cellStyle name="Normal 12 3 2 2 3 2" xfId="13534" xr:uid="{0E5C0CDA-F12B-40F4-86C2-B6FA0EBE361C}"/>
    <cellStyle name="Normal 12 3 2 2 3 3" xfId="21981" xr:uid="{42831D4A-A3A8-4502-8494-59449AF2E0C1}"/>
    <cellStyle name="Normal 12 3 2 2 3 4" xfId="30428" xr:uid="{ADDA15B1-9BB8-48B4-AD78-99F9C09374C9}"/>
    <cellStyle name="Normal 12 3 2 2 4" xfId="9316" xr:uid="{B8BDE553-3778-4E90-A850-E495D5F350D3}"/>
    <cellStyle name="Normal 12 3 2 2 5" xfId="17764" xr:uid="{4F9A83E0-1480-459B-AE3B-712DCFA55A3F}"/>
    <cellStyle name="Normal 12 3 2 2 6" xfId="26211" xr:uid="{214DDC55-71BF-4754-880C-97C32F45A377}"/>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949BC764-9639-4848-AD43-4CF3AEEEA9C4}"/>
    <cellStyle name="Normal 12 3 2 3 2 2 3" xfId="24539" xr:uid="{7851787F-65C4-4614-B953-71CD5D28183A}"/>
    <cellStyle name="Normal 12 3 2 3 2 2 4" xfId="32986" xr:uid="{12AAD763-8D08-4F91-AE84-3A7429B056D1}"/>
    <cellStyle name="Normal 12 3 2 3 2 3" xfId="11874" xr:uid="{CFF7D0F1-335B-41B3-84DA-2A6F4FE573FE}"/>
    <cellStyle name="Normal 12 3 2 3 2 4" xfId="20322" xr:uid="{D0E3296D-1CF6-4477-94B6-1878032122B6}"/>
    <cellStyle name="Normal 12 3 2 3 2 5" xfId="28769" xr:uid="{5B000A11-FA76-4297-BFB2-9C883E0DCC80}"/>
    <cellStyle name="Normal 12 3 2 3 3" xfId="5497" xr:uid="{00000000-0005-0000-0000-0000260E0000}"/>
    <cellStyle name="Normal 12 3 2 3 3 2" xfId="13947" xr:uid="{783F1F17-0D04-48D1-B32D-9073F98AB1A6}"/>
    <cellStyle name="Normal 12 3 2 3 3 3" xfId="22394" xr:uid="{C0C08AD3-BE22-4EEA-A977-9619CB6C30F2}"/>
    <cellStyle name="Normal 12 3 2 3 3 4" xfId="30841" xr:uid="{7365FDE8-0813-4EA1-B944-0C10C50F7B81}"/>
    <cellStyle name="Normal 12 3 2 3 4" xfId="9729" xr:uid="{1C1C9CC1-2D5B-4EA3-8726-EB0886AD30E8}"/>
    <cellStyle name="Normal 12 3 2 3 5" xfId="18177" xr:uid="{935A15C7-3A0E-4780-8EDD-B227299A72E8}"/>
    <cellStyle name="Normal 12 3 2 3 6" xfId="26624" xr:uid="{14D2008F-8B2F-4DF6-9C50-CDE773EBF0A8}"/>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86F162AE-7AA0-4340-9C99-79127FB2D915}"/>
    <cellStyle name="Normal 12 3 2 4 2 2 3" xfId="24952" xr:uid="{B01BE0F8-17E8-43F4-A916-5C4A5B12B91D}"/>
    <cellStyle name="Normal 12 3 2 4 2 2 4" xfId="33399" xr:uid="{D0813137-883F-4F1E-AC25-258E782CC6DE}"/>
    <cellStyle name="Normal 12 3 2 4 2 3" xfId="12287" xr:uid="{5CDF9AE2-8C94-4B6E-BD08-69E8D07282FA}"/>
    <cellStyle name="Normal 12 3 2 4 2 4" xfId="20735" xr:uid="{6BBA6283-B3BD-4C0A-BC41-31BFDA9B13A1}"/>
    <cellStyle name="Normal 12 3 2 4 2 5" xfId="29182" xr:uid="{73F0FBFD-5EBB-475C-8630-71E327E016C3}"/>
    <cellStyle name="Normal 12 3 2 4 3" xfId="5910" xr:uid="{00000000-0005-0000-0000-00002A0E0000}"/>
    <cellStyle name="Normal 12 3 2 4 3 2" xfId="14360" xr:uid="{34302EB8-86A1-4043-918D-5CB31367EE06}"/>
    <cellStyle name="Normal 12 3 2 4 3 3" xfId="22807" xr:uid="{A4C97F85-42E4-40F8-A72D-5353FD565CA1}"/>
    <cellStyle name="Normal 12 3 2 4 3 4" xfId="31254" xr:uid="{9395E30B-9B35-4E18-B303-D69630E4807B}"/>
    <cellStyle name="Normal 12 3 2 4 4" xfId="10142" xr:uid="{DC17AD2C-9444-4626-81DB-1FF5C5DF189B}"/>
    <cellStyle name="Normal 12 3 2 4 5" xfId="18590" xr:uid="{3F1C2ED4-6F1A-42B8-8927-3B3EB74AC983}"/>
    <cellStyle name="Normal 12 3 2 4 6" xfId="27037" xr:uid="{77AFAB33-BF13-4C85-84A0-CDCB84E3F971}"/>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D06DF2F9-B3E1-4895-8CBC-4399266B26FF}"/>
    <cellStyle name="Normal 12 3 2 5 2 2 3" xfId="25365" xr:uid="{9D2D561D-4A1A-48FB-B426-A51029C38940}"/>
    <cellStyle name="Normal 12 3 2 5 2 2 4" xfId="33812" xr:uid="{14156EC8-374C-4D32-8C31-DFEDF259576E}"/>
    <cellStyle name="Normal 12 3 2 5 2 3" xfId="12700" xr:uid="{C7D92FD5-441F-482F-8BE6-B9970E10176C}"/>
    <cellStyle name="Normal 12 3 2 5 2 4" xfId="21148" xr:uid="{E63DF9EF-6717-47D6-B141-F6DA59A0DBF5}"/>
    <cellStyle name="Normal 12 3 2 5 2 5" xfId="29595" xr:uid="{6CA900E1-1177-4714-A29E-2DF3EE636708}"/>
    <cellStyle name="Normal 12 3 2 5 3" xfId="6323" xr:uid="{00000000-0005-0000-0000-00002E0E0000}"/>
    <cellStyle name="Normal 12 3 2 5 3 2" xfId="14773" xr:uid="{78DB7C41-D5B5-4A07-8616-820A320D1197}"/>
    <cellStyle name="Normal 12 3 2 5 3 3" xfId="23220" xr:uid="{7A9828BB-2419-4252-B61E-0DF117B8D9E1}"/>
    <cellStyle name="Normal 12 3 2 5 3 4" xfId="31667" xr:uid="{B9BFC869-01AA-4EB1-8BC9-69C3EC361FF0}"/>
    <cellStyle name="Normal 12 3 2 5 4" xfId="10555" xr:uid="{FA38147D-C9E1-4F34-885D-9BC117599644}"/>
    <cellStyle name="Normal 12 3 2 5 5" xfId="19003" xr:uid="{9472A489-ED9E-4E25-9817-2663BACC257E}"/>
    <cellStyle name="Normal 12 3 2 5 6" xfId="27450" xr:uid="{3C5CEC56-50A6-45F6-B308-557A2A620152}"/>
    <cellStyle name="Normal 12 3 2 6" xfId="2453" xr:uid="{00000000-0005-0000-0000-00002F0E0000}"/>
    <cellStyle name="Normal 12 3 2 6 2" xfId="6736" xr:uid="{00000000-0005-0000-0000-0000300E0000}"/>
    <cellStyle name="Normal 12 3 2 6 2 2" xfId="15186" xr:uid="{657368C4-36A8-40D0-9578-BC64F254C884}"/>
    <cellStyle name="Normal 12 3 2 6 2 3" xfId="23633" xr:uid="{DB1B4866-787B-45BB-8DDD-D46C9978F9BA}"/>
    <cellStyle name="Normal 12 3 2 6 2 4" xfId="32080" xr:uid="{DB48E2B6-1907-4234-A5A0-915C57A1FB49}"/>
    <cellStyle name="Normal 12 3 2 6 3" xfId="10968" xr:uid="{59C77C65-0ED3-43E5-852F-F0F494F0FE97}"/>
    <cellStyle name="Normal 12 3 2 6 4" xfId="19416" xr:uid="{CD380429-5121-40C0-809D-FAD791127B5F}"/>
    <cellStyle name="Normal 12 3 2 6 5" xfId="27863" xr:uid="{57E14CDE-BE72-4907-92FC-2F41F76CAD97}"/>
    <cellStyle name="Normal 12 3 2 7" xfId="4670" xr:uid="{00000000-0005-0000-0000-0000310E0000}"/>
    <cellStyle name="Normal 12 3 2 7 2" xfId="13120" xr:uid="{4F8C0DF8-109C-4FAC-A587-3D1AD4EC8EE3}"/>
    <cellStyle name="Normal 12 3 2 7 3" xfId="21567" xr:uid="{83E133B1-D77C-442A-A080-26E982EC3B75}"/>
    <cellStyle name="Normal 12 3 2 7 4" xfId="30014" xr:uid="{46C9A49E-7EB0-4937-A333-94A15F520B9D}"/>
    <cellStyle name="Normal 12 3 2 8" xfId="8902" xr:uid="{9C6F5B1C-A9C8-4B75-B458-218FD96CF80F}"/>
    <cellStyle name="Normal 12 3 2 9" xfId="17350" xr:uid="{41374431-10C0-4526-AAF5-7556CD3F92D5}"/>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2C0D8C1D-DE93-4B72-A2AD-D4FC45677AAE}"/>
    <cellStyle name="Normal 12 3 3 2 2 3" xfId="24125" xr:uid="{29EA4D3E-82F0-4176-B3A4-94FB4D5FFF67}"/>
    <cellStyle name="Normal 12 3 3 2 2 4" xfId="32572" xr:uid="{E697A250-2871-44B2-B5FF-8EFD58BA56E4}"/>
    <cellStyle name="Normal 12 3 3 2 3" xfId="11460" xr:uid="{DB20028F-332E-473F-96B7-11E225518C98}"/>
    <cellStyle name="Normal 12 3 3 2 4" xfId="19908" xr:uid="{B4C34954-A72C-449A-88A9-CA3491D4AE15}"/>
    <cellStyle name="Normal 12 3 3 2 5" xfId="28355" xr:uid="{85524485-E443-41B3-B503-12B7F4C6DC77}"/>
    <cellStyle name="Normal 12 3 3 3" xfId="5083" xr:uid="{00000000-0005-0000-0000-0000350E0000}"/>
    <cellStyle name="Normal 12 3 3 3 2" xfId="13533" xr:uid="{3DB56965-FBE0-4A49-A256-1EE81B98CCE3}"/>
    <cellStyle name="Normal 12 3 3 3 3" xfId="21980" xr:uid="{27C5CBD6-4999-474C-806D-43476A871A43}"/>
    <cellStyle name="Normal 12 3 3 3 4" xfId="30427" xr:uid="{660F6C25-F8D1-4F0E-841A-4D5FA720950D}"/>
    <cellStyle name="Normal 12 3 3 4" xfId="9315" xr:uid="{7D76D049-DC62-4EF4-B6AF-642D7F80319E}"/>
    <cellStyle name="Normal 12 3 3 5" xfId="17763" xr:uid="{7F6A08C9-31BF-48F2-9CEE-7E46D870B5D3}"/>
    <cellStyle name="Normal 12 3 3 6" xfId="26210" xr:uid="{6FA55361-EBFB-4E1E-A0B9-E38C904DA4E9}"/>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425A95E0-C7FC-483C-BAD1-5300A2F51079}"/>
    <cellStyle name="Normal 12 3 4 2 2 3" xfId="24538" xr:uid="{163778B8-D162-4243-8EBE-979269B42D5D}"/>
    <cellStyle name="Normal 12 3 4 2 2 4" xfId="32985" xr:uid="{3D26E7F2-81E3-4628-8B3E-2CB14496BE79}"/>
    <cellStyle name="Normal 12 3 4 2 3" xfId="11873" xr:uid="{F140C23D-6695-4F6C-87E5-91C0DEAE3218}"/>
    <cellStyle name="Normal 12 3 4 2 4" xfId="20321" xr:uid="{113A3FE4-8BB4-4FF9-B4C2-51120758EA69}"/>
    <cellStyle name="Normal 12 3 4 2 5" xfId="28768" xr:uid="{53355CB0-9576-4809-BC6C-1BC7FB2D06FA}"/>
    <cellStyle name="Normal 12 3 4 3" xfId="5496" xr:uid="{00000000-0005-0000-0000-0000390E0000}"/>
    <cellStyle name="Normal 12 3 4 3 2" xfId="13946" xr:uid="{23B74217-30FD-49E0-B452-98EF65CD1B8D}"/>
    <cellStyle name="Normal 12 3 4 3 3" xfId="22393" xr:uid="{96B7C9EE-61ED-4064-BB0E-B1EB54CF462C}"/>
    <cellStyle name="Normal 12 3 4 3 4" xfId="30840" xr:uid="{B2A07673-F336-4BCB-9943-FE5701F8478D}"/>
    <cellStyle name="Normal 12 3 4 4" xfId="9728" xr:uid="{1B5ACD52-90FD-4D51-A6C9-D3A11AD3655B}"/>
    <cellStyle name="Normal 12 3 4 5" xfId="18176" xr:uid="{49F7FB4B-34B9-45E7-8687-01F6CBE94747}"/>
    <cellStyle name="Normal 12 3 4 6" xfId="26623" xr:uid="{924F0ADA-1B88-4987-8C04-EAE7568A57D3}"/>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017EF98A-5EBB-4616-9B87-4C2A26FAE9D4}"/>
    <cellStyle name="Normal 12 3 5 2 2 3" xfId="24951" xr:uid="{91E8BA3C-7B60-4A8D-B9CC-8E8C4F271B75}"/>
    <cellStyle name="Normal 12 3 5 2 2 4" xfId="33398" xr:uid="{8AEC608B-C5D3-4C3A-9FAA-1093E06A98A8}"/>
    <cellStyle name="Normal 12 3 5 2 3" xfId="12286" xr:uid="{DF084E86-4E04-4DEB-B66B-3EF7AA493B6C}"/>
    <cellStyle name="Normal 12 3 5 2 4" xfId="20734" xr:uid="{5054CF39-719B-44BA-B8FD-E7847B931F1E}"/>
    <cellStyle name="Normal 12 3 5 2 5" xfId="29181" xr:uid="{4DC83E83-A9D0-4059-AF51-BC115290CB67}"/>
    <cellStyle name="Normal 12 3 5 3" xfId="5909" xr:uid="{00000000-0005-0000-0000-00003D0E0000}"/>
    <cellStyle name="Normal 12 3 5 3 2" xfId="14359" xr:uid="{F04632A6-E874-4830-9C39-88A96E4EC9CC}"/>
    <cellStyle name="Normal 12 3 5 3 3" xfId="22806" xr:uid="{9860FF7A-7873-4F17-BDC9-DD1700399744}"/>
    <cellStyle name="Normal 12 3 5 3 4" xfId="31253" xr:uid="{2253125D-F13C-45C4-8796-097C7D506377}"/>
    <cellStyle name="Normal 12 3 5 4" xfId="10141" xr:uid="{56A9A27E-74B6-4C92-9272-A1B99624B8F0}"/>
    <cellStyle name="Normal 12 3 5 5" xfId="18589" xr:uid="{F0A46F3A-C8BB-4034-A33D-AF78767E15D4}"/>
    <cellStyle name="Normal 12 3 5 6" xfId="27036" xr:uid="{C8065B3E-F819-427D-88A5-E3B1BF3C5CAB}"/>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2F631CD9-1A89-4DF7-B99C-52C7FFA7AEF8}"/>
    <cellStyle name="Normal 12 3 6 2 2 3" xfId="25364" xr:uid="{44CA8E8F-4887-4BE9-ACA9-BAC28A098E0A}"/>
    <cellStyle name="Normal 12 3 6 2 2 4" xfId="33811" xr:uid="{5643E76E-2AF6-4B6D-BFCD-462654056357}"/>
    <cellStyle name="Normal 12 3 6 2 3" xfId="12699" xr:uid="{60B34462-C446-4032-96D3-B24AF0C47C67}"/>
    <cellStyle name="Normal 12 3 6 2 4" xfId="21147" xr:uid="{DE7DBC67-C727-49A5-BEF0-91EB38B74B2D}"/>
    <cellStyle name="Normal 12 3 6 2 5" xfId="29594" xr:uid="{F14188B8-93F0-4D6B-BA14-6876978B34D4}"/>
    <cellStyle name="Normal 12 3 6 3" xfId="6322" xr:uid="{00000000-0005-0000-0000-0000410E0000}"/>
    <cellStyle name="Normal 12 3 6 3 2" xfId="14772" xr:uid="{446460AC-5ACC-4A5A-84F6-112BB9B9F1D6}"/>
    <cellStyle name="Normal 12 3 6 3 3" xfId="23219" xr:uid="{B85DB070-E551-441A-B618-F080E01C10EB}"/>
    <cellStyle name="Normal 12 3 6 3 4" xfId="31666" xr:uid="{3E2546E8-FF0A-4A6C-8E8D-36F5A1493725}"/>
    <cellStyle name="Normal 12 3 6 4" xfId="10554" xr:uid="{42CE2ED6-2841-469F-9484-EE5553F898EF}"/>
    <cellStyle name="Normal 12 3 6 5" xfId="19002" xr:uid="{EDFA0C5F-0029-4AE3-AA5C-80135717401F}"/>
    <cellStyle name="Normal 12 3 6 6" xfId="27449" xr:uid="{E6D674B7-43D5-4A05-B6B5-9485B4509266}"/>
    <cellStyle name="Normal 12 3 7" xfId="2452" xr:uid="{00000000-0005-0000-0000-0000420E0000}"/>
    <cellStyle name="Normal 12 3 7 2" xfId="6735" xr:uid="{00000000-0005-0000-0000-0000430E0000}"/>
    <cellStyle name="Normal 12 3 7 2 2" xfId="15185" xr:uid="{834EA9F2-95AF-428A-8029-742E67487EEE}"/>
    <cellStyle name="Normal 12 3 7 2 3" xfId="23632" xr:uid="{FC808BC2-F44B-4286-B0DA-AC02F1EC4648}"/>
    <cellStyle name="Normal 12 3 7 2 4" xfId="32079" xr:uid="{EB852EF8-3E7E-4370-A242-6FD13F12FCF0}"/>
    <cellStyle name="Normal 12 3 7 3" xfId="10967" xr:uid="{F3D1A4D5-6742-4026-849E-1257CA340591}"/>
    <cellStyle name="Normal 12 3 7 4" xfId="19415" xr:uid="{825C2E41-1DCA-4C12-98C2-A148E3A8749D}"/>
    <cellStyle name="Normal 12 3 7 5" xfId="27862" xr:uid="{9911A424-C4BB-43BA-9F56-94C494794E69}"/>
    <cellStyle name="Normal 12 3 8" xfId="4669" xr:uid="{00000000-0005-0000-0000-0000440E0000}"/>
    <cellStyle name="Normal 12 3 8 2" xfId="13119" xr:uid="{7D97DECB-A47E-4E9D-9E05-D37FE0B37480}"/>
    <cellStyle name="Normal 12 3 8 3" xfId="21566" xr:uid="{C1C84350-9D23-4AEB-857E-D13C80F6A06E}"/>
    <cellStyle name="Normal 12 3 8 4" xfId="30013" xr:uid="{2F9FF435-880D-4CFA-BE71-16593ACD03BB}"/>
    <cellStyle name="Normal 12 3 9" xfId="8901" xr:uid="{9BEAD811-479F-45E1-9A7B-87FD1C8EB519}"/>
    <cellStyle name="Normal 12 4" xfId="266" xr:uid="{00000000-0005-0000-0000-0000450E0000}"/>
    <cellStyle name="Normal 12 4 10" xfId="25798" xr:uid="{2E741CF0-0506-450E-BF37-A8FD34FB790F}"/>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FE6CD1FB-4F4B-437C-9649-1EE998C6CBAC}"/>
    <cellStyle name="Normal 12 4 2 2 2 3" xfId="24127" xr:uid="{D7E8E117-FB03-4B07-9236-2D6613C462A9}"/>
    <cellStyle name="Normal 12 4 2 2 2 4" xfId="32574" xr:uid="{64566414-78B2-4F46-B903-EA74EF9A23E0}"/>
    <cellStyle name="Normal 12 4 2 2 3" xfId="11462" xr:uid="{A7D2A7B4-1E96-4344-B768-9940DF6B22D2}"/>
    <cellStyle name="Normal 12 4 2 2 4" xfId="19910" xr:uid="{B4AFFF24-A597-4CC7-8D1B-74DCD09944CA}"/>
    <cellStyle name="Normal 12 4 2 2 5" xfId="28357" xr:uid="{DA7BF451-33DA-43C1-8A51-20573B16E631}"/>
    <cellStyle name="Normal 12 4 2 3" xfId="5085" xr:uid="{00000000-0005-0000-0000-0000490E0000}"/>
    <cellStyle name="Normal 12 4 2 3 2" xfId="13535" xr:uid="{BBB15843-7C87-4BB9-AF9C-4FC8ABD13947}"/>
    <cellStyle name="Normal 12 4 2 3 3" xfId="21982" xr:uid="{67ED9D5F-34DD-4C79-9805-1AF0A180D74E}"/>
    <cellStyle name="Normal 12 4 2 3 4" xfId="30429" xr:uid="{6F62629A-C691-42E5-B4BE-F6A88CCA6B58}"/>
    <cellStyle name="Normal 12 4 2 4" xfId="9317" xr:uid="{E83A8A76-9277-49CA-8038-3A37EADADEE5}"/>
    <cellStyle name="Normal 12 4 2 5" xfId="17765" xr:uid="{56D8934B-085E-4D12-9D16-90EB86B2236B}"/>
    <cellStyle name="Normal 12 4 2 6" xfId="26212" xr:uid="{D1F97621-9ED7-4D66-97E3-9B613448675C}"/>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74609DB5-9771-4BE0-ABE4-BD32181E0E98}"/>
    <cellStyle name="Normal 12 4 3 2 2 3" xfId="24540" xr:uid="{D5486273-EAE4-4693-8D10-B41EDCB47896}"/>
    <cellStyle name="Normal 12 4 3 2 2 4" xfId="32987" xr:uid="{9A672AFC-2B3E-4AD9-9ED4-8C5CC895571B}"/>
    <cellStyle name="Normal 12 4 3 2 3" xfId="11875" xr:uid="{D1AC7D46-3086-4CC2-A66C-F5978D226DC5}"/>
    <cellStyle name="Normal 12 4 3 2 4" xfId="20323" xr:uid="{5831948C-EBB2-45A6-869C-21945C1241F9}"/>
    <cellStyle name="Normal 12 4 3 2 5" xfId="28770" xr:uid="{DC4364A3-FA72-4598-936A-623D0FEBA487}"/>
    <cellStyle name="Normal 12 4 3 3" xfId="5498" xr:uid="{00000000-0005-0000-0000-00004D0E0000}"/>
    <cellStyle name="Normal 12 4 3 3 2" xfId="13948" xr:uid="{8C54140C-296D-4B28-8791-F75EB330D7FD}"/>
    <cellStyle name="Normal 12 4 3 3 3" xfId="22395" xr:uid="{6F8F90CE-C9F9-4392-A8A4-593F5D7FD844}"/>
    <cellStyle name="Normal 12 4 3 3 4" xfId="30842" xr:uid="{6DF2C23D-2FA8-43CA-87CA-AAC30B2CCB51}"/>
    <cellStyle name="Normal 12 4 3 4" xfId="9730" xr:uid="{A45B8562-0EB1-431C-BEBB-E8F23CA600E0}"/>
    <cellStyle name="Normal 12 4 3 5" xfId="18178" xr:uid="{9147E214-9F3D-4E6A-B0FD-60BA536CD7FB}"/>
    <cellStyle name="Normal 12 4 3 6" xfId="26625" xr:uid="{6B68BF7C-F5E6-471F-A5C2-CEAC30C7AF46}"/>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B6ECCEE2-222E-421A-8CDD-9A95521DE32D}"/>
    <cellStyle name="Normal 12 4 4 2 2 3" xfId="24953" xr:uid="{ABF9F375-966A-42E9-90DF-E0AA230FEA5D}"/>
    <cellStyle name="Normal 12 4 4 2 2 4" xfId="33400" xr:uid="{5FA41F3B-B3B6-4903-BAA2-F927322EA3BB}"/>
    <cellStyle name="Normal 12 4 4 2 3" xfId="12288" xr:uid="{756EA150-E70F-436A-B241-E353CC7E86A6}"/>
    <cellStyle name="Normal 12 4 4 2 4" xfId="20736" xr:uid="{663B85C2-566B-4228-A6B8-01E2EC05AC88}"/>
    <cellStyle name="Normal 12 4 4 2 5" xfId="29183" xr:uid="{FA099A03-A8FC-4520-8D49-EC6BFBE3CF27}"/>
    <cellStyle name="Normal 12 4 4 3" xfId="5911" xr:uid="{00000000-0005-0000-0000-0000510E0000}"/>
    <cellStyle name="Normal 12 4 4 3 2" xfId="14361" xr:uid="{B7AEA5FD-BB17-4D89-9BB1-49D97ED35ECB}"/>
    <cellStyle name="Normal 12 4 4 3 3" xfId="22808" xr:uid="{1D931B6F-92A8-4275-9623-1D56E0005918}"/>
    <cellStyle name="Normal 12 4 4 3 4" xfId="31255" xr:uid="{3609EFED-9D2C-4618-9A0C-6AD59EBEF37E}"/>
    <cellStyle name="Normal 12 4 4 4" xfId="10143" xr:uid="{C76FED2B-0C1B-44FB-A7E3-BFBF65374A51}"/>
    <cellStyle name="Normal 12 4 4 5" xfId="18591" xr:uid="{49DB1515-00EF-469D-95B5-8C46061E89E0}"/>
    <cellStyle name="Normal 12 4 4 6" xfId="27038" xr:uid="{F1668A30-F7C8-48FD-AAC9-70C1759B550B}"/>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E0DC167F-E5F5-4903-B1FB-8BA2A1FD4032}"/>
    <cellStyle name="Normal 12 4 5 2 2 3" xfId="25366" xr:uid="{0D2F668B-9E55-4016-94A7-C33D71B5A3B5}"/>
    <cellStyle name="Normal 12 4 5 2 2 4" xfId="33813" xr:uid="{845CA88B-8225-42CD-8955-5550A496AA05}"/>
    <cellStyle name="Normal 12 4 5 2 3" xfId="12701" xr:uid="{DD743C4B-2718-4003-9EAC-18310AD9B014}"/>
    <cellStyle name="Normal 12 4 5 2 4" xfId="21149" xr:uid="{0686DB5E-9EDC-4869-810F-DB2B3F72DCDE}"/>
    <cellStyle name="Normal 12 4 5 2 5" xfId="29596" xr:uid="{308D9143-4D12-44BB-A64E-067B483EFCBC}"/>
    <cellStyle name="Normal 12 4 5 3" xfId="6324" xr:uid="{00000000-0005-0000-0000-0000550E0000}"/>
    <cellStyle name="Normal 12 4 5 3 2" xfId="14774" xr:uid="{AC11E3F5-1B14-4209-91CE-DA4EB571D251}"/>
    <cellStyle name="Normal 12 4 5 3 3" xfId="23221" xr:uid="{12FDAB23-F1E0-4F3B-A539-B10151A06CE7}"/>
    <cellStyle name="Normal 12 4 5 3 4" xfId="31668" xr:uid="{1D2142DC-965C-499A-A38D-E445E508AA07}"/>
    <cellStyle name="Normal 12 4 5 4" xfId="10556" xr:uid="{22206091-E1C4-4414-B376-17EBC201E72C}"/>
    <cellStyle name="Normal 12 4 5 5" xfId="19004" xr:uid="{FBB0310C-12B7-49F2-BA8A-FDB8FD6B0341}"/>
    <cellStyle name="Normal 12 4 5 6" xfId="27451" xr:uid="{6E44AAA2-BA2C-444C-8584-DC0B51389A21}"/>
    <cellStyle name="Normal 12 4 6" xfId="2454" xr:uid="{00000000-0005-0000-0000-0000560E0000}"/>
    <cellStyle name="Normal 12 4 6 2" xfId="6737" xr:uid="{00000000-0005-0000-0000-0000570E0000}"/>
    <cellStyle name="Normal 12 4 6 2 2" xfId="15187" xr:uid="{A665B270-EE33-4B92-A1F4-EC7261451A96}"/>
    <cellStyle name="Normal 12 4 6 2 3" xfId="23634" xr:uid="{2F6E1FBF-83A3-4D30-9023-BB231B2701BC}"/>
    <cellStyle name="Normal 12 4 6 2 4" xfId="32081" xr:uid="{FB3305B3-0369-4586-A759-15E1EBCF2FB6}"/>
    <cellStyle name="Normal 12 4 6 3" xfId="10969" xr:uid="{DE9F6F10-D82A-4ACB-8E9E-9CC90965D650}"/>
    <cellStyle name="Normal 12 4 6 4" xfId="19417" xr:uid="{77E19650-F073-4006-84F0-7F803B33DB4B}"/>
    <cellStyle name="Normal 12 4 6 5" xfId="27864" xr:uid="{7AF48330-762F-4EFA-9225-E7486F3EBEA2}"/>
    <cellStyle name="Normal 12 4 7" xfId="4671" xr:uid="{00000000-0005-0000-0000-0000580E0000}"/>
    <cellStyle name="Normal 12 4 7 2" xfId="13121" xr:uid="{C92F551C-FA18-40DD-BB20-27F6B4F295DF}"/>
    <cellStyle name="Normal 12 4 7 3" xfId="21568" xr:uid="{8598888C-DE54-41A5-B47C-34E0C8C0CC59}"/>
    <cellStyle name="Normal 12 4 7 4" xfId="30015" xr:uid="{99B30D54-35E4-4C82-A243-73CA9F69D1D6}"/>
    <cellStyle name="Normal 12 4 8" xfId="8903" xr:uid="{467AEDC1-0D2F-431D-8C82-199B5FD9CA68}"/>
    <cellStyle name="Normal 12 4 9" xfId="17351" xr:uid="{980225FF-AAFA-4B3D-BD49-0195D6B46EBA}"/>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1377D7DF-8FA6-4586-BF0B-A9062BAC2EE2}"/>
    <cellStyle name="Normal 12 6 2 2 3" xfId="24120" xr:uid="{0A50194C-455F-415F-8BCE-AFB9DD91AB73}"/>
    <cellStyle name="Normal 12 6 2 2 4" xfId="32567" xr:uid="{6970CD26-7839-4976-949E-3E00357437E3}"/>
    <cellStyle name="Normal 12 6 2 3" xfId="11455" xr:uid="{C592760F-1055-4CED-A121-8CB50CA2D2E7}"/>
    <cellStyle name="Normal 12 6 2 4" xfId="19903" xr:uid="{26DFAC82-F64F-44CB-9864-4214AD3082FD}"/>
    <cellStyle name="Normal 12 6 2 5" xfId="28350" xr:uid="{14422C7D-7D87-4B63-897C-1BF6621FFDB8}"/>
    <cellStyle name="Normal 12 6 3" xfId="5078" xr:uid="{00000000-0005-0000-0000-00005D0E0000}"/>
    <cellStyle name="Normal 12 6 3 2" xfId="13528" xr:uid="{2FD3B2EC-3CBE-48A3-A1AC-778F195F74BD}"/>
    <cellStyle name="Normal 12 6 3 3" xfId="21975" xr:uid="{E6A3CCDD-E21E-42AF-88A1-0C59086C81AD}"/>
    <cellStyle name="Normal 12 6 3 4" xfId="30422" xr:uid="{FB3DFD3D-CE85-460E-8EA0-EA28AF942E84}"/>
    <cellStyle name="Normal 12 6 4" xfId="9310" xr:uid="{89F9F0FC-EDF0-43FD-AB0A-E3C21B5506C9}"/>
    <cellStyle name="Normal 12 6 5" xfId="17758" xr:uid="{D415A251-59C7-4CDF-8DAD-EFCA90F42172}"/>
    <cellStyle name="Normal 12 6 6" xfId="26205" xr:uid="{40C052E8-A939-4CBF-90EE-C43A6E76ADA9}"/>
    <cellStyle name="Normal 12 7" xfId="1183" xr:uid="{00000000-0005-0000-0000-00005E0E0000}"/>
    <cellStyle name="Normal 12 7 2" xfId="3414" xr:uid="{00000000-0005-0000-0000-00005F0E0000}"/>
    <cellStyle name="Normal 12 7 2 2" xfId="7636" xr:uid="{00000000-0005-0000-0000-0000600E0000}"/>
    <cellStyle name="Normal 12 7 2 2 2" xfId="16086" xr:uid="{0365B3C7-5CB0-4CC0-84A2-7425B95F2ECF}"/>
    <cellStyle name="Normal 12 7 2 2 3" xfId="24533" xr:uid="{4C3B7753-20D7-4372-A91B-74AD18DA7AD3}"/>
    <cellStyle name="Normal 12 7 2 2 4" xfId="32980" xr:uid="{AE534FBD-0ADE-4333-B102-BD00C38A9640}"/>
    <cellStyle name="Normal 12 7 2 3" xfId="11868" xr:uid="{8B034248-3B99-4098-9C36-5E5A45910B3A}"/>
    <cellStyle name="Normal 12 7 2 4" xfId="20316" xr:uid="{51228A40-9896-4C4B-97EF-C662582F76C0}"/>
    <cellStyle name="Normal 12 7 2 5" xfId="28763" xr:uid="{06231401-1B9B-429C-9508-F72061CA9541}"/>
    <cellStyle name="Normal 12 7 3" xfId="5491" xr:uid="{00000000-0005-0000-0000-0000610E0000}"/>
    <cellStyle name="Normal 12 7 3 2" xfId="13941" xr:uid="{7693DF0D-933B-43B0-90B8-F4CF33E8FFAF}"/>
    <cellStyle name="Normal 12 7 3 3" xfId="22388" xr:uid="{A3E8CA8E-B115-4177-B683-A7DD69FB32B5}"/>
    <cellStyle name="Normal 12 7 3 4" xfId="30835" xr:uid="{567EFB47-6107-4EDF-B594-C6093D967F2F}"/>
    <cellStyle name="Normal 12 7 4" xfId="9723" xr:uid="{4991B109-AFE9-4E65-8881-0866631EAB03}"/>
    <cellStyle name="Normal 12 7 5" xfId="18171" xr:uid="{D4BB2D06-DFFA-474B-B0F6-6518BE259562}"/>
    <cellStyle name="Normal 12 7 6" xfId="26618" xr:uid="{A46F1C58-7417-4BD9-9A80-C6C9F7FD2D86}"/>
    <cellStyle name="Normal 12 8" xfId="1597" xr:uid="{00000000-0005-0000-0000-0000620E0000}"/>
    <cellStyle name="Normal 12 8 2" xfId="3827" xr:uid="{00000000-0005-0000-0000-0000630E0000}"/>
    <cellStyle name="Normal 12 8 2 2" xfId="8049" xr:uid="{00000000-0005-0000-0000-0000640E0000}"/>
    <cellStyle name="Normal 12 8 2 2 2" xfId="16499" xr:uid="{90A76358-F132-4C3E-8393-8632D3A46107}"/>
    <cellStyle name="Normal 12 8 2 2 3" xfId="24946" xr:uid="{8357D24C-DCBD-4BDF-83DD-3C0026EE1C44}"/>
    <cellStyle name="Normal 12 8 2 2 4" xfId="33393" xr:uid="{05F51234-F111-4840-ACBA-5DF478BCC436}"/>
    <cellStyle name="Normal 12 8 2 3" xfId="12281" xr:uid="{0358B5B8-E84A-4664-8DA2-45FB97FD2832}"/>
    <cellStyle name="Normal 12 8 2 4" xfId="20729" xr:uid="{B7AB2970-4AFE-43D1-BB14-D8EA912FE59F}"/>
    <cellStyle name="Normal 12 8 2 5" xfId="29176" xr:uid="{37ADB78A-3AC8-401B-ACB9-381B462CD27B}"/>
    <cellStyle name="Normal 12 8 3" xfId="5904" xr:uid="{00000000-0005-0000-0000-0000650E0000}"/>
    <cellStyle name="Normal 12 8 3 2" xfId="14354" xr:uid="{849385BE-197F-44DE-854E-0051CA0AE1B8}"/>
    <cellStyle name="Normal 12 8 3 3" xfId="22801" xr:uid="{D3C3611E-0828-4762-B666-7680BABDC201}"/>
    <cellStyle name="Normal 12 8 3 4" xfId="31248" xr:uid="{CD7EF5B3-8934-4538-BB7A-F840E4E5F241}"/>
    <cellStyle name="Normal 12 8 4" xfId="10136" xr:uid="{929F4BE2-D77A-424E-8EFD-66BF19039A59}"/>
    <cellStyle name="Normal 12 8 5" xfId="18584" xr:uid="{7382FE5E-A184-48F3-B4D2-60814F8E38CB}"/>
    <cellStyle name="Normal 12 8 6" xfId="27031" xr:uid="{0DEC1A69-76EE-4253-A623-C032CDAA0FD0}"/>
    <cellStyle name="Normal 12 9" xfId="2011" xr:uid="{00000000-0005-0000-0000-0000660E0000}"/>
    <cellStyle name="Normal 12 9 2" xfId="4240" xr:uid="{00000000-0005-0000-0000-0000670E0000}"/>
    <cellStyle name="Normal 12 9 2 2" xfId="8462" xr:uid="{00000000-0005-0000-0000-0000680E0000}"/>
    <cellStyle name="Normal 12 9 2 2 2" xfId="16912" xr:uid="{970FCEAD-A77B-432C-BC78-1DC40466D139}"/>
    <cellStyle name="Normal 12 9 2 2 3" xfId="25359" xr:uid="{6304232E-71F6-4283-88EC-049A7017A835}"/>
    <cellStyle name="Normal 12 9 2 2 4" xfId="33806" xr:uid="{5DC741BF-AE21-422D-B967-0DE7FB49855B}"/>
    <cellStyle name="Normal 12 9 2 3" xfId="12694" xr:uid="{6EE7484A-F92E-4161-80D8-59431F624C2B}"/>
    <cellStyle name="Normal 12 9 2 4" xfId="21142" xr:uid="{7D085428-6093-4BDE-8905-9024EC915931}"/>
    <cellStyle name="Normal 12 9 2 5" xfId="29589" xr:uid="{61D51ACF-1F7F-4C8D-A5C0-2B4145604C6B}"/>
    <cellStyle name="Normal 12 9 3" xfId="6317" xr:uid="{00000000-0005-0000-0000-0000690E0000}"/>
    <cellStyle name="Normal 12 9 3 2" xfId="14767" xr:uid="{4FEF5199-A664-42EA-BBC5-75F87176B3B5}"/>
    <cellStyle name="Normal 12 9 3 3" xfId="23214" xr:uid="{84427731-BE78-483C-B628-1F6359666CBA}"/>
    <cellStyle name="Normal 12 9 3 4" xfId="31661" xr:uid="{80A873EE-1965-42C9-B3F0-FCED9C257A5D}"/>
    <cellStyle name="Normal 12 9 4" xfId="10549" xr:uid="{A591CB8B-8C30-40F2-A655-94898C04620A}"/>
    <cellStyle name="Normal 12 9 5" xfId="18997" xr:uid="{233D2B5D-D46B-4C38-AA11-5E7E674FCD78}"/>
    <cellStyle name="Normal 12 9 6" xfId="27444" xr:uid="{7F7613D6-0D03-40CC-9C28-F590C91F8287}"/>
    <cellStyle name="Normal 13" xfId="268" xr:uid="{00000000-0005-0000-0000-00006A0E0000}"/>
    <cellStyle name="Normal 13 2" xfId="269" xr:uid="{00000000-0005-0000-0000-00006B0E0000}"/>
    <cellStyle name="Normal 14" xfId="270" xr:uid="{00000000-0005-0000-0000-00006C0E0000}"/>
    <cellStyle name="Normal 14 10" xfId="25799" xr:uid="{7435166D-46A0-4198-9656-228E8274965B}"/>
    <cellStyle name="Normal 14 2" xfId="768" xr:uid="{00000000-0005-0000-0000-00006D0E0000}"/>
    <cellStyle name="Normal 14 2 2" xfId="3009" xr:uid="{00000000-0005-0000-0000-00006E0E0000}"/>
    <cellStyle name="Normal 14 2 2 2" xfId="7231" xr:uid="{00000000-0005-0000-0000-00006F0E0000}"/>
    <cellStyle name="Normal 14 2 2 2 2" xfId="15681" xr:uid="{AE8213B7-E31D-469A-A802-6328071EC7E2}"/>
    <cellStyle name="Normal 14 2 2 2 3" xfId="24128" xr:uid="{B3C516CA-C31A-40E9-AB3E-65567930C768}"/>
    <cellStyle name="Normal 14 2 2 2 4" xfId="32575" xr:uid="{D3864F74-FB78-456B-BD0C-C8BD71DCE42F}"/>
    <cellStyle name="Normal 14 2 2 3" xfId="11463" xr:uid="{11C6AD26-7573-4C8C-BF45-902605AEF2B1}"/>
    <cellStyle name="Normal 14 2 2 4" xfId="19911" xr:uid="{D62E2885-4827-4327-9ED7-C77D17F54428}"/>
    <cellStyle name="Normal 14 2 2 5" xfId="28358" xr:uid="{262D347B-E509-40F7-BCB6-428582B7BED9}"/>
    <cellStyle name="Normal 14 2 3" xfId="5086" xr:uid="{00000000-0005-0000-0000-0000700E0000}"/>
    <cellStyle name="Normal 14 2 3 2" xfId="13536" xr:uid="{71757BE8-413A-419E-8DCB-7FE38986EF2E}"/>
    <cellStyle name="Normal 14 2 3 3" xfId="21983" xr:uid="{12197834-5BDE-4641-9907-5A2D4E47E13F}"/>
    <cellStyle name="Normal 14 2 3 4" xfId="30430" xr:uid="{92C3E0E2-6201-4AE1-92C1-8E98596C0CC8}"/>
    <cellStyle name="Normal 14 2 4" xfId="9318" xr:uid="{19465037-0042-4221-A54E-9E7667A3D33F}"/>
    <cellStyle name="Normal 14 2 5" xfId="17766" xr:uid="{E902F257-9FDB-427B-9F4D-FB9B4D97ED20}"/>
    <cellStyle name="Normal 14 2 6" xfId="26213" xr:uid="{A8A4D084-D6BC-46C1-80C6-E8704B764FC4}"/>
    <cellStyle name="Normal 14 3" xfId="1191" xr:uid="{00000000-0005-0000-0000-0000710E0000}"/>
    <cellStyle name="Normal 14 3 2" xfId="3422" xr:uid="{00000000-0005-0000-0000-0000720E0000}"/>
    <cellStyle name="Normal 14 3 2 2" xfId="7644" xr:uid="{00000000-0005-0000-0000-0000730E0000}"/>
    <cellStyle name="Normal 14 3 2 2 2" xfId="16094" xr:uid="{0F5AB585-5D3C-45FE-8ACC-DB45683C345B}"/>
    <cellStyle name="Normal 14 3 2 2 3" xfId="24541" xr:uid="{52861F0D-37EA-42DB-A2E1-7B4AB58B6BEF}"/>
    <cellStyle name="Normal 14 3 2 2 4" xfId="32988" xr:uid="{445387B9-0B22-4CD4-A461-DC22D51087C9}"/>
    <cellStyle name="Normal 14 3 2 3" xfId="11876" xr:uid="{A2302E49-AA7C-4534-8DA6-119F0293B55E}"/>
    <cellStyle name="Normal 14 3 2 4" xfId="20324" xr:uid="{DCE67300-5F0A-4FA2-8332-CC6970E74DF4}"/>
    <cellStyle name="Normal 14 3 2 5" xfId="28771" xr:uid="{390CA916-A43B-40F9-939A-B9DCD44BA160}"/>
    <cellStyle name="Normal 14 3 3" xfId="5499" xr:uid="{00000000-0005-0000-0000-0000740E0000}"/>
    <cellStyle name="Normal 14 3 3 2" xfId="13949" xr:uid="{0D9089DC-A138-45C5-8E2A-9B85570ACB78}"/>
    <cellStyle name="Normal 14 3 3 3" xfId="22396" xr:uid="{6FA50E0D-DC31-4D6F-B963-CFC0FCD26555}"/>
    <cellStyle name="Normal 14 3 3 4" xfId="30843" xr:uid="{413AEEEA-DC91-4949-84D8-55791B2AFCC8}"/>
    <cellStyle name="Normal 14 3 4" xfId="9731" xr:uid="{20D22A47-D40F-4355-9963-A3AED78C5D6B}"/>
    <cellStyle name="Normal 14 3 5" xfId="18179" xr:uid="{49CC09BE-B779-4F8F-98DF-48D548121DD7}"/>
    <cellStyle name="Normal 14 3 6" xfId="26626" xr:uid="{0D5A9DB1-3F79-41F6-9DB1-6C8B38DE7E12}"/>
    <cellStyle name="Normal 14 4" xfId="1605" xr:uid="{00000000-0005-0000-0000-0000750E0000}"/>
    <cellStyle name="Normal 14 4 2" xfId="3835" xr:uid="{00000000-0005-0000-0000-0000760E0000}"/>
    <cellStyle name="Normal 14 4 2 2" xfId="8057" xr:uid="{00000000-0005-0000-0000-0000770E0000}"/>
    <cellStyle name="Normal 14 4 2 2 2" xfId="16507" xr:uid="{9D4F3577-939C-40CB-A5CE-AC73E75F308C}"/>
    <cellStyle name="Normal 14 4 2 2 3" xfId="24954" xr:uid="{22703CA6-21E7-41ED-8C4B-473B1E004356}"/>
    <cellStyle name="Normal 14 4 2 2 4" xfId="33401" xr:uid="{743E0CF0-5458-43FB-8EBA-72C0BC9B873A}"/>
    <cellStyle name="Normal 14 4 2 3" xfId="12289" xr:uid="{879B2078-9F83-4C0D-A172-7227513D7BCA}"/>
    <cellStyle name="Normal 14 4 2 4" xfId="20737" xr:uid="{A0D9E056-69A6-4C2C-BB98-179F413A5AE3}"/>
    <cellStyle name="Normal 14 4 2 5" xfId="29184" xr:uid="{65A25AE4-4887-45BE-97FE-2BF0667B3412}"/>
    <cellStyle name="Normal 14 4 3" xfId="5912" xr:uid="{00000000-0005-0000-0000-0000780E0000}"/>
    <cellStyle name="Normal 14 4 3 2" xfId="14362" xr:uid="{923F548C-CD35-422B-B7AF-2E6A9CEA440B}"/>
    <cellStyle name="Normal 14 4 3 3" xfId="22809" xr:uid="{B7146F81-3FAA-4781-B5DE-A03F452F3D0B}"/>
    <cellStyle name="Normal 14 4 3 4" xfId="31256" xr:uid="{75DF1C9E-A2A2-4CBF-B229-B77449EC52C4}"/>
    <cellStyle name="Normal 14 4 4" xfId="10144" xr:uid="{980A616A-574D-4B78-B4BE-70ECDD6DAEF8}"/>
    <cellStyle name="Normal 14 4 5" xfId="18592" xr:uid="{4C2F2739-BF0D-49F3-878E-C4F347D255E5}"/>
    <cellStyle name="Normal 14 4 6" xfId="27039" xr:uid="{B5BD8A2F-9BD8-4183-ACC9-73940B0F1FF1}"/>
    <cellStyle name="Normal 14 5" xfId="2019" xr:uid="{00000000-0005-0000-0000-0000790E0000}"/>
    <cellStyle name="Normal 14 5 2" xfId="4248" xr:uid="{00000000-0005-0000-0000-00007A0E0000}"/>
    <cellStyle name="Normal 14 5 2 2" xfId="8470" xr:uid="{00000000-0005-0000-0000-00007B0E0000}"/>
    <cellStyle name="Normal 14 5 2 2 2" xfId="16920" xr:uid="{247ACAB9-4398-40EC-93BA-C7058A47E34B}"/>
    <cellStyle name="Normal 14 5 2 2 3" xfId="25367" xr:uid="{F4C74B21-9DB8-42DC-93BB-E43BF9C56909}"/>
    <cellStyle name="Normal 14 5 2 2 4" xfId="33814" xr:uid="{F39F64F9-7DC3-4F2A-87ED-0CB4637748D0}"/>
    <cellStyle name="Normal 14 5 2 3" xfId="12702" xr:uid="{FE430C23-689A-4C2F-A4CC-608527844B62}"/>
    <cellStyle name="Normal 14 5 2 4" xfId="21150" xr:uid="{AE1DF080-25E9-47A0-9F8F-2FA622F8C37B}"/>
    <cellStyle name="Normal 14 5 2 5" xfId="29597" xr:uid="{BA135044-C037-4C74-A05E-05B9F6FECE20}"/>
    <cellStyle name="Normal 14 5 3" xfId="6325" xr:uid="{00000000-0005-0000-0000-00007C0E0000}"/>
    <cellStyle name="Normal 14 5 3 2" xfId="14775" xr:uid="{DB034F14-6D42-4520-911E-49340A1B5BB1}"/>
    <cellStyle name="Normal 14 5 3 3" xfId="23222" xr:uid="{D7A5AADA-8226-4B2B-9D86-2EFD33EE1CD2}"/>
    <cellStyle name="Normal 14 5 3 4" xfId="31669" xr:uid="{9AC7C7CC-FF6D-414F-A19F-4AD4DDF42614}"/>
    <cellStyle name="Normal 14 5 4" xfId="10557" xr:uid="{EDDEC2B2-5FED-44C5-BAFF-641EAF0679BD}"/>
    <cellStyle name="Normal 14 5 5" xfId="19005" xr:uid="{00F2BD9E-91E8-4A66-B76D-D369E4127267}"/>
    <cellStyle name="Normal 14 5 6" xfId="27452" xr:uid="{F8BD0CEA-A3A1-4C5B-9CD8-C6557A0C7DA4}"/>
    <cellStyle name="Normal 14 6" xfId="2455" xr:uid="{00000000-0005-0000-0000-00007D0E0000}"/>
    <cellStyle name="Normal 14 6 2" xfId="6738" xr:uid="{00000000-0005-0000-0000-00007E0E0000}"/>
    <cellStyle name="Normal 14 6 2 2" xfId="15188" xr:uid="{B46EBB36-EA95-4EE8-B1B5-6E34C734867E}"/>
    <cellStyle name="Normal 14 6 2 3" xfId="23635" xr:uid="{65A36C44-5692-4D43-BAC4-E51368574CEC}"/>
    <cellStyle name="Normal 14 6 2 4" xfId="32082" xr:uid="{7228B62C-0621-4DB3-BCB6-AB7349D2063F}"/>
    <cellStyle name="Normal 14 6 3" xfId="10970" xr:uid="{A05B577F-DDAA-4138-989D-32B957D86F7C}"/>
    <cellStyle name="Normal 14 6 4" xfId="19418" xr:uid="{3EB6E054-E2A6-4E2C-B388-5CB784A648F7}"/>
    <cellStyle name="Normal 14 6 5" xfId="27865" xr:uid="{ADA19C23-F89E-428F-A9CE-D65C4DD614F6}"/>
    <cellStyle name="Normal 14 7" xfId="4672" xr:uid="{00000000-0005-0000-0000-00007F0E0000}"/>
    <cellStyle name="Normal 14 7 2" xfId="13122" xr:uid="{8347C409-DEDE-4397-967C-38A9829185B8}"/>
    <cellStyle name="Normal 14 7 3" xfId="21569" xr:uid="{676F4499-8C13-4FF7-8752-56F39B3FE946}"/>
    <cellStyle name="Normal 14 7 4" xfId="30016" xr:uid="{B094078C-2D85-4D3F-9CCD-4AA8E28B4324}"/>
    <cellStyle name="Normal 14 8" xfId="8904" xr:uid="{D1ACC865-6C46-496A-8E77-CEC5CE65587E}"/>
    <cellStyle name="Normal 14 9" xfId="17352" xr:uid="{B4F0FE42-F77A-478D-BEA0-2E78D53D5664}"/>
    <cellStyle name="Normal 15" xfId="4496" xr:uid="{00000000-0005-0000-0000-0000800E0000}"/>
    <cellStyle name="Normal 15 2" xfId="12948" xr:uid="{E6E7BB4C-1F84-45A3-863C-855B74DADE90}"/>
    <cellStyle name="Normal 15 3" xfId="21395" xr:uid="{B464D469-AB0A-4ABF-92BD-322E4F13D536}"/>
    <cellStyle name="Normal 15 4" xfId="29842" xr:uid="{DFBB1DC6-EDCE-4A89-BB97-4B3FED931B0E}"/>
    <cellStyle name="Normal 16" xfId="4500" xr:uid="{00000000-0005-0000-0000-0000810E0000}"/>
    <cellStyle name="Normal 16 2" xfId="8715" xr:uid="{00000000-0005-0000-0000-0000820E0000}"/>
    <cellStyle name="Normal 16 2 2" xfId="17165" xr:uid="{1B1D8BB2-1AE8-4679-AF9C-A535A4915503}"/>
    <cellStyle name="Normal 16 2 3" xfId="25612" xr:uid="{52868897-1E5F-4F61-949C-01DD548DBCC5}"/>
    <cellStyle name="Normal 16 2 4" xfId="34059" xr:uid="{B62F9DB1-BF4E-41FC-9163-5B27CC1CB7D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67F5DE58-7406-420F-BC13-95463511A295}"/>
    <cellStyle name="Normal 16 3 2 2 2 2 3" xfId="25628" xr:uid="{72C6CFBD-E280-45B1-87E4-472B0B483E2F}"/>
    <cellStyle name="Normal 16 3 2 2 2 2 4" xfId="34075" xr:uid="{37652247-3FA3-4029-A4A3-36CF3ADA1AA1}"/>
    <cellStyle name="Normal 16 3 2 2 2 3" xfId="17178" xr:uid="{546D14F0-4ECD-42EE-9975-882211FC3B3A}"/>
    <cellStyle name="Normal 16 3 2 2 2 4" xfId="25625" xr:uid="{2A4DC47E-E27E-4F22-A4EC-03906C6FF206}"/>
    <cellStyle name="Normal 16 3 2 2 2 5" xfId="34072" xr:uid="{5A14D71F-6504-4655-9B57-1D17C73AE353}"/>
    <cellStyle name="Normal 16 3 2 2 3" xfId="17174" xr:uid="{2709F88B-02AC-4590-A8BB-A26551E8D186}"/>
    <cellStyle name="Normal 16 3 2 2 4" xfId="25621" xr:uid="{59A5E6AD-6593-4463-BAFE-B9D0071A15F0}"/>
    <cellStyle name="Normal 16 3 2 2 5" xfId="34068" xr:uid="{582B3164-9CC4-4ECA-A243-D10E341146AD}"/>
    <cellStyle name="Normal 16 3 2 3" xfId="17171" xr:uid="{FA9BDBE0-2F64-496C-81E1-0FE5E3CDC621}"/>
    <cellStyle name="Normal 16 3 2 4" xfId="25618" xr:uid="{8A3C7FE5-77B5-4023-ABD8-6CF902995B5C}"/>
    <cellStyle name="Normal 16 3 2 5" xfId="34065" xr:uid="{371FDB4D-EAF0-402B-8828-155F337C6896}"/>
    <cellStyle name="Normal 16 3 3" xfId="17168" xr:uid="{ECC8025F-7B0B-4383-AB22-52C6489F2814}"/>
    <cellStyle name="Normal 16 3 4" xfId="25615" xr:uid="{1307B425-8E65-4B30-B780-420C92817AF5}"/>
    <cellStyle name="Normal 16 3 5" xfId="34062" xr:uid="{E0F9CD3F-FF92-4B62-B66D-EF2BF85A0DA4}"/>
    <cellStyle name="Normal 16 4" xfId="12951" xr:uid="{3AF82CBC-2985-41FF-9E76-F0238505947F}"/>
    <cellStyle name="Normal 16 5" xfId="21398" xr:uid="{E8A3BA45-9E21-4513-9722-6C8590E3BD03}"/>
    <cellStyle name="Normal 16 6" xfId="29845" xr:uid="{B5C9792C-5104-4458-9127-8D67A787E35C}"/>
    <cellStyle name="Normal 17" xfId="8728" xr:uid="{3FF0972C-833B-4475-99D8-1A6907499E71}"/>
    <cellStyle name="Normal 17 2" xfId="17177" xr:uid="{43DD7F31-32B8-4C22-885E-18D0CB0EF6C0}"/>
    <cellStyle name="Normal 17 3" xfId="25624" xr:uid="{7E413F64-8FBC-458D-ACEA-4DCFAB3C028B}"/>
    <cellStyle name="Normal 17 4" xfId="34071" xr:uid="{62F55987-E7BF-440A-AEF2-2958DCA322E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86EC585-7320-473C-A59B-1ED0078ED108}"/>
    <cellStyle name="Normal 2 4 2 10 2 2 3" xfId="25368" xr:uid="{8DC33BC4-3F97-4847-882D-E1D0D01F0160}"/>
    <cellStyle name="Normal 2 4 2 10 2 2 4" xfId="33815" xr:uid="{7C3A87A9-02E4-479D-878C-4F86FB4690C0}"/>
    <cellStyle name="Normal 2 4 2 10 2 3" xfId="12703" xr:uid="{0780341E-B364-4EB8-A5EC-E831D479B97C}"/>
    <cellStyle name="Normal 2 4 2 10 2 4" xfId="21151" xr:uid="{D2E6AE00-DF8C-4C66-95C5-5B48D0340FCB}"/>
    <cellStyle name="Normal 2 4 2 10 2 5" xfId="29598" xr:uid="{5530D5CB-D810-4102-9DBB-2ED04AE5830A}"/>
    <cellStyle name="Normal 2 4 2 10 3" xfId="6326" xr:uid="{00000000-0005-0000-0000-0000910E0000}"/>
    <cellStyle name="Normal 2 4 2 10 3 2" xfId="14776" xr:uid="{53EBD485-6A6D-4410-94EC-31778487E006}"/>
    <cellStyle name="Normal 2 4 2 10 3 3" xfId="23223" xr:uid="{96395DCB-58C0-4648-BD10-1537825E03E8}"/>
    <cellStyle name="Normal 2 4 2 10 3 4" xfId="31670" xr:uid="{CA862FB9-8E0A-43E1-9EFE-DD9E0938683C}"/>
    <cellStyle name="Normal 2 4 2 10 4" xfId="10558" xr:uid="{BE433F1D-0450-468A-B4B3-A20888E191DB}"/>
    <cellStyle name="Normal 2 4 2 10 5" xfId="19006" xr:uid="{6C59E8F9-6A68-41AF-BA95-AFD7184DA8A7}"/>
    <cellStyle name="Normal 2 4 2 10 6" xfId="27453" xr:uid="{A1A15B55-4404-491A-9388-867A6848E2C1}"/>
    <cellStyle name="Normal 2 4 2 11" xfId="2456" xr:uid="{00000000-0005-0000-0000-0000920E0000}"/>
    <cellStyle name="Normal 2 4 2 11 2" xfId="6739" xr:uid="{00000000-0005-0000-0000-0000930E0000}"/>
    <cellStyle name="Normal 2 4 2 11 2 2" xfId="15189" xr:uid="{0F8D96AA-FA15-4092-965F-2035EA40942E}"/>
    <cellStyle name="Normal 2 4 2 11 2 3" xfId="23636" xr:uid="{972816A1-C3B4-4023-8315-85DCD637683B}"/>
    <cellStyle name="Normal 2 4 2 11 2 4" xfId="32083" xr:uid="{9091E103-CAC8-4CB5-B502-F1629D81481B}"/>
    <cellStyle name="Normal 2 4 2 11 3" xfId="10971" xr:uid="{EA614A3A-4A26-4636-8084-A673B8DF767B}"/>
    <cellStyle name="Normal 2 4 2 11 4" xfId="19419" xr:uid="{02E76441-CAC4-4485-AA9E-468B5E8FBF3A}"/>
    <cellStyle name="Normal 2 4 2 11 5" xfId="27866" xr:uid="{085DBB60-31DA-4359-979E-CED50FF7754F}"/>
    <cellStyle name="Normal 2 4 2 12" xfId="4673" xr:uid="{00000000-0005-0000-0000-0000940E0000}"/>
    <cellStyle name="Normal 2 4 2 12 2" xfId="13123" xr:uid="{1C7C33C2-CFDF-4A9D-822B-4FFEB9086113}"/>
    <cellStyle name="Normal 2 4 2 12 3" xfId="21570" xr:uid="{DE6AD4CA-CA0F-4FE8-863E-9D740EBAC710}"/>
    <cellStyle name="Normal 2 4 2 12 4" xfId="30017" xr:uid="{41397089-0FE0-4594-B69F-5264155F24EC}"/>
    <cellStyle name="Normal 2 4 2 13" xfId="8905" xr:uid="{7B1FE8EB-AE0D-4CA8-BE11-1DE5A205C882}"/>
    <cellStyle name="Normal 2 4 2 14" xfId="17353" xr:uid="{3ADE5898-F30C-43FA-8E8E-DC6FE6468489}"/>
    <cellStyle name="Normal 2 4 2 15" xfId="25800" xr:uid="{AB6E0FAD-5D25-4FAF-ABA9-04EF01123170}"/>
    <cellStyle name="Normal 2 4 2 2" xfId="280" xr:uid="{00000000-0005-0000-0000-0000950E0000}"/>
    <cellStyle name="Normal 2 4 2 3" xfId="281" xr:uid="{00000000-0005-0000-0000-0000960E0000}"/>
    <cellStyle name="Normal 2 4 2 3 10" xfId="4674" xr:uid="{00000000-0005-0000-0000-0000970E0000}"/>
    <cellStyle name="Normal 2 4 2 3 10 2" xfId="13124" xr:uid="{812DA1CA-6006-4235-AE36-47CC85585449}"/>
    <cellStyle name="Normal 2 4 2 3 10 3" xfId="21571" xr:uid="{75AA1AE0-65D7-427E-B0C5-CBC2623B7021}"/>
    <cellStyle name="Normal 2 4 2 3 10 4" xfId="30018" xr:uid="{323E145F-5744-4237-80AD-D07BFF04AAA5}"/>
    <cellStyle name="Normal 2 4 2 3 11" xfId="8906" xr:uid="{55791357-A34C-4856-9B4E-8C95EC24B47F}"/>
    <cellStyle name="Normal 2 4 2 3 12" xfId="17354" xr:uid="{9FFC0125-E63B-4B4D-A906-519646C3614D}"/>
    <cellStyle name="Normal 2 4 2 3 13" xfId="25801" xr:uid="{B6B2F788-61B7-4AC4-BB51-E2303402D0DC}"/>
    <cellStyle name="Normal 2 4 2 3 2" xfId="282" xr:uid="{00000000-0005-0000-0000-0000980E0000}"/>
    <cellStyle name="Normal 2 4 2 3 2 10" xfId="8907" xr:uid="{2303AD92-35C7-4911-A8B6-489F1F15F489}"/>
    <cellStyle name="Normal 2 4 2 3 2 11" xfId="17355" xr:uid="{EBE3D3BF-6C5C-4910-B354-A723DA72111B}"/>
    <cellStyle name="Normal 2 4 2 3 2 12" xfId="25802" xr:uid="{070DBAE8-1458-4AB3-8D46-E5DBD0D62981}"/>
    <cellStyle name="Normal 2 4 2 3 2 2" xfId="283" xr:uid="{00000000-0005-0000-0000-0000990E0000}"/>
    <cellStyle name="Normal 2 4 2 3 2 2 10" xfId="17356" xr:uid="{859A128D-1537-4163-90D7-13E0E525E8EA}"/>
    <cellStyle name="Normal 2 4 2 3 2 2 11" xfId="25803" xr:uid="{91F3F793-8449-4D6C-B1EC-709E57A623FB}"/>
    <cellStyle name="Normal 2 4 2 3 2 2 2" xfId="284" xr:uid="{00000000-0005-0000-0000-00009A0E0000}"/>
    <cellStyle name="Normal 2 4 2 3 2 2 2 10" xfId="25804" xr:uid="{3A09B12D-DFFD-49FA-AEDB-CF38485EA12E}"/>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C509D91A-F3BE-4C8C-BDD0-3D70BBDF1284}"/>
    <cellStyle name="Normal 2 4 2 3 2 2 2 2 2 2 3" xfId="24133" xr:uid="{3B5A6275-F1D8-4B64-9E42-F47A520EDE11}"/>
    <cellStyle name="Normal 2 4 2 3 2 2 2 2 2 2 4" xfId="32580" xr:uid="{B56292E8-6699-4361-B572-1B4299F3BF8D}"/>
    <cellStyle name="Normal 2 4 2 3 2 2 2 2 2 3" xfId="11468" xr:uid="{88D862E4-2CCD-4B04-A700-2D2C785F8BEE}"/>
    <cellStyle name="Normal 2 4 2 3 2 2 2 2 2 4" xfId="19916" xr:uid="{A7AF980A-137F-491C-83A0-7FA375DB04F0}"/>
    <cellStyle name="Normal 2 4 2 3 2 2 2 2 2 5" xfId="28363" xr:uid="{D5F3D41B-2B11-47D6-A0FF-177740F0B1B3}"/>
    <cellStyle name="Normal 2 4 2 3 2 2 2 2 3" xfId="5091" xr:uid="{00000000-0005-0000-0000-00009E0E0000}"/>
    <cellStyle name="Normal 2 4 2 3 2 2 2 2 3 2" xfId="13541" xr:uid="{8A79B967-6711-4280-B20E-03F10807194F}"/>
    <cellStyle name="Normal 2 4 2 3 2 2 2 2 3 3" xfId="21988" xr:uid="{BB245BB0-F281-448E-8652-F2F796DEB51B}"/>
    <cellStyle name="Normal 2 4 2 3 2 2 2 2 3 4" xfId="30435" xr:uid="{7DE66036-C9CE-49ED-AA46-20DBD91DBC7D}"/>
    <cellStyle name="Normal 2 4 2 3 2 2 2 2 4" xfId="9323" xr:uid="{32520919-D696-4186-9924-15DA55352307}"/>
    <cellStyle name="Normal 2 4 2 3 2 2 2 2 5" xfId="17771" xr:uid="{4FF8757D-5C6A-4339-8991-FB19C00BE6A2}"/>
    <cellStyle name="Normal 2 4 2 3 2 2 2 2 6" xfId="26218" xr:uid="{7F3C19F0-7AED-4BCB-A44E-C2136856A0D7}"/>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1A033D54-6ED0-4A2C-B498-E0D9CB58C2DC}"/>
    <cellStyle name="Normal 2 4 2 3 2 2 2 3 2 2 3" xfId="24546" xr:uid="{B19B3530-5EB2-47F3-99CF-DAC953FCD4EE}"/>
    <cellStyle name="Normal 2 4 2 3 2 2 2 3 2 2 4" xfId="32993" xr:uid="{48EBD210-0BFF-4BCA-B930-C53461BB4CFC}"/>
    <cellStyle name="Normal 2 4 2 3 2 2 2 3 2 3" xfId="11881" xr:uid="{7CBE9701-C6E3-450A-A619-F5B4C5E51906}"/>
    <cellStyle name="Normal 2 4 2 3 2 2 2 3 2 4" xfId="20329" xr:uid="{6FF2547B-29D8-4848-8D5F-081740B2ED61}"/>
    <cellStyle name="Normal 2 4 2 3 2 2 2 3 2 5" xfId="28776" xr:uid="{DDC73731-1D68-4D86-89E6-6ACA21CB885B}"/>
    <cellStyle name="Normal 2 4 2 3 2 2 2 3 3" xfId="5504" xr:uid="{00000000-0005-0000-0000-0000A20E0000}"/>
    <cellStyle name="Normal 2 4 2 3 2 2 2 3 3 2" xfId="13954" xr:uid="{F1B8A61A-09E6-4F59-A951-B5ACF3DFED91}"/>
    <cellStyle name="Normal 2 4 2 3 2 2 2 3 3 3" xfId="22401" xr:uid="{80885093-FAD4-4549-8E08-07328196516B}"/>
    <cellStyle name="Normal 2 4 2 3 2 2 2 3 3 4" xfId="30848" xr:uid="{22091689-A314-4E2F-AD56-D55C8874311B}"/>
    <cellStyle name="Normal 2 4 2 3 2 2 2 3 4" xfId="9736" xr:uid="{1571BDFE-B7AE-4C0F-BB8F-C873388CEE9B}"/>
    <cellStyle name="Normal 2 4 2 3 2 2 2 3 5" xfId="18184" xr:uid="{EA4DEA51-D4F9-42FA-A3E8-00ABE66E1AD0}"/>
    <cellStyle name="Normal 2 4 2 3 2 2 2 3 6" xfId="26631" xr:uid="{ABEC9F27-050D-4EA5-87E7-A95BC2BA721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5FBAC147-BF0D-494A-B6DB-C7D1F1EAAC99}"/>
    <cellStyle name="Normal 2 4 2 3 2 2 2 4 2 2 3" xfId="24959" xr:uid="{A47720FE-7394-4F56-9C13-C93B2CAB7845}"/>
    <cellStyle name="Normal 2 4 2 3 2 2 2 4 2 2 4" xfId="33406" xr:uid="{69484EB4-B4FA-4F2C-B5E5-79B2DD79B262}"/>
    <cellStyle name="Normal 2 4 2 3 2 2 2 4 2 3" xfId="12294" xr:uid="{4BF0A1A8-4CCE-4E75-A509-27543C7BB9D2}"/>
    <cellStyle name="Normal 2 4 2 3 2 2 2 4 2 4" xfId="20742" xr:uid="{131E8A35-6CDA-4E30-AC12-9CE40A8975C9}"/>
    <cellStyle name="Normal 2 4 2 3 2 2 2 4 2 5" xfId="29189" xr:uid="{6149C02D-A8A1-4185-BC3D-4AFB909A67D5}"/>
    <cellStyle name="Normal 2 4 2 3 2 2 2 4 3" xfId="5917" xr:uid="{00000000-0005-0000-0000-0000A60E0000}"/>
    <cellStyle name="Normal 2 4 2 3 2 2 2 4 3 2" xfId="14367" xr:uid="{1ABC243E-A211-4D10-9267-79AFD06EC051}"/>
    <cellStyle name="Normal 2 4 2 3 2 2 2 4 3 3" xfId="22814" xr:uid="{775005CD-8E40-4FDC-B31F-3B8143AA6BB5}"/>
    <cellStyle name="Normal 2 4 2 3 2 2 2 4 3 4" xfId="31261" xr:uid="{BBDF9A04-280E-4427-A0C6-7F700AF09C96}"/>
    <cellStyle name="Normal 2 4 2 3 2 2 2 4 4" xfId="10149" xr:uid="{0DF330C7-627C-489F-945F-FF3650B949C2}"/>
    <cellStyle name="Normal 2 4 2 3 2 2 2 4 5" xfId="18597" xr:uid="{A1CC0AE2-29D0-43D2-BDF2-3755F6B7F033}"/>
    <cellStyle name="Normal 2 4 2 3 2 2 2 4 6" xfId="27044" xr:uid="{CCC55730-0FFA-4688-90EE-DE4A9AFFF3CA}"/>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BD4273C7-1D8E-47CE-817E-5367AD830A75}"/>
    <cellStyle name="Normal 2 4 2 3 2 2 2 5 2 2 3" xfId="25372" xr:uid="{8931DF61-19D6-45B2-B2E6-575BBFB5607D}"/>
    <cellStyle name="Normal 2 4 2 3 2 2 2 5 2 2 4" xfId="33819" xr:uid="{ED08F5CF-EABF-4EBF-B4A1-4822C847EB9F}"/>
    <cellStyle name="Normal 2 4 2 3 2 2 2 5 2 3" xfId="12707" xr:uid="{B04D44A8-D570-4ECB-A1F6-01B521E15755}"/>
    <cellStyle name="Normal 2 4 2 3 2 2 2 5 2 4" xfId="21155" xr:uid="{FAD3DF30-8B84-4337-B743-307813A9A502}"/>
    <cellStyle name="Normal 2 4 2 3 2 2 2 5 2 5" xfId="29602" xr:uid="{60F76A19-9D51-4CF3-92AF-4D49C23EA06F}"/>
    <cellStyle name="Normal 2 4 2 3 2 2 2 5 3" xfId="6330" xr:uid="{00000000-0005-0000-0000-0000AA0E0000}"/>
    <cellStyle name="Normal 2 4 2 3 2 2 2 5 3 2" xfId="14780" xr:uid="{EAA6E8A2-FAD3-4A4A-8493-E470A1CBD35D}"/>
    <cellStyle name="Normal 2 4 2 3 2 2 2 5 3 3" xfId="23227" xr:uid="{860AF6DD-F408-4F16-9C0F-1F99DCC99CFF}"/>
    <cellStyle name="Normal 2 4 2 3 2 2 2 5 3 4" xfId="31674" xr:uid="{AC7A173E-1785-4360-9556-15F5681C176A}"/>
    <cellStyle name="Normal 2 4 2 3 2 2 2 5 4" xfId="10562" xr:uid="{9C416AF0-BA45-40CD-B7F8-198CD20581AA}"/>
    <cellStyle name="Normal 2 4 2 3 2 2 2 5 5" xfId="19010" xr:uid="{91E6C2C7-60EE-4E72-862D-351429F0F8C7}"/>
    <cellStyle name="Normal 2 4 2 3 2 2 2 5 6" xfId="27457" xr:uid="{1A7787B3-979A-463C-B0E3-249337C368AB}"/>
    <cellStyle name="Normal 2 4 2 3 2 2 2 6" xfId="2460" xr:uid="{00000000-0005-0000-0000-0000AB0E0000}"/>
    <cellStyle name="Normal 2 4 2 3 2 2 2 6 2" xfId="6743" xr:uid="{00000000-0005-0000-0000-0000AC0E0000}"/>
    <cellStyle name="Normal 2 4 2 3 2 2 2 6 2 2" xfId="15193" xr:uid="{684E1958-0793-4BEB-B85A-F3EDA1B30C76}"/>
    <cellStyle name="Normal 2 4 2 3 2 2 2 6 2 3" xfId="23640" xr:uid="{3D76FB69-84D9-4779-9A2E-0F414A1DF228}"/>
    <cellStyle name="Normal 2 4 2 3 2 2 2 6 2 4" xfId="32087" xr:uid="{49D1BE30-EE4B-41BA-9C7F-79EF49652C20}"/>
    <cellStyle name="Normal 2 4 2 3 2 2 2 6 3" xfId="10975" xr:uid="{1017C350-9A88-4645-9301-8AD6AE137783}"/>
    <cellStyle name="Normal 2 4 2 3 2 2 2 6 4" xfId="19423" xr:uid="{72C48477-F31F-4F28-833C-71C7131CD589}"/>
    <cellStyle name="Normal 2 4 2 3 2 2 2 6 5" xfId="27870" xr:uid="{BE431775-E4C4-425C-83AC-C20F66DDF272}"/>
    <cellStyle name="Normal 2 4 2 3 2 2 2 7" xfId="4677" xr:uid="{00000000-0005-0000-0000-0000AD0E0000}"/>
    <cellStyle name="Normal 2 4 2 3 2 2 2 7 2" xfId="13127" xr:uid="{816D03F3-E91B-428A-A081-70D7F1ABD8CC}"/>
    <cellStyle name="Normal 2 4 2 3 2 2 2 7 3" xfId="21574" xr:uid="{058B7424-A0BF-4F9C-B006-4D6803F34351}"/>
    <cellStyle name="Normal 2 4 2 3 2 2 2 7 4" xfId="30021" xr:uid="{81260BA3-05D0-45B7-8DF6-1993FEC2C2A4}"/>
    <cellStyle name="Normal 2 4 2 3 2 2 2 8" xfId="8909" xr:uid="{0D04D05A-A4E4-4C44-8008-EC000CD8538C}"/>
    <cellStyle name="Normal 2 4 2 3 2 2 2 9" xfId="17357" xr:uid="{5FB2CFBF-5C15-4CB8-BBF2-285DE4505A04}"/>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D532171E-95FC-42B6-9A39-02AA54D7E9D3}"/>
    <cellStyle name="Normal 2 4 2 3 2 2 3 2 2 3" xfId="24132" xr:uid="{1366BED2-5826-446B-AB00-AD907C6EF499}"/>
    <cellStyle name="Normal 2 4 2 3 2 2 3 2 2 4" xfId="32579" xr:uid="{978B9425-68AB-4332-9504-9BDDFE619BEE}"/>
    <cellStyle name="Normal 2 4 2 3 2 2 3 2 3" xfId="11467" xr:uid="{39888832-E22E-4AE2-8377-E08CB38C4583}"/>
    <cellStyle name="Normal 2 4 2 3 2 2 3 2 4" xfId="19915" xr:uid="{6F0432DF-597D-40E4-BC12-1242242C2B87}"/>
    <cellStyle name="Normal 2 4 2 3 2 2 3 2 5" xfId="28362" xr:uid="{9747E4A4-E27A-4AD2-B3C3-CE7D94B039C2}"/>
    <cellStyle name="Normal 2 4 2 3 2 2 3 3" xfId="5090" xr:uid="{00000000-0005-0000-0000-0000B10E0000}"/>
    <cellStyle name="Normal 2 4 2 3 2 2 3 3 2" xfId="13540" xr:uid="{1CF84657-D4C0-4B6C-96B5-18083F572B65}"/>
    <cellStyle name="Normal 2 4 2 3 2 2 3 3 3" xfId="21987" xr:uid="{BEECE5EA-6914-4AA0-8214-AB6BA73A92F6}"/>
    <cellStyle name="Normal 2 4 2 3 2 2 3 3 4" xfId="30434" xr:uid="{69DA77C3-DB7E-4010-94F7-8C182466E18D}"/>
    <cellStyle name="Normal 2 4 2 3 2 2 3 4" xfId="9322" xr:uid="{2F4ED0AF-214E-42E3-B45E-760F73EA4C49}"/>
    <cellStyle name="Normal 2 4 2 3 2 2 3 5" xfId="17770" xr:uid="{407970E7-36D3-45AA-96C5-7D8922FCA327}"/>
    <cellStyle name="Normal 2 4 2 3 2 2 3 6" xfId="26217" xr:uid="{F1279892-DF02-4CA6-8B64-0C06C55C9F9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0A19513D-D47D-4F45-8B4F-61564792AB02}"/>
    <cellStyle name="Normal 2 4 2 3 2 2 4 2 2 3" xfId="24545" xr:uid="{4D94B69D-ED9C-4A96-AFFB-9EFCD8FB2040}"/>
    <cellStyle name="Normal 2 4 2 3 2 2 4 2 2 4" xfId="32992" xr:uid="{D1BBDD0E-6731-48D2-B443-BD8C1D76F3D5}"/>
    <cellStyle name="Normal 2 4 2 3 2 2 4 2 3" xfId="11880" xr:uid="{3986B0F2-4890-4BDD-9638-7FD0C373F537}"/>
    <cellStyle name="Normal 2 4 2 3 2 2 4 2 4" xfId="20328" xr:uid="{142D413D-73F7-4729-9F0C-70734958ED70}"/>
    <cellStyle name="Normal 2 4 2 3 2 2 4 2 5" xfId="28775" xr:uid="{7C741BA8-E682-499B-9352-67835761176C}"/>
    <cellStyle name="Normal 2 4 2 3 2 2 4 3" xfId="5503" xr:uid="{00000000-0005-0000-0000-0000B50E0000}"/>
    <cellStyle name="Normal 2 4 2 3 2 2 4 3 2" xfId="13953" xr:uid="{CA96DAFB-ECBD-4433-A519-1CAFD17F3465}"/>
    <cellStyle name="Normal 2 4 2 3 2 2 4 3 3" xfId="22400" xr:uid="{B951EE62-62C8-4F4A-B217-924D92C97A8F}"/>
    <cellStyle name="Normal 2 4 2 3 2 2 4 3 4" xfId="30847" xr:uid="{D9CF7B8D-CC00-4104-A840-00F46E0FE833}"/>
    <cellStyle name="Normal 2 4 2 3 2 2 4 4" xfId="9735" xr:uid="{E4B5304E-3905-4286-89D3-87A3937B60AD}"/>
    <cellStyle name="Normal 2 4 2 3 2 2 4 5" xfId="18183" xr:uid="{83828C45-7E6E-4366-814F-7F63116C8A79}"/>
    <cellStyle name="Normal 2 4 2 3 2 2 4 6" xfId="26630" xr:uid="{B4E6FE25-0470-4BF5-8B05-790C7FF050EB}"/>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E07C0E7D-C88D-4CAC-AF10-44BBF8CE78B6}"/>
    <cellStyle name="Normal 2 4 2 3 2 2 5 2 2 3" xfId="24958" xr:uid="{0D5D61FD-4525-45F0-9379-B5CA238E6191}"/>
    <cellStyle name="Normal 2 4 2 3 2 2 5 2 2 4" xfId="33405" xr:uid="{4C250BB5-1B90-4AE8-BC29-633B6E221DD0}"/>
    <cellStyle name="Normal 2 4 2 3 2 2 5 2 3" xfId="12293" xr:uid="{EA8C47C6-2042-4B36-8208-51D797464B87}"/>
    <cellStyle name="Normal 2 4 2 3 2 2 5 2 4" xfId="20741" xr:uid="{DF9BCDB4-438B-4296-BBD4-B3F3B9EB65A8}"/>
    <cellStyle name="Normal 2 4 2 3 2 2 5 2 5" xfId="29188" xr:uid="{DAC8783C-0DF8-43D8-AA9A-ED5C9074F147}"/>
    <cellStyle name="Normal 2 4 2 3 2 2 5 3" xfId="5916" xr:uid="{00000000-0005-0000-0000-0000B90E0000}"/>
    <cellStyle name="Normal 2 4 2 3 2 2 5 3 2" xfId="14366" xr:uid="{2D820F22-6103-44BC-811A-F305E3DA6E7F}"/>
    <cellStyle name="Normal 2 4 2 3 2 2 5 3 3" xfId="22813" xr:uid="{26D195F4-649B-4230-A94F-4366DD74A17C}"/>
    <cellStyle name="Normal 2 4 2 3 2 2 5 3 4" xfId="31260" xr:uid="{34A5B2E5-D286-491C-9F21-29DC6E601D58}"/>
    <cellStyle name="Normal 2 4 2 3 2 2 5 4" xfId="10148" xr:uid="{FC992A48-B99D-48A7-A880-C70A2EF2A60D}"/>
    <cellStyle name="Normal 2 4 2 3 2 2 5 5" xfId="18596" xr:uid="{52C8F441-7F84-4527-830D-D9E3B68D718B}"/>
    <cellStyle name="Normal 2 4 2 3 2 2 5 6" xfId="27043" xr:uid="{DE6B6BD5-44B6-4A73-8BC2-BCB41BF270A4}"/>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9AD20B18-C2D2-40D6-976F-19276B88C61A}"/>
    <cellStyle name="Normal 2 4 2 3 2 2 6 2 2 3" xfId="25371" xr:uid="{31815BC2-F326-4BA0-9A5E-50ED45983D9E}"/>
    <cellStyle name="Normal 2 4 2 3 2 2 6 2 2 4" xfId="33818" xr:uid="{3F016B1F-4D64-456E-845A-3C85F73C41AA}"/>
    <cellStyle name="Normal 2 4 2 3 2 2 6 2 3" xfId="12706" xr:uid="{2E6D6879-27F8-453E-B6C1-7B1BF448E345}"/>
    <cellStyle name="Normal 2 4 2 3 2 2 6 2 4" xfId="21154" xr:uid="{9D29C57F-64BA-4232-802A-42395F2E4E33}"/>
    <cellStyle name="Normal 2 4 2 3 2 2 6 2 5" xfId="29601" xr:uid="{EC3FB6BC-2FBF-4FBF-B298-6ADCCE21AD26}"/>
    <cellStyle name="Normal 2 4 2 3 2 2 6 3" xfId="6329" xr:uid="{00000000-0005-0000-0000-0000BD0E0000}"/>
    <cellStyle name="Normal 2 4 2 3 2 2 6 3 2" xfId="14779" xr:uid="{B77B4617-EF16-4AF7-ACC1-FBC2EA9EEA9D}"/>
    <cellStyle name="Normal 2 4 2 3 2 2 6 3 3" xfId="23226" xr:uid="{1E93AE4D-CE54-4BE1-A6E5-72353412CB21}"/>
    <cellStyle name="Normal 2 4 2 3 2 2 6 3 4" xfId="31673" xr:uid="{D5F649F4-5FBC-4A41-A6A9-DDFCDAC53219}"/>
    <cellStyle name="Normal 2 4 2 3 2 2 6 4" xfId="10561" xr:uid="{C36B6CBF-B161-48D9-A9C7-A61A84CB7830}"/>
    <cellStyle name="Normal 2 4 2 3 2 2 6 5" xfId="19009" xr:uid="{3E4F4EA2-909B-4562-90A8-180F3F130399}"/>
    <cellStyle name="Normal 2 4 2 3 2 2 6 6" xfId="27456" xr:uid="{DF423999-0D96-45FD-B126-99C31E9AB683}"/>
    <cellStyle name="Normal 2 4 2 3 2 2 7" xfId="2459" xr:uid="{00000000-0005-0000-0000-0000BE0E0000}"/>
    <cellStyle name="Normal 2 4 2 3 2 2 7 2" xfId="6742" xr:uid="{00000000-0005-0000-0000-0000BF0E0000}"/>
    <cellStyle name="Normal 2 4 2 3 2 2 7 2 2" xfId="15192" xr:uid="{7F3F969D-5610-4A24-AC8A-EA0CAEF9A309}"/>
    <cellStyle name="Normal 2 4 2 3 2 2 7 2 3" xfId="23639" xr:uid="{1ABFFD71-B23F-4138-A45C-21C14D3F22AA}"/>
    <cellStyle name="Normal 2 4 2 3 2 2 7 2 4" xfId="32086" xr:uid="{1541CE8C-0C24-4EF7-A3E2-716AC1350273}"/>
    <cellStyle name="Normal 2 4 2 3 2 2 7 3" xfId="10974" xr:uid="{F7660353-7938-43EF-B1C6-6B523AF76981}"/>
    <cellStyle name="Normal 2 4 2 3 2 2 7 4" xfId="19422" xr:uid="{E96CEC8E-33C2-4AF0-B155-840F09C075CF}"/>
    <cellStyle name="Normal 2 4 2 3 2 2 7 5" xfId="27869" xr:uid="{E35BE741-82AE-425C-B728-9CA2266F8084}"/>
    <cellStyle name="Normal 2 4 2 3 2 2 8" xfId="4676" xr:uid="{00000000-0005-0000-0000-0000C00E0000}"/>
    <cellStyle name="Normal 2 4 2 3 2 2 8 2" xfId="13126" xr:uid="{67DF15CA-B904-4927-8E5B-285293A93CFC}"/>
    <cellStyle name="Normal 2 4 2 3 2 2 8 3" xfId="21573" xr:uid="{F91A79D2-D5FF-410F-9382-741C94DCDC20}"/>
    <cellStyle name="Normal 2 4 2 3 2 2 8 4" xfId="30020" xr:uid="{4B540171-CCAA-441E-9326-D8763F776F36}"/>
    <cellStyle name="Normal 2 4 2 3 2 2 9" xfId="8908" xr:uid="{B80824D9-3383-42B8-A982-81AFDAFEF848}"/>
    <cellStyle name="Normal 2 4 2 3 2 3" xfId="285" xr:uid="{00000000-0005-0000-0000-0000C10E0000}"/>
    <cellStyle name="Normal 2 4 2 3 2 3 10" xfId="25805" xr:uid="{A9119659-BDE6-41C1-A859-79CF657EA855}"/>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66DE7615-6C8E-466A-8069-817404F69831}"/>
    <cellStyle name="Normal 2 4 2 3 2 3 2 2 2 3" xfId="24134" xr:uid="{27F8A30F-9BA3-4824-A0FF-CE1A60975B89}"/>
    <cellStyle name="Normal 2 4 2 3 2 3 2 2 2 4" xfId="32581" xr:uid="{CC21A5CD-59D9-4DF9-85E6-06E0D56B20A4}"/>
    <cellStyle name="Normal 2 4 2 3 2 3 2 2 3" xfId="11469" xr:uid="{FEFEB920-AB0B-40CD-9AF9-30345FA57028}"/>
    <cellStyle name="Normal 2 4 2 3 2 3 2 2 4" xfId="19917" xr:uid="{D10E1D31-5508-41FB-9C80-46FF78EA70B3}"/>
    <cellStyle name="Normal 2 4 2 3 2 3 2 2 5" xfId="28364" xr:uid="{AD15B95E-4A7D-4DFC-9827-DB8274538256}"/>
    <cellStyle name="Normal 2 4 2 3 2 3 2 3" xfId="5092" xr:uid="{00000000-0005-0000-0000-0000C50E0000}"/>
    <cellStyle name="Normal 2 4 2 3 2 3 2 3 2" xfId="13542" xr:uid="{FF93EAC9-5A1D-42BD-9F57-3C97DF9472D4}"/>
    <cellStyle name="Normal 2 4 2 3 2 3 2 3 3" xfId="21989" xr:uid="{16974805-CD4C-46A0-8763-07E07EA779FA}"/>
    <cellStyle name="Normal 2 4 2 3 2 3 2 3 4" xfId="30436" xr:uid="{A00E16DE-91F4-4540-B87C-61F2E01C2C36}"/>
    <cellStyle name="Normal 2 4 2 3 2 3 2 4" xfId="9324" xr:uid="{3F574CF9-FC00-4D92-B19A-197E1A7E612A}"/>
    <cellStyle name="Normal 2 4 2 3 2 3 2 5" xfId="17772" xr:uid="{1D73681B-E200-4F05-B43B-947FF0F3A743}"/>
    <cellStyle name="Normal 2 4 2 3 2 3 2 6" xfId="26219" xr:uid="{C71B4381-E266-47B4-B92A-0AEE2C88A9D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9FF7DAFC-E1B2-4123-A00D-0069DC804BB5}"/>
    <cellStyle name="Normal 2 4 2 3 2 3 3 2 2 3" xfId="24547" xr:uid="{50ECFF57-4524-4023-A4A5-636DB2CC84A9}"/>
    <cellStyle name="Normal 2 4 2 3 2 3 3 2 2 4" xfId="32994" xr:uid="{6F72A33A-6AED-465C-BAE2-CB168E3AB911}"/>
    <cellStyle name="Normal 2 4 2 3 2 3 3 2 3" xfId="11882" xr:uid="{8DCF0302-8930-4223-840D-589FC1D6DE71}"/>
    <cellStyle name="Normal 2 4 2 3 2 3 3 2 4" xfId="20330" xr:uid="{9E310421-D314-407D-8715-2ADF55C9954B}"/>
    <cellStyle name="Normal 2 4 2 3 2 3 3 2 5" xfId="28777" xr:uid="{3D54D78B-1381-4D57-92F1-A90184BFEFD3}"/>
    <cellStyle name="Normal 2 4 2 3 2 3 3 3" xfId="5505" xr:uid="{00000000-0005-0000-0000-0000C90E0000}"/>
    <cellStyle name="Normal 2 4 2 3 2 3 3 3 2" xfId="13955" xr:uid="{BBCC6719-F943-46AC-BE05-23404A33CDEF}"/>
    <cellStyle name="Normal 2 4 2 3 2 3 3 3 3" xfId="22402" xr:uid="{874E0E0C-546C-4811-9E27-845B439194BD}"/>
    <cellStyle name="Normal 2 4 2 3 2 3 3 3 4" xfId="30849" xr:uid="{4F07B5DE-3E26-4ACC-8DC6-C5C57A9DA757}"/>
    <cellStyle name="Normal 2 4 2 3 2 3 3 4" xfId="9737" xr:uid="{C244D0F4-E8D9-4552-B933-65DC7C846975}"/>
    <cellStyle name="Normal 2 4 2 3 2 3 3 5" xfId="18185" xr:uid="{7A1E2478-3962-49A6-898A-188673108F63}"/>
    <cellStyle name="Normal 2 4 2 3 2 3 3 6" xfId="26632" xr:uid="{579BC273-6385-465A-BCA2-79A54EF2539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A5327E2E-0022-4526-9711-72199B501A89}"/>
    <cellStyle name="Normal 2 4 2 3 2 3 4 2 2 3" xfId="24960" xr:uid="{981081FD-91F6-468E-AD4E-EC072A7C3412}"/>
    <cellStyle name="Normal 2 4 2 3 2 3 4 2 2 4" xfId="33407" xr:uid="{86E10D84-4A52-4FA1-80E7-B5C9F130E9ED}"/>
    <cellStyle name="Normal 2 4 2 3 2 3 4 2 3" xfId="12295" xr:uid="{6A3E1B24-757C-4FE8-832A-00B89EB51B93}"/>
    <cellStyle name="Normal 2 4 2 3 2 3 4 2 4" xfId="20743" xr:uid="{B2499BCE-5412-4CD1-BD6A-E591C1A1E6F3}"/>
    <cellStyle name="Normal 2 4 2 3 2 3 4 2 5" xfId="29190" xr:uid="{8F110EF8-A5DD-4385-AFCF-F12DDF213763}"/>
    <cellStyle name="Normal 2 4 2 3 2 3 4 3" xfId="5918" xr:uid="{00000000-0005-0000-0000-0000CD0E0000}"/>
    <cellStyle name="Normal 2 4 2 3 2 3 4 3 2" xfId="14368" xr:uid="{67A48F83-C726-41A7-912B-A56F59653D40}"/>
    <cellStyle name="Normal 2 4 2 3 2 3 4 3 3" xfId="22815" xr:uid="{543DAAA1-66F8-4140-B4DC-AAE2E97ECC41}"/>
    <cellStyle name="Normal 2 4 2 3 2 3 4 3 4" xfId="31262" xr:uid="{ACCD5640-4DDE-4ABA-B93A-64E4A9D13E8A}"/>
    <cellStyle name="Normal 2 4 2 3 2 3 4 4" xfId="10150" xr:uid="{6B99A32C-FBE7-4006-8467-47FB12648AA2}"/>
    <cellStyle name="Normal 2 4 2 3 2 3 4 5" xfId="18598" xr:uid="{BC022640-8604-482D-B776-502ACB47A904}"/>
    <cellStyle name="Normal 2 4 2 3 2 3 4 6" xfId="27045" xr:uid="{47D2821F-00F3-47D3-8039-5CA18EB038E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60E23277-D677-4FE6-A901-CC221567C098}"/>
    <cellStyle name="Normal 2 4 2 3 2 3 5 2 2 3" xfId="25373" xr:uid="{EE07957E-B1A9-46AE-81B7-558D5AE75604}"/>
    <cellStyle name="Normal 2 4 2 3 2 3 5 2 2 4" xfId="33820" xr:uid="{59C06C4D-62E1-4E4C-BFE5-80F077CA3813}"/>
    <cellStyle name="Normal 2 4 2 3 2 3 5 2 3" xfId="12708" xr:uid="{146FE489-DF87-4F8C-81E8-5F0A45BC1F68}"/>
    <cellStyle name="Normal 2 4 2 3 2 3 5 2 4" xfId="21156" xr:uid="{FA377EBE-51C3-46E9-9806-9C2E8B63F234}"/>
    <cellStyle name="Normal 2 4 2 3 2 3 5 2 5" xfId="29603" xr:uid="{79A7A803-B148-40F9-AFBC-E5074E41AF1E}"/>
    <cellStyle name="Normal 2 4 2 3 2 3 5 3" xfId="6331" xr:uid="{00000000-0005-0000-0000-0000D10E0000}"/>
    <cellStyle name="Normal 2 4 2 3 2 3 5 3 2" xfId="14781" xr:uid="{C0BC4070-1864-4F9D-9B24-9FDE2FB3633B}"/>
    <cellStyle name="Normal 2 4 2 3 2 3 5 3 3" xfId="23228" xr:uid="{62D6464A-3350-4B39-B1C4-3557639D41CA}"/>
    <cellStyle name="Normal 2 4 2 3 2 3 5 3 4" xfId="31675" xr:uid="{CC97B027-51AD-483C-AA41-74BB62193426}"/>
    <cellStyle name="Normal 2 4 2 3 2 3 5 4" xfId="10563" xr:uid="{1B84A88E-3870-41A2-8CCE-21B225910790}"/>
    <cellStyle name="Normal 2 4 2 3 2 3 5 5" xfId="19011" xr:uid="{5740B136-3611-45A0-A299-306862559335}"/>
    <cellStyle name="Normal 2 4 2 3 2 3 5 6" xfId="27458" xr:uid="{FCF66104-49F1-41DA-835A-ADF3DED528D7}"/>
    <cellStyle name="Normal 2 4 2 3 2 3 6" xfId="2461" xr:uid="{00000000-0005-0000-0000-0000D20E0000}"/>
    <cellStyle name="Normal 2 4 2 3 2 3 6 2" xfId="6744" xr:uid="{00000000-0005-0000-0000-0000D30E0000}"/>
    <cellStyle name="Normal 2 4 2 3 2 3 6 2 2" xfId="15194" xr:uid="{31FAB6D0-C150-4081-86A8-290B34B172B5}"/>
    <cellStyle name="Normal 2 4 2 3 2 3 6 2 3" xfId="23641" xr:uid="{A5E8E409-F9AC-4ED5-B948-2F66946C3430}"/>
    <cellStyle name="Normal 2 4 2 3 2 3 6 2 4" xfId="32088" xr:uid="{1229FD03-4F40-4085-B502-8B3DC0E8D654}"/>
    <cellStyle name="Normal 2 4 2 3 2 3 6 3" xfId="10976" xr:uid="{9E7433B2-A2BD-4A38-BBD0-61E0A1DA9474}"/>
    <cellStyle name="Normal 2 4 2 3 2 3 6 4" xfId="19424" xr:uid="{CEB7BC76-D72E-4E3D-8B19-24EABDF3AD23}"/>
    <cellStyle name="Normal 2 4 2 3 2 3 6 5" xfId="27871" xr:uid="{8EB16953-D81B-4749-B547-853A8643E0EE}"/>
    <cellStyle name="Normal 2 4 2 3 2 3 7" xfId="4678" xr:uid="{00000000-0005-0000-0000-0000D40E0000}"/>
    <cellStyle name="Normal 2 4 2 3 2 3 7 2" xfId="13128" xr:uid="{E2C5E8FF-E9F6-4504-8E1A-6BDA80862194}"/>
    <cellStyle name="Normal 2 4 2 3 2 3 7 3" xfId="21575" xr:uid="{560A86D0-EC86-4FC9-B10A-AA6E0AF5AC7F}"/>
    <cellStyle name="Normal 2 4 2 3 2 3 7 4" xfId="30022" xr:uid="{4538CA7C-E7D6-4FBF-B643-88856056C37B}"/>
    <cellStyle name="Normal 2 4 2 3 2 3 8" xfId="8910" xr:uid="{9AEC1044-1349-4F2A-BC21-99972D50434E}"/>
    <cellStyle name="Normal 2 4 2 3 2 3 9" xfId="17358" xr:uid="{F35A6DA7-3938-434F-8183-D12F65DF1048}"/>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B61FE84B-97F3-481F-9437-A1384A5AE86C}"/>
    <cellStyle name="Normal 2 4 2 3 2 4 2 2 3" xfId="24131" xr:uid="{3B4BACD5-5E82-4BB8-8568-E4BACF6EF8AD}"/>
    <cellStyle name="Normal 2 4 2 3 2 4 2 2 4" xfId="32578" xr:uid="{4E38576E-05BA-4B48-A6E8-0FEE3D21501C}"/>
    <cellStyle name="Normal 2 4 2 3 2 4 2 3" xfId="11466" xr:uid="{F2226E11-CCAF-441C-9461-AF573317CB9B}"/>
    <cellStyle name="Normal 2 4 2 3 2 4 2 4" xfId="19914" xr:uid="{D28F95AA-80F3-4F30-9875-3B5D98B03716}"/>
    <cellStyle name="Normal 2 4 2 3 2 4 2 5" xfId="28361" xr:uid="{731382A3-55D2-4AD0-8F87-A9940F644289}"/>
    <cellStyle name="Normal 2 4 2 3 2 4 3" xfId="5089" xr:uid="{00000000-0005-0000-0000-0000D80E0000}"/>
    <cellStyle name="Normal 2 4 2 3 2 4 3 2" xfId="13539" xr:uid="{8916E3E8-CE7B-40F4-B9F5-13266D2DCA47}"/>
    <cellStyle name="Normal 2 4 2 3 2 4 3 3" xfId="21986" xr:uid="{72DD9869-A294-4917-9D88-E7376B93E31F}"/>
    <cellStyle name="Normal 2 4 2 3 2 4 3 4" xfId="30433" xr:uid="{CF1B55C0-F5BD-40AB-B2B2-548CE24B8FBC}"/>
    <cellStyle name="Normal 2 4 2 3 2 4 4" xfId="9321" xr:uid="{4781469E-DD66-4905-9143-49716951B9D7}"/>
    <cellStyle name="Normal 2 4 2 3 2 4 5" xfId="17769" xr:uid="{20CB65B8-DF7E-4A0B-8175-3404DF0E3DD6}"/>
    <cellStyle name="Normal 2 4 2 3 2 4 6" xfId="26216" xr:uid="{FC11B780-59F2-4996-80D2-6213E39ACA21}"/>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02FCE162-0008-461C-8D30-12DD7FC9407A}"/>
    <cellStyle name="Normal 2 4 2 3 2 5 2 2 3" xfId="24544" xr:uid="{319D2AA7-E0CB-47C3-96C8-0C6AD92A2380}"/>
    <cellStyle name="Normal 2 4 2 3 2 5 2 2 4" xfId="32991" xr:uid="{AB381C54-B9E7-434C-8FD1-0684EBE0A8E4}"/>
    <cellStyle name="Normal 2 4 2 3 2 5 2 3" xfId="11879" xr:uid="{8F84AD23-40C2-4FBB-B46E-87553716609A}"/>
    <cellStyle name="Normal 2 4 2 3 2 5 2 4" xfId="20327" xr:uid="{AA22ADD2-A3E4-4F65-AA1E-102B03A0972F}"/>
    <cellStyle name="Normal 2 4 2 3 2 5 2 5" xfId="28774" xr:uid="{DF61184B-47A6-4B39-B6B5-9908F2666753}"/>
    <cellStyle name="Normal 2 4 2 3 2 5 3" xfId="5502" xr:uid="{00000000-0005-0000-0000-0000DC0E0000}"/>
    <cellStyle name="Normal 2 4 2 3 2 5 3 2" xfId="13952" xr:uid="{B9BA739A-FBC7-4753-8D1D-669D2DFA88EA}"/>
    <cellStyle name="Normal 2 4 2 3 2 5 3 3" xfId="22399" xr:uid="{A3EC2195-9E7C-4E21-AE93-60E7E508023C}"/>
    <cellStyle name="Normal 2 4 2 3 2 5 3 4" xfId="30846" xr:uid="{3BA5FBDC-98BE-45AB-AF88-B08627290502}"/>
    <cellStyle name="Normal 2 4 2 3 2 5 4" xfId="9734" xr:uid="{DADB0B09-6F29-42BB-839E-C8B48C3ED5BF}"/>
    <cellStyle name="Normal 2 4 2 3 2 5 5" xfId="18182" xr:uid="{AC715FED-983B-43A9-BBB8-38801E368906}"/>
    <cellStyle name="Normal 2 4 2 3 2 5 6" xfId="26629" xr:uid="{A84FA5AC-90C1-4FD6-99D0-F8FA2CEAA9F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7C93FDCF-EECC-4E62-A0DA-5A8EA0D5E903}"/>
    <cellStyle name="Normal 2 4 2 3 2 6 2 2 3" xfId="24957" xr:uid="{5C598D94-22F9-4BCC-9FB2-0CA0C3C29CEA}"/>
    <cellStyle name="Normal 2 4 2 3 2 6 2 2 4" xfId="33404" xr:uid="{3C53BAE8-94FD-43AA-AE5D-DC1902905AFC}"/>
    <cellStyle name="Normal 2 4 2 3 2 6 2 3" xfId="12292" xr:uid="{6D9B8AAC-CFB0-4410-86D3-AE441E282543}"/>
    <cellStyle name="Normal 2 4 2 3 2 6 2 4" xfId="20740" xr:uid="{225B394E-48D5-4F02-AC35-E5482E16DD87}"/>
    <cellStyle name="Normal 2 4 2 3 2 6 2 5" xfId="29187" xr:uid="{BC95CF22-1BB6-4CD7-8409-CC8FD319F75D}"/>
    <cellStyle name="Normal 2 4 2 3 2 6 3" xfId="5915" xr:uid="{00000000-0005-0000-0000-0000E00E0000}"/>
    <cellStyle name="Normal 2 4 2 3 2 6 3 2" xfId="14365" xr:uid="{B0411E80-B35E-4665-90A5-1930BF4A27F9}"/>
    <cellStyle name="Normal 2 4 2 3 2 6 3 3" xfId="22812" xr:uid="{333062A3-8F44-4205-8FB7-A2D8A35D524B}"/>
    <cellStyle name="Normal 2 4 2 3 2 6 3 4" xfId="31259" xr:uid="{91BE0CFB-96A5-4F3C-9B69-743B943F5ED9}"/>
    <cellStyle name="Normal 2 4 2 3 2 6 4" xfId="10147" xr:uid="{F70B575B-8163-4337-97C6-2EACEAF332ED}"/>
    <cellStyle name="Normal 2 4 2 3 2 6 5" xfId="18595" xr:uid="{6FCD7912-AE6A-45F0-B3CD-10C0A5DFF53A}"/>
    <cellStyle name="Normal 2 4 2 3 2 6 6" xfId="27042" xr:uid="{B5EAA591-37AE-4CBD-8509-154F1EE309C3}"/>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7D94E421-BC9E-4D60-BC46-AE13CE39BC27}"/>
    <cellStyle name="Normal 2 4 2 3 2 7 2 2 3" xfId="25370" xr:uid="{F26F0097-78C4-49B8-9E0F-12938A243842}"/>
    <cellStyle name="Normal 2 4 2 3 2 7 2 2 4" xfId="33817" xr:uid="{A26D9168-8F00-4166-BE41-6C836943E4EB}"/>
    <cellStyle name="Normal 2 4 2 3 2 7 2 3" xfId="12705" xr:uid="{DE4E6CEE-EC09-42BF-AD75-5DB997F91065}"/>
    <cellStyle name="Normal 2 4 2 3 2 7 2 4" xfId="21153" xr:uid="{47FA1A9B-892F-4B52-B823-9BEA602473E0}"/>
    <cellStyle name="Normal 2 4 2 3 2 7 2 5" xfId="29600" xr:uid="{2F3A9F10-8CED-4182-9E4B-0ECB5D04B954}"/>
    <cellStyle name="Normal 2 4 2 3 2 7 3" xfId="6328" xr:uid="{00000000-0005-0000-0000-0000E40E0000}"/>
    <cellStyle name="Normal 2 4 2 3 2 7 3 2" xfId="14778" xr:uid="{C03AE854-1741-4ED4-9EDB-6953039A63E2}"/>
    <cellStyle name="Normal 2 4 2 3 2 7 3 3" xfId="23225" xr:uid="{E539AC61-1BEF-42B1-AC96-C610E534E8C9}"/>
    <cellStyle name="Normal 2 4 2 3 2 7 3 4" xfId="31672" xr:uid="{397313B6-5D6F-4CA6-9FA8-8844DE3EE743}"/>
    <cellStyle name="Normal 2 4 2 3 2 7 4" xfId="10560" xr:uid="{9B881985-6265-48B0-8F5F-91237660007D}"/>
    <cellStyle name="Normal 2 4 2 3 2 7 5" xfId="19008" xr:uid="{2FC6199F-E0C2-46AF-BC3D-29B867C34B65}"/>
    <cellStyle name="Normal 2 4 2 3 2 7 6" xfId="27455" xr:uid="{1B303C9F-CEAC-456B-9E06-DAFC2EF94B09}"/>
    <cellStyle name="Normal 2 4 2 3 2 8" xfId="2458" xr:uid="{00000000-0005-0000-0000-0000E50E0000}"/>
    <cellStyle name="Normal 2 4 2 3 2 8 2" xfId="6741" xr:uid="{00000000-0005-0000-0000-0000E60E0000}"/>
    <cellStyle name="Normal 2 4 2 3 2 8 2 2" xfId="15191" xr:uid="{35C5D960-B473-4697-A2C8-5B5918EB6B7F}"/>
    <cellStyle name="Normal 2 4 2 3 2 8 2 3" xfId="23638" xr:uid="{88DF1B11-F8D3-4CCE-A97D-22945E17EA58}"/>
    <cellStyle name="Normal 2 4 2 3 2 8 2 4" xfId="32085" xr:uid="{AF6ECCE9-9BA2-4B2D-9DC2-5D9276BFB214}"/>
    <cellStyle name="Normal 2 4 2 3 2 8 3" xfId="10973" xr:uid="{4D33F592-EA7B-4933-A62B-0E7B9B73F883}"/>
    <cellStyle name="Normal 2 4 2 3 2 8 4" xfId="19421" xr:uid="{81166FEE-F2F6-4FD8-83B0-CA549653CB8C}"/>
    <cellStyle name="Normal 2 4 2 3 2 8 5" xfId="27868" xr:uid="{04856DB7-BD95-4CC2-81BF-5CBC03BF75F2}"/>
    <cellStyle name="Normal 2 4 2 3 2 9" xfId="4675" xr:uid="{00000000-0005-0000-0000-0000E70E0000}"/>
    <cellStyle name="Normal 2 4 2 3 2 9 2" xfId="13125" xr:uid="{446E56C9-E6FF-4DBE-865D-B5D5B5C08A3B}"/>
    <cellStyle name="Normal 2 4 2 3 2 9 3" xfId="21572" xr:uid="{7AA7075C-29EB-4786-B8FA-FCBDE6E6AE38}"/>
    <cellStyle name="Normal 2 4 2 3 2 9 4" xfId="30019" xr:uid="{C2F23760-E728-401C-B8F3-76BB7C06EF8B}"/>
    <cellStyle name="Normal 2 4 2 3 3" xfId="286" xr:uid="{00000000-0005-0000-0000-0000E80E0000}"/>
    <cellStyle name="Normal 2 4 2 3 3 10" xfId="17359" xr:uid="{CF4ACA6F-904C-4D72-8904-1D55F20C2EFE}"/>
    <cellStyle name="Normal 2 4 2 3 3 11" xfId="25806" xr:uid="{774D03AA-9F8F-4C1B-8B8C-E08A99B0FFE3}"/>
    <cellStyle name="Normal 2 4 2 3 3 2" xfId="287" xr:uid="{00000000-0005-0000-0000-0000E90E0000}"/>
    <cellStyle name="Normal 2 4 2 3 3 2 10" xfId="25807" xr:uid="{80F9BCA8-3559-4DDD-99CB-7ABF370C64C2}"/>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35532017-0E6E-441F-8CCD-58B4EEC44BA8}"/>
    <cellStyle name="Normal 2 4 2 3 3 2 2 2 2 3" xfId="24136" xr:uid="{37FD50F7-376E-4F8C-9D82-155D598CC96A}"/>
    <cellStyle name="Normal 2 4 2 3 3 2 2 2 2 4" xfId="32583" xr:uid="{5505B759-C97D-46A7-971A-9968D5A73DF1}"/>
    <cellStyle name="Normal 2 4 2 3 3 2 2 2 3" xfId="11471" xr:uid="{D67B0CBC-1695-4681-8D3E-AED1C1E66384}"/>
    <cellStyle name="Normal 2 4 2 3 3 2 2 2 4" xfId="19919" xr:uid="{391C8A80-DBAF-4C85-988C-FF8E1F15D754}"/>
    <cellStyle name="Normal 2 4 2 3 3 2 2 2 5" xfId="28366" xr:uid="{15548789-BE25-4993-9BE9-E8059D795849}"/>
    <cellStyle name="Normal 2 4 2 3 3 2 2 3" xfId="5094" xr:uid="{00000000-0005-0000-0000-0000ED0E0000}"/>
    <cellStyle name="Normal 2 4 2 3 3 2 2 3 2" xfId="13544" xr:uid="{E711F846-0756-48A8-B7A3-E2D3EA9AA908}"/>
    <cellStyle name="Normal 2 4 2 3 3 2 2 3 3" xfId="21991" xr:uid="{C210C04F-D03B-4491-A809-0C55795113A3}"/>
    <cellStyle name="Normal 2 4 2 3 3 2 2 3 4" xfId="30438" xr:uid="{B260E8AE-F84B-4814-8FF3-2F4B3D544296}"/>
    <cellStyle name="Normal 2 4 2 3 3 2 2 4" xfId="9326" xr:uid="{55624CBF-C0EE-4010-9DE9-142C3B3D860C}"/>
    <cellStyle name="Normal 2 4 2 3 3 2 2 5" xfId="17774" xr:uid="{EE83BCE1-F47C-4552-A222-9F760FF3F9B3}"/>
    <cellStyle name="Normal 2 4 2 3 3 2 2 6" xfId="26221" xr:uid="{EBA38591-F511-457A-9FCA-653B1FCD1D08}"/>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CA1F552F-8F5A-48F6-978F-BD074543F325}"/>
    <cellStyle name="Normal 2 4 2 3 3 2 3 2 2 3" xfId="24549" xr:uid="{20B2AEB9-CDA8-4C4E-8C3F-97D0F246BF09}"/>
    <cellStyle name="Normal 2 4 2 3 3 2 3 2 2 4" xfId="32996" xr:uid="{5E833E34-F84E-4424-B34D-D278429754B0}"/>
    <cellStyle name="Normal 2 4 2 3 3 2 3 2 3" xfId="11884" xr:uid="{8F4C7BEC-0EB8-4B33-BE91-1F79730B46C4}"/>
    <cellStyle name="Normal 2 4 2 3 3 2 3 2 4" xfId="20332" xr:uid="{49C1F292-5C2F-4BAB-AEF4-C65DCED0EA2E}"/>
    <cellStyle name="Normal 2 4 2 3 3 2 3 2 5" xfId="28779" xr:uid="{A3D409A0-5175-4920-A342-6BBFBC0D7724}"/>
    <cellStyle name="Normal 2 4 2 3 3 2 3 3" xfId="5507" xr:uid="{00000000-0005-0000-0000-0000F10E0000}"/>
    <cellStyle name="Normal 2 4 2 3 3 2 3 3 2" xfId="13957" xr:uid="{32437715-FE94-4DC3-972F-CFBE58AF5F7C}"/>
    <cellStyle name="Normal 2 4 2 3 3 2 3 3 3" xfId="22404" xr:uid="{58003E79-33DF-457F-A23B-EAEC69E6A6E7}"/>
    <cellStyle name="Normal 2 4 2 3 3 2 3 3 4" xfId="30851" xr:uid="{AB6684F9-EFE4-4B8D-ABB0-25C46B177346}"/>
    <cellStyle name="Normal 2 4 2 3 3 2 3 4" xfId="9739" xr:uid="{A8754811-FA09-460D-A890-39E30E9E6E19}"/>
    <cellStyle name="Normal 2 4 2 3 3 2 3 5" xfId="18187" xr:uid="{39DE5549-85D6-4733-8A78-CFDD59DE79DF}"/>
    <cellStyle name="Normal 2 4 2 3 3 2 3 6" xfId="26634" xr:uid="{4C490BB3-450D-4B43-BEA9-51DF306F1071}"/>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B55578BC-414D-47B6-87EC-4BCBCB463C64}"/>
    <cellStyle name="Normal 2 4 2 3 3 2 4 2 2 3" xfId="24962" xr:uid="{66EA9B54-44C8-4555-B16E-D88E28CAF0AE}"/>
    <cellStyle name="Normal 2 4 2 3 3 2 4 2 2 4" xfId="33409" xr:uid="{426C56D5-0902-4F4A-B9B5-D75F16B496EE}"/>
    <cellStyle name="Normal 2 4 2 3 3 2 4 2 3" xfId="12297" xr:uid="{5702A795-2280-4941-9DBB-607E503645BB}"/>
    <cellStyle name="Normal 2 4 2 3 3 2 4 2 4" xfId="20745" xr:uid="{60912E68-ECEA-4CB0-953E-682CEA477995}"/>
    <cellStyle name="Normal 2 4 2 3 3 2 4 2 5" xfId="29192" xr:uid="{81D537DD-E242-4A23-AC81-96E976923C4C}"/>
    <cellStyle name="Normal 2 4 2 3 3 2 4 3" xfId="5920" xr:uid="{00000000-0005-0000-0000-0000F50E0000}"/>
    <cellStyle name="Normal 2 4 2 3 3 2 4 3 2" xfId="14370" xr:uid="{726E2542-B668-486E-BDD4-CC056F8F16ED}"/>
    <cellStyle name="Normal 2 4 2 3 3 2 4 3 3" xfId="22817" xr:uid="{3BE1553A-18AA-46F4-8BCC-FD3875037501}"/>
    <cellStyle name="Normal 2 4 2 3 3 2 4 3 4" xfId="31264" xr:uid="{2DDE88AF-C602-43F6-BC3F-422AA0F16593}"/>
    <cellStyle name="Normal 2 4 2 3 3 2 4 4" xfId="10152" xr:uid="{B5A4343E-3EEA-4AD4-AE2A-98D19C561207}"/>
    <cellStyle name="Normal 2 4 2 3 3 2 4 5" xfId="18600" xr:uid="{48C7A770-39EE-460A-BF48-10B39DE534FC}"/>
    <cellStyle name="Normal 2 4 2 3 3 2 4 6" xfId="27047" xr:uid="{78B1B38D-15BB-4DA7-956A-16AC66BFF16E}"/>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CA463011-1495-415E-A1BA-FE35239CEC1F}"/>
    <cellStyle name="Normal 2 4 2 3 3 2 5 2 2 3" xfId="25375" xr:uid="{06A4731A-D475-4ECD-AD47-40B87DF2DD58}"/>
    <cellStyle name="Normal 2 4 2 3 3 2 5 2 2 4" xfId="33822" xr:uid="{BF8CBFCF-38B3-4C72-A5C2-9D7942886575}"/>
    <cellStyle name="Normal 2 4 2 3 3 2 5 2 3" xfId="12710" xr:uid="{197E675E-5696-47D7-A273-CD70F94C2143}"/>
    <cellStyle name="Normal 2 4 2 3 3 2 5 2 4" xfId="21158" xr:uid="{E082674D-9FA7-4F87-BB9D-BE5151EB15B3}"/>
    <cellStyle name="Normal 2 4 2 3 3 2 5 2 5" xfId="29605" xr:uid="{8E236416-E1A3-491D-8953-1DE0CA83B735}"/>
    <cellStyle name="Normal 2 4 2 3 3 2 5 3" xfId="6333" xr:uid="{00000000-0005-0000-0000-0000F90E0000}"/>
    <cellStyle name="Normal 2 4 2 3 3 2 5 3 2" xfId="14783" xr:uid="{3E0897CE-8BF6-4E63-86FB-92B90371A873}"/>
    <cellStyle name="Normal 2 4 2 3 3 2 5 3 3" xfId="23230" xr:uid="{2D02AB9A-6D55-4D08-948F-CA9C2E75F433}"/>
    <cellStyle name="Normal 2 4 2 3 3 2 5 3 4" xfId="31677" xr:uid="{F2C147A7-F0FF-42AA-BAE6-58510764EA27}"/>
    <cellStyle name="Normal 2 4 2 3 3 2 5 4" xfId="10565" xr:uid="{E974B79B-7856-4E21-9304-1B64A5D0B9F7}"/>
    <cellStyle name="Normal 2 4 2 3 3 2 5 5" xfId="19013" xr:uid="{54BEEC52-72AD-4C81-87C3-548A97D69BB3}"/>
    <cellStyle name="Normal 2 4 2 3 3 2 5 6" xfId="27460" xr:uid="{A295CCE1-E2DC-4CC4-87AE-9A1B4EA50F2C}"/>
    <cellStyle name="Normal 2 4 2 3 3 2 6" xfId="2463" xr:uid="{00000000-0005-0000-0000-0000FA0E0000}"/>
    <cellStyle name="Normal 2 4 2 3 3 2 6 2" xfId="6746" xr:uid="{00000000-0005-0000-0000-0000FB0E0000}"/>
    <cellStyle name="Normal 2 4 2 3 3 2 6 2 2" xfId="15196" xr:uid="{068C5696-3A7A-421B-9886-62D07C6547A7}"/>
    <cellStyle name="Normal 2 4 2 3 3 2 6 2 3" xfId="23643" xr:uid="{D733A936-B942-43C0-9928-8670A119EC53}"/>
    <cellStyle name="Normal 2 4 2 3 3 2 6 2 4" xfId="32090" xr:uid="{78B650DF-0782-4A11-A1CE-91D1A7D40994}"/>
    <cellStyle name="Normal 2 4 2 3 3 2 6 3" xfId="10978" xr:uid="{36FA332F-2354-49A2-A326-88162488DA2F}"/>
    <cellStyle name="Normal 2 4 2 3 3 2 6 4" xfId="19426" xr:uid="{C82A774E-E5DF-406A-A92C-7E9F09F64EC6}"/>
    <cellStyle name="Normal 2 4 2 3 3 2 6 5" xfId="27873" xr:uid="{3F4F239E-B44B-4889-B58F-2BDCBA68F10E}"/>
    <cellStyle name="Normal 2 4 2 3 3 2 7" xfId="4680" xr:uid="{00000000-0005-0000-0000-0000FC0E0000}"/>
    <cellStyle name="Normal 2 4 2 3 3 2 7 2" xfId="13130" xr:uid="{A8DE0015-9F33-479F-94D5-C952C9014B9F}"/>
    <cellStyle name="Normal 2 4 2 3 3 2 7 3" xfId="21577" xr:uid="{0F20E020-4380-4162-B0E6-CF64097E73B1}"/>
    <cellStyle name="Normal 2 4 2 3 3 2 7 4" xfId="30024" xr:uid="{14507766-34E1-4A55-8CAD-56B3834C2233}"/>
    <cellStyle name="Normal 2 4 2 3 3 2 8" xfId="8912" xr:uid="{9080BBC0-2DBF-429D-B74C-B89BE74173A4}"/>
    <cellStyle name="Normal 2 4 2 3 3 2 9" xfId="17360" xr:uid="{DD00F3D7-5F46-422D-B5D1-42F5FD2CA9CF}"/>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03545616-653D-486E-9D92-14E96C9AA726}"/>
    <cellStyle name="Normal 2 4 2 3 3 3 2 2 3" xfId="24135" xr:uid="{DF11B01A-21AE-4B7D-83EE-DF5C0260DA1A}"/>
    <cellStyle name="Normal 2 4 2 3 3 3 2 2 4" xfId="32582" xr:uid="{97E5DBFB-673E-4A1D-9A92-58148265F9F5}"/>
    <cellStyle name="Normal 2 4 2 3 3 3 2 3" xfId="11470" xr:uid="{CAEC81E0-3103-426E-A034-B07623F9251E}"/>
    <cellStyle name="Normal 2 4 2 3 3 3 2 4" xfId="19918" xr:uid="{B58C07C1-C160-4132-BED9-09DEF4AB9E98}"/>
    <cellStyle name="Normal 2 4 2 3 3 3 2 5" xfId="28365" xr:uid="{9029EB65-9C6B-4726-ACFD-36DD35D43C0D}"/>
    <cellStyle name="Normal 2 4 2 3 3 3 3" xfId="5093" xr:uid="{00000000-0005-0000-0000-0000000F0000}"/>
    <cellStyle name="Normal 2 4 2 3 3 3 3 2" xfId="13543" xr:uid="{5BC80C4B-FDAF-4F45-9286-0CE6556E5BC5}"/>
    <cellStyle name="Normal 2 4 2 3 3 3 3 3" xfId="21990" xr:uid="{ADAAF809-D38F-4869-AF5F-941100A5C0A6}"/>
    <cellStyle name="Normal 2 4 2 3 3 3 3 4" xfId="30437" xr:uid="{EB255458-0D68-4125-807D-CE497B98B4E9}"/>
    <cellStyle name="Normal 2 4 2 3 3 3 4" xfId="9325" xr:uid="{B8BA799E-3E6F-4AC0-88A1-0FAC22D8F5B2}"/>
    <cellStyle name="Normal 2 4 2 3 3 3 5" xfId="17773" xr:uid="{DD0596D5-4928-4DD3-B357-41F7B0968617}"/>
    <cellStyle name="Normal 2 4 2 3 3 3 6" xfId="26220" xr:uid="{D0759831-D0D9-4DBB-B002-9E02EBAA1626}"/>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2ED1710D-F75B-420F-9E2D-F42F15218A7E}"/>
    <cellStyle name="Normal 2 4 2 3 3 4 2 2 3" xfId="24548" xr:uid="{8265B785-B139-45C7-BC33-7EDD9BC035B9}"/>
    <cellStyle name="Normal 2 4 2 3 3 4 2 2 4" xfId="32995" xr:uid="{09492B78-7E74-48BE-ACA6-0FFB705C88A7}"/>
    <cellStyle name="Normal 2 4 2 3 3 4 2 3" xfId="11883" xr:uid="{6420E803-7B16-4A83-B494-BBAB985FA8A9}"/>
    <cellStyle name="Normal 2 4 2 3 3 4 2 4" xfId="20331" xr:uid="{13DBBF6D-E7EF-45EC-9EE5-A5587329EFCE}"/>
    <cellStyle name="Normal 2 4 2 3 3 4 2 5" xfId="28778" xr:uid="{1AA85F3E-A9B0-440A-AE9C-90411AE753CA}"/>
    <cellStyle name="Normal 2 4 2 3 3 4 3" xfId="5506" xr:uid="{00000000-0005-0000-0000-0000040F0000}"/>
    <cellStyle name="Normal 2 4 2 3 3 4 3 2" xfId="13956" xr:uid="{82FE45A5-AB5B-46F2-95A7-380FEA4B86B9}"/>
    <cellStyle name="Normal 2 4 2 3 3 4 3 3" xfId="22403" xr:uid="{4A8A5730-765B-47B4-AD0C-344EE36A9ED0}"/>
    <cellStyle name="Normal 2 4 2 3 3 4 3 4" xfId="30850" xr:uid="{0F21DC7B-AA94-4488-9747-2EF5A76B688C}"/>
    <cellStyle name="Normal 2 4 2 3 3 4 4" xfId="9738" xr:uid="{269FC849-2461-4549-8293-30BDF76E4AD3}"/>
    <cellStyle name="Normal 2 4 2 3 3 4 5" xfId="18186" xr:uid="{BE74A7CA-9673-4089-8C36-87E18C48B150}"/>
    <cellStyle name="Normal 2 4 2 3 3 4 6" xfId="26633" xr:uid="{5329D8C7-56F2-4873-89FA-87556055131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7BB6F3B9-363F-4E30-A892-29C15EB95CAB}"/>
    <cellStyle name="Normal 2 4 2 3 3 5 2 2 3" xfId="24961" xr:uid="{B1B03176-17B9-4DCD-A849-989FFFF81189}"/>
    <cellStyle name="Normal 2 4 2 3 3 5 2 2 4" xfId="33408" xr:uid="{408B9313-E4C4-4401-8181-64AA4D447F4D}"/>
    <cellStyle name="Normal 2 4 2 3 3 5 2 3" xfId="12296" xr:uid="{46DBFC1D-A05F-4BDF-A84F-CAF518AC9F21}"/>
    <cellStyle name="Normal 2 4 2 3 3 5 2 4" xfId="20744" xr:uid="{3AC4B266-CFB2-486C-B9F0-2C780F0275A9}"/>
    <cellStyle name="Normal 2 4 2 3 3 5 2 5" xfId="29191" xr:uid="{DFC1B90F-7962-43AF-BBBB-FDA7999415E4}"/>
    <cellStyle name="Normal 2 4 2 3 3 5 3" xfId="5919" xr:uid="{00000000-0005-0000-0000-0000080F0000}"/>
    <cellStyle name="Normal 2 4 2 3 3 5 3 2" xfId="14369" xr:uid="{C0882E08-3069-4BD7-9654-6751ED788D79}"/>
    <cellStyle name="Normal 2 4 2 3 3 5 3 3" xfId="22816" xr:uid="{0435FEEE-6EC8-4D25-BD1F-07176282AAF0}"/>
    <cellStyle name="Normal 2 4 2 3 3 5 3 4" xfId="31263" xr:uid="{AD3008B2-F1DD-413C-A55E-AD80980A64C6}"/>
    <cellStyle name="Normal 2 4 2 3 3 5 4" xfId="10151" xr:uid="{30295E18-473C-4E98-93E1-2633E2635CC2}"/>
    <cellStyle name="Normal 2 4 2 3 3 5 5" xfId="18599" xr:uid="{3E758CD0-BFAF-45DB-8077-5C0D6320872C}"/>
    <cellStyle name="Normal 2 4 2 3 3 5 6" xfId="27046" xr:uid="{E61048D6-47B1-4A8D-8A08-14859C3FEB2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C7CECD7A-0F1E-4E30-A71B-37BE8875654E}"/>
    <cellStyle name="Normal 2 4 2 3 3 6 2 2 3" xfId="25374" xr:uid="{6012AA87-68D3-4EA6-AD86-60658AEE983F}"/>
    <cellStyle name="Normal 2 4 2 3 3 6 2 2 4" xfId="33821" xr:uid="{A766F748-99FB-416B-AE2B-56A7DBFBE80F}"/>
    <cellStyle name="Normal 2 4 2 3 3 6 2 3" xfId="12709" xr:uid="{F7C52E0E-A648-4876-9C17-DFA2F233A210}"/>
    <cellStyle name="Normal 2 4 2 3 3 6 2 4" xfId="21157" xr:uid="{B5BAF5DF-9B9D-4FE8-934E-D84BAE5519A0}"/>
    <cellStyle name="Normal 2 4 2 3 3 6 2 5" xfId="29604" xr:uid="{BED243C1-A79B-4490-B4B8-CC5458F981FE}"/>
    <cellStyle name="Normal 2 4 2 3 3 6 3" xfId="6332" xr:uid="{00000000-0005-0000-0000-00000C0F0000}"/>
    <cellStyle name="Normal 2 4 2 3 3 6 3 2" xfId="14782" xr:uid="{802C0213-1400-4F23-965D-0F3EC6E93C1B}"/>
    <cellStyle name="Normal 2 4 2 3 3 6 3 3" xfId="23229" xr:uid="{ACB7AEAC-7FBF-4630-A7B4-1F8483774E66}"/>
    <cellStyle name="Normal 2 4 2 3 3 6 3 4" xfId="31676" xr:uid="{E94208D6-77A4-4ECE-9207-7E1F98DB43AE}"/>
    <cellStyle name="Normal 2 4 2 3 3 6 4" xfId="10564" xr:uid="{6766C14C-86DD-4582-A2D2-8638F19D5D15}"/>
    <cellStyle name="Normal 2 4 2 3 3 6 5" xfId="19012" xr:uid="{BFC414C6-88F7-4776-9621-CAFB275C23AF}"/>
    <cellStyle name="Normal 2 4 2 3 3 6 6" xfId="27459" xr:uid="{EC65DE9A-4782-46AC-B831-AD349FA9728B}"/>
    <cellStyle name="Normal 2 4 2 3 3 7" xfId="2462" xr:uid="{00000000-0005-0000-0000-00000D0F0000}"/>
    <cellStyle name="Normal 2 4 2 3 3 7 2" xfId="6745" xr:uid="{00000000-0005-0000-0000-00000E0F0000}"/>
    <cellStyle name="Normal 2 4 2 3 3 7 2 2" xfId="15195" xr:uid="{8BF1BC68-11AA-4A9C-ACB8-340CC8C070A4}"/>
    <cellStyle name="Normal 2 4 2 3 3 7 2 3" xfId="23642" xr:uid="{97C50C8A-4127-4B41-B460-AE9B04888973}"/>
    <cellStyle name="Normal 2 4 2 3 3 7 2 4" xfId="32089" xr:uid="{A93FA204-4CB8-48B4-921A-9DD79213F043}"/>
    <cellStyle name="Normal 2 4 2 3 3 7 3" xfId="10977" xr:uid="{98B8518B-A420-4308-8D4F-CA7C7E3737E6}"/>
    <cellStyle name="Normal 2 4 2 3 3 7 4" xfId="19425" xr:uid="{4F7BFAF6-A0A1-40DF-9812-BF845ED8F925}"/>
    <cellStyle name="Normal 2 4 2 3 3 7 5" xfId="27872" xr:uid="{B28D9986-2E59-4D22-8065-68FB86FE5603}"/>
    <cellStyle name="Normal 2 4 2 3 3 8" xfId="4679" xr:uid="{00000000-0005-0000-0000-00000F0F0000}"/>
    <cellStyle name="Normal 2 4 2 3 3 8 2" xfId="13129" xr:uid="{721C3D67-7386-4CC7-9785-C79D854B2490}"/>
    <cellStyle name="Normal 2 4 2 3 3 8 3" xfId="21576" xr:uid="{C4540FCE-4C22-4305-B688-88F6CD262F6C}"/>
    <cellStyle name="Normal 2 4 2 3 3 8 4" xfId="30023" xr:uid="{EDCCD4E4-A53D-4184-B56D-AE1FA2C2F45A}"/>
    <cellStyle name="Normal 2 4 2 3 3 9" xfId="8911" xr:uid="{04159706-C85E-4410-9E21-226696C63548}"/>
    <cellStyle name="Normal 2 4 2 3 4" xfId="288" xr:uid="{00000000-0005-0000-0000-0000100F0000}"/>
    <cellStyle name="Normal 2 4 2 3 4 10" xfId="25808" xr:uid="{3D330FC0-9249-401E-8376-29110DA13FE1}"/>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A349050C-FF85-4DEE-A391-D5764E3D6595}"/>
    <cellStyle name="Normal 2 4 2 3 4 2 2 2 3" xfId="24137" xr:uid="{F814FFC2-DAC4-4C9D-A16E-838EB8C5FCC4}"/>
    <cellStyle name="Normal 2 4 2 3 4 2 2 2 4" xfId="32584" xr:uid="{081880C6-CABB-400F-A65F-6CC09006E946}"/>
    <cellStyle name="Normal 2 4 2 3 4 2 2 3" xfId="11472" xr:uid="{74BBD44F-3664-4264-9793-0F1344E3258C}"/>
    <cellStyle name="Normal 2 4 2 3 4 2 2 4" xfId="19920" xr:uid="{C3A79D2B-04B5-4710-9C19-5C68492AA411}"/>
    <cellStyle name="Normal 2 4 2 3 4 2 2 5" xfId="28367" xr:uid="{8ABD7EE6-9B69-49A0-AA9A-DF500B6AC279}"/>
    <cellStyle name="Normal 2 4 2 3 4 2 3" xfId="5095" xr:uid="{00000000-0005-0000-0000-0000140F0000}"/>
    <cellStyle name="Normal 2 4 2 3 4 2 3 2" xfId="13545" xr:uid="{7FC43FCD-FFCC-44B9-AB14-0BA591B5677F}"/>
    <cellStyle name="Normal 2 4 2 3 4 2 3 3" xfId="21992" xr:uid="{63DF223A-F3B6-47C0-AFEB-215EEFFCA01F}"/>
    <cellStyle name="Normal 2 4 2 3 4 2 3 4" xfId="30439" xr:uid="{26D6A912-AB74-47C7-8B3C-14C5FEC6968C}"/>
    <cellStyle name="Normal 2 4 2 3 4 2 4" xfId="9327" xr:uid="{7FFC6ACF-4EF7-4867-BDE8-6B5B0CAD8CD4}"/>
    <cellStyle name="Normal 2 4 2 3 4 2 5" xfId="17775" xr:uid="{8415A6EF-BF62-4993-8E6D-011548E2DF8D}"/>
    <cellStyle name="Normal 2 4 2 3 4 2 6" xfId="26222" xr:uid="{AFEB4A8F-E788-405F-AAEF-9CFD2481E76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EA52CC82-BB24-4682-BA15-3FEE31A22E04}"/>
    <cellStyle name="Normal 2 4 2 3 4 3 2 2 3" xfId="24550" xr:uid="{0AA607FB-F0A8-4C5E-81C4-9C6280BF6826}"/>
    <cellStyle name="Normal 2 4 2 3 4 3 2 2 4" xfId="32997" xr:uid="{C6565967-9AF6-45A1-8E2F-C1AD0FFF3E73}"/>
    <cellStyle name="Normal 2 4 2 3 4 3 2 3" xfId="11885" xr:uid="{A1C0C9F4-14FB-4DD9-92BF-3A71F9FC5EA4}"/>
    <cellStyle name="Normal 2 4 2 3 4 3 2 4" xfId="20333" xr:uid="{A1CB117E-938C-4BAF-92AF-BA77B012A779}"/>
    <cellStyle name="Normal 2 4 2 3 4 3 2 5" xfId="28780" xr:uid="{42B775D5-9C9F-4DAA-8EB1-131E2A19A302}"/>
    <cellStyle name="Normal 2 4 2 3 4 3 3" xfId="5508" xr:uid="{00000000-0005-0000-0000-0000180F0000}"/>
    <cellStyle name="Normal 2 4 2 3 4 3 3 2" xfId="13958" xr:uid="{B8380FA1-D090-44B4-B0E9-34EF91C80C78}"/>
    <cellStyle name="Normal 2 4 2 3 4 3 3 3" xfId="22405" xr:uid="{AEB547F7-2684-4E05-83AC-6D73105640F9}"/>
    <cellStyle name="Normal 2 4 2 3 4 3 3 4" xfId="30852" xr:uid="{AF44C957-782E-414F-BBDD-E119E5E32555}"/>
    <cellStyle name="Normal 2 4 2 3 4 3 4" xfId="9740" xr:uid="{04AA5658-E8BF-4905-9210-7554D53B4F4B}"/>
    <cellStyle name="Normal 2 4 2 3 4 3 5" xfId="18188" xr:uid="{7DA86B9E-7535-4FB6-ABD9-3E2EDB715698}"/>
    <cellStyle name="Normal 2 4 2 3 4 3 6" xfId="26635" xr:uid="{6ACC1F1A-6142-4ECC-94A7-3B64CCABAC3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1F66F9B5-FF64-4269-AF9C-2C5F36F6FF04}"/>
    <cellStyle name="Normal 2 4 2 3 4 4 2 2 3" xfId="24963" xr:uid="{9E39263F-94EF-4F79-A2A6-3259C88A3463}"/>
    <cellStyle name="Normal 2 4 2 3 4 4 2 2 4" xfId="33410" xr:uid="{3742F85E-5B23-4BF5-8FE4-EE7B79521968}"/>
    <cellStyle name="Normal 2 4 2 3 4 4 2 3" xfId="12298" xr:uid="{0E6FCED4-EC4A-42D1-9144-DCD8DFB30559}"/>
    <cellStyle name="Normal 2 4 2 3 4 4 2 4" xfId="20746" xr:uid="{E72519E8-392D-495B-93E0-4C4496017050}"/>
    <cellStyle name="Normal 2 4 2 3 4 4 2 5" xfId="29193" xr:uid="{E369CE34-56AA-476C-86EC-F94BA3BF1587}"/>
    <cellStyle name="Normal 2 4 2 3 4 4 3" xfId="5921" xr:uid="{00000000-0005-0000-0000-00001C0F0000}"/>
    <cellStyle name="Normal 2 4 2 3 4 4 3 2" xfId="14371" xr:uid="{B75A121D-8200-4EA2-99CA-D5F6CEB6F20A}"/>
    <cellStyle name="Normal 2 4 2 3 4 4 3 3" xfId="22818" xr:uid="{006C13EF-BC3F-4FBC-A5FE-55083DC76F86}"/>
    <cellStyle name="Normal 2 4 2 3 4 4 3 4" xfId="31265" xr:uid="{B874AC7E-0423-4BB0-9B9F-DFBA2A4A1937}"/>
    <cellStyle name="Normal 2 4 2 3 4 4 4" xfId="10153" xr:uid="{246A420C-2A79-4542-B40C-01D693880E4A}"/>
    <cellStyle name="Normal 2 4 2 3 4 4 5" xfId="18601" xr:uid="{0B17E0DB-89D2-4797-8D11-92FC87E11463}"/>
    <cellStyle name="Normal 2 4 2 3 4 4 6" xfId="27048" xr:uid="{7640C086-880C-47EF-95EF-53613C7256E6}"/>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B7F7FEC9-4626-4B56-864A-D7110A1DBB47}"/>
    <cellStyle name="Normal 2 4 2 3 4 5 2 2 3" xfId="25376" xr:uid="{CDA63968-30F7-4BFB-8471-82D23E2EADBD}"/>
    <cellStyle name="Normal 2 4 2 3 4 5 2 2 4" xfId="33823" xr:uid="{38598B02-0696-477F-99DB-F9E992B136A2}"/>
    <cellStyle name="Normal 2 4 2 3 4 5 2 3" xfId="12711" xr:uid="{AD2A1FF8-AB75-4C75-AD00-761C1D145825}"/>
    <cellStyle name="Normal 2 4 2 3 4 5 2 4" xfId="21159" xr:uid="{8AC79237-36A1-412E-8398-DAC1995F3920}"/>
    <cellStyle name="Normal 2 4 2 3 4 5 2 5" xfId="29606" xr:uid="{8F113A74-E33D-4C18-978F-83639AEDD823}"/>
    <cellStyle name="Normal 2 4 2 3 4 5 3" xfId="6334" xr:uid="{00000000-0005-0000-0000-0000200F0000}"/>
    <cellStyle name="Normal 2 4 2 3 4 5 3 2" xfId="14784" xr:uid="{E609EB2F-44A8-4AC3-B027-D2B61DFE9712}"/>
    <cellStyle name="Normal 2 4 2 3 4 5 3 3" xfId="23231" xr:uid="{6856C802-2470-4D8F-BA42-F0F8DD6918DC}"/>
    <cellStyle name="Normal 2 4 2 3 4 5 3 4" xfId="31678" xr:uid="{E7FD5256-7377-4229-84A1-DFD8EF74DC3E}"/>
    <cellStyle name="Normal 2 4 2 3 4 5 4" xfId="10566" xr:uid="{748D8883-D7AA-4FA6-A456-455F65CF1892}"/>
    <cellStyle name="Normal 2 4 2 3 4 5 5" xfId="19014" xr:uid="{06D9B115-1B8D-4A15-977B-C3D59E5C14B2}"/>
    <cellStyle name="Normal 2 4 2 3 4 5 6" xfId="27461" xr:uid="{29C2FF59-5899-4DA9-8598-305A5E37881A}"/>
    <cellStyle name="Normal 2 4 2 3 4 6" xfId="2464" xr:uid="{00000000-0005-0000-0000-0000210F0000}"/>
    <cellStyle name="Normal 2 4 2 3 4 6 2" xfId="6747" xr:uid="{00000000-0005-0000-0000-0000220F0000}"/>
    <cellStyle name="Normal 2 4 2 3 4 6 2 2" xfId="15197" xr:uid="{E446DA40-F9D9-4BF8-B6FB-6ECA0E340272}"/>
    <cellStyle name="Normal 2 4 2 3 4 6 2 3" xfId="23644" xr:uid="{18FFAC93-B228-4F2F-AA69-E9C367F2EB7C}"/>
    <cellStyle name="Normal 2 4 2 3 4 6 2 4" xfId="32091" xr:uid="{B86A51DC-1290-485A-8A05-C9E3B5220845}"/>
    <cellStyle name="Normal 2 4 2 3 4 6 3" xfId="10979" xr:uid="{0F4D4573-AFC3-4DEA-9493-7372CB48085A}"/>
    <cellStyle name="Normal 2 4 2 3 4 6 4" xfId="19427" xr:uid="{AAB57205-81D2-40C4-869F-F6D3F1C78406}"/>
    <cellStyle name="Normal 2 4 2 3 4 6 5" xfId="27874" xr:uid="{A8773421-2B3F-4F23-90EE-516BAED262EA}"/>
    <cellStyle name="Normal 2 4 2 3 4 7" xfId="4681" xr:uid="{00000000-0005-0000-0000-0000230F0000}"/>
    <cellStyle name="Normal 2 4 2 3 4 7 2" xfId="13131" xr:uid="{F6E89EF4-2DD8-47D7-A09E-76F11D2DB779}"/>
    <cellStyle name="Normal 2 4 2 3 4 7 3" xfId="21578" xr:uid="{9C3A0A1C-A712-4EB9-8CD1-D5F39CFDEC8B}"/>
    <cellStyle name="Normal 2 4 2 3 4 7 4" xfId="30025" xr:uid="{8D4D6E1E-FC4E-46DF-953E-A1F92D3E2177}"/>
    <cellStyle name="Normal 2 4 2 3 4 8" xfId="8913" xr:uid="{59B5DC81-D352-4267-A79F-0716AAB6A107}"/>
    <cellStyle name="Normal 2 4 2 3 4 9" xfId="17361" xr:uid="{C7CA1678-07B7-4B2D-945E-0CA129D81C5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C457277F-C605-47B3-8F8F-E9182BBD0447}"/>
    <cellStyle name="Normal 2 4 2 3 5 2 2 3" xfId="24130" xr:uid="{B1E68731-1607-47BA-B6BF-20E432DF4202}"/>
    <cellStyle name="Normal 2 4 2 3 5 2 2 4" xfId="32577" xr:uid="{2C7DD4BA-8153-41EE-B96E-808B77ED4F5E}"/>
    <cellStyle name="Normal 2 4 2 3 5 2 3" xfId="11465" xr:uid="{735C5C42-EEC7-4C59-B98D-B753070C86ED}"/>
    <cellStyle name="Normal 2 4 2 3 5 2 4" xfId="19913" xr:uid="{92F61CCB-9E08-4524-870F-A3FA827E4139}"/>
    <cellStyle name="Normal 2 4 2 3 5 2 5" xfId="28360" xr:uid="{15B4A98A-758A-4B99-ABA2-F9D3576433D6}"/>
    <cellStyle name="Normal 2 4 2 3 5 3" xfId="5088" xr:uid="{00000000-0005-0000-0000-0000270F0000}"/>
    <cellStyle name="Normal 2 4 2 3 5 3 2" xfId="13538" xr:uid="{850A7D3B-527D-42A0-8D76-6B1ED647BD8C}"/>
    <cellStyle name="Normal 2 4 2 3 5 3 3" xfId="21985" xr:uid="{AD15FC13-3BE5-4574-9099-F046BF51754C}"/>
    <cellStyle name="Normal 2 4 2 3 5 3 4" xfId="30432" xr:uid="{C10E4374-6891-4612-A59F-72AB58F94DB7}"/>
    <cellStyle name="Normal 2 4 2 3 5 4" xfId="9320" xr:uid="{DE92192D-87A6-4371-99A4-261A9C2F1EEE}"/>
    <cellStyle name="Normal 2 4 2 3 5 5" xfId="17768" xr:uid="{9BFA0403-E4A8-47C7-A13F-0EE1B3AB3667}"/>
    <cellStyle name="Normal 2 4 2 3 5 6" xfId="26215" xr:uid="{CA4D4EA5-E064-4708-864E-43D4A18F18A4}"/>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BD9D4C19-F358-4E02-8823-C3D521B88CB9}"/>
    <cellStyle name="Normal 2 4 2 3 6 2 2 3" xfId="24543" xr:uid="{8904094B-926D-4E88-8A3E-8AC647050D48}"/>
    <cellStyle name="Normal 2 4 2 3 6 2 2 4" xfId="32990" xr:uid="{964F2E44-CCCB-46CC-B8A0-2AB66434B147}"/>
    <cellStyle name="Normal 2 4 2 3 6 2 3" xfId="11878" xr:uid="{7E061170-638A-47BE-8E5F-1F2565DC8D7B}"/>
    <cellStyle name="Normal 2 4 2 3 6 2 4" xfId="20326" xr:uid="{921FD606-6E0A-428C-A1D8-59333C6E69A0}"/>
    <cellStyle name="Normal 2 4 2 3 6 2 5" xfId="28773" xr:uid="{75FE9440-FD26-4FA3-80F2-AEDB8E342622}"/>
    <cellStyle name="Normal 2 4 2 3 6 3" xfId="5501" xr:uid="{00000000-0005-0000-0000-00002B0F0000}"/>
    <cellStyle name="Normal 2 4 2 3 6 3 2" xfId="13951" xr:uid="{C50ED146-6497-4284-BB19-AE92C6437B0D}"/>
    <cellStyle name="Normal 2 4 2 3 6 3 3" xfId="22398" xr:uid="{134CBC55-33F2-49C5-8012-9A63D3DE0E50}"/>
    <cellStyle name="Normal 2 4 2 3 6 3 4" xfId="30845" xr:uid="{F5E39753-CDA6-4133-BEF1-EDA4DA4C6325}"/>
    <cellStyle name="Normal 2 4 2 3 6 4" xfId="9733" xr:uid="{93182893-794B-4619-847A-AF6CCDCCA435}"/>
    <cellStyle name="Normal 2 4 2 3 6 5" xfId="18181" xr:uid="{1728601E-9EDD-4DBD-B319-6E3FDEFDCEA1}"/>
    <cellStyle name="Normal 2 4 2 3 6 6" xfId="26628" xr:uid="{0C501D51-1E26-4909-8D56-8395B90EF363}"/>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3AE1B097-836A-424F-B395-C12CEE86AC7C}"/>
    <cellStyle name="Normal 2 4 2 3 7 2 2 3" xfId="24956" xr:uid="{FE7D4F3A-5FE8-41E8-B675-89104A8D9FF5}"/>
    <cellStyle name="Normal 2 4 2 3 7 2 2 4" xfId="33403" xr:uid="{4FDCF1E7-2BD4-4402-8D0E-EB572F61BD92}"/>
    <cellStyle name="Normal 2 4 2 3 7 2 3" xfId="12291" xr:uid="{3EF629F0-C410-4AD9-B8B8-5F2B4E9B4332}"/>
    <cellStyle name="Normal 2 4 2 3 7 2 4" xfId="20739" xr:uid="{9C14597D-060B-4769-9FE4-933D93251BAA}"/>
    <cellStyle name="Normal 2 4 2 3 7 2 5" xfId="29186" xr:uid="{F79573F7-2837-427A-A5FA-3B317F34E8B3}"/>
    <cellStyle name="Normal 2 4 2 3 7 3" xfId="5914" xr:uid="{00000000-0005-0000-0000-00002F0F0000}"/>
    <cellStyle name="Normal 2 4 2 3 7 3 2" xfId="14364" xr:uid="{2F0A90D8-FD88-4EE3-972F-5F0BDA8416B7}"/>
    <cellStyle name="Normal 2 4 2 3 7 3 3" xfId="22811" xr:uid="{626E5F65-648A-49C9-B945-04800C1FDAAD}"/>
    <cellStyle name="Normal 2 4 2 3 7 3 4" xfId="31258" xr:uid="{CFBFD13C-8F85-465A-9337-93DDE717ABCA}"/>
    <cellStyle name="Normal 2 4 2 3 7 4" xfId="10146" xr:uid="{39061B28-4307-48DA-BD0E-4D1B34C4FFC8}"/>
    <cellStyle name="Normal 2 4 2 3 7 5" xfId="18594" xr:uid="{B0FBFA5D-ECBE-43FA-B3FE-874C218EFD57}"/>
    <cellStyle name="Normal 2 4 2 3 7 6" xfId="27041" xr:uid="{DD8EF09D-075B-4E17-9B40-3900F7DD4D6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A8862037-AADA-4FDF-9659-0984DBCEC12C}"/>
    <cellStyle name="Normal 2 4 2 3 8 2 2 3" xfId="25369" xr:uid="{A8544648-F797-41D8-8B09-FD28254E50A2}"/>
    <cellStyle name="Normal 2 4 2 3 8 2 2 4" xfId="33816" xr:uid="{FBAE217C-BFCB-4045-8900-BA40730DAE59}"/>
    <cellStyle name="Normal 2 4 2 3 8 2 3" xfId="12704" xr:uid="{A092B706-9165-4A53-88FD-FDD94ACA0FF4}"/>
    <cellStyle name="Normal 2 4 2 3 8 2 4" xfId="21152" xr:uid="{2AC01961-3780-4881-BA73-78A14721D26D}"/>
    <cellStyle name="Normal 2 4 2 3 8 2 5" xfId="29599" xr:uid="{4E3012F7-D1E5-48D8-9716-76DF18645AAC}"/>
    <cellStyle name="Normal 2 4 2 3 8 3" xfId="6327" xr:uid="{00000000-0005-0000-0000-0000330F0000}"/>
    <cellStyle name="Normal 2 4 2 3 8 3 2" xfId="14777" xr:uid="{1F731C83-C317-4A8B-98EF-024A9032B042}"/>
    <cellStyle name="Normal 2 4 2 3 8 3 3" xfId="23224" xr:uid="{C334C3F2-9CCF-44FD-949F-8696B397CDCA}"/>
    <cellStyle name="Normal 2 4 2 3 8 3 4" xfId="31671" xr:uid="{62A97915-E8CB-4BF3-9B5C-144ED662AFD3}"/>
    <cellStyle name="Normal 2 4 2 3 8 4" xfId="10559" xr:uid="{42A58CB2-E33C-43F6-B0CF-09495C120DCA}"/>
    <cellStyle name="Normal 2 4 2 3 8 5" xfId="19007" xr:uid="{C0283084-915F-477F-B225-C5F990747B78}"/>
    <cellStyle name="Normal 2 4 2 3 8 6" xfId="27454" xr:uid="{326E6944-A489-41F3-9ADF-9B515C559DF6}"/>
    <cellStyle name="Normal 2 4 2 3 9" xfId="2457" xr:uid="{00000000-0005-0000-0000-0000340F0000}"/>
    <cellStyle name="Normal 2 4 2 3 9 2" xfId="6740" xr:uid="{00000000-0005-0000-0000-0000350F0000}"/>
    <cellStyle name="Normal 2 4 2 3 9 2 2" xfId="15190" xr:uid="{B5C61939-35A7-49D0-A739-EED04CE114C5}"/>
    <cellStyle name="Normal 2 4 2 3 9 2 3" xfId="23637" xr:uid="{48D0A918-7924-41BC-BA6D-F3C8F4622C04}"/>
    <cellStyle name="Normal 2 4 2 3 9 2 4" xfId="32084" xr:uid="{445AE10C-7205-45D1-8E90-C3908AD3108B}"/>
    <cellStyle name="Normal 2 4 2 3 9 3" xfId="10972" xr:uid="{2A2B6B5C-0452-4A15-8A71-549A78C6DD65}"/>
    <cellStyle name="Normal 2 4 2 3 9 4" xfId="19420" xr:uid="{72FD3C55-7336-42A0-B6B9-CED95F0C36C0}"/>
    <cellStyle name="Normal 2 4 2 3 9 5" xfId="27867" xr:uid="{1AD8EB9F-2B29-4135-96D5-42ACA91A7390}"/>
    <cellStyle name="Normal 2 4 2 4" xfId="289" xr:uid="{00000000-0005-0000-0000-0000360F0000}"/>
    <cellStyle name="Normal 2 4 2 4 10" xfId="8914" xr:uid="{519A6AC3-0889-4957-A4AA-2C4DCC15D5F5}"/>
    <cellStyle name="Normal 2 4 2 4 11" xfId="17362" xr:uid="{04505ACC-FEEC-4889-89E8-D88BD4FB895B}"/>
    <cellStyle name="Normal 2 4 2 4 12" xfId="25809" xr:uid="{F041DA1A-C45A-4485-8E66-FBF010CA59D3}"/>
    <cellStyle name="Normal 2 4 2 4 2" xfId="290" xr:uid="{00000000-0005-0000-0000-0000370F0000}"/>
    <cellStyle name="Normal 2 4 2 4 2 10" xfId="17363" xr:uid="{7F129E98-69C2-4CB3-9E6D-82CCCEA0EE32}"/>
    <cellStyle name="Normal 2 4 2 4 2 11" xfId="25810" xr:uid="{0D7E9C82-93E5-4FFF-A46A-BEF4DA95094F}"/>
    <cellStyle name="Normal 2 4 2 4 2 2" xfId="291" xr:uid="{00000000-0005-0000-0000-0000380F0000}"/>
    <cellStyle name="Normal 2 4 2 4 2 2 10" xfId="25811" xr:uid="{9CA8D1A2-20E0-4B59-9B8D-AD9C7D2078A1}"/>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FCCEC3AF-9332-476B-9485-328C6DE56533}"/>
    <cellStyle name="Normal 2 4 2 4 2 2 2 2 2 3" xfId="24140" xr:uid="{392E4FAF-F036-4927-ADCB-F211C6DBDA1A}"/>
    <cellStyle name="Normal 2 4 2 4 2 2 2 2 2 4" xfId="32587" xr:uid="{17C22916-5348-41FB-AE1D-F665B36D7048}"/>
    <cellStyle name="Normal 2 4 2 4 2 2 2 2 3" xfId="11475" xr:uid="{0A003D25-CC83-446E-8027-410E8D688C69}"/>
    <cellStyle name="Normal 2 4 2 4 2 2 2 2 4" xfId="19923" xr:uid="{1B64CFD7-7BB4-444C-A3CA-6E44E447341A}"/>
    <cellStyle name="Normal 2 4 2 4 2 2 2 2 5" xfId="28370" xr:uid="{A37605F5-0D9F-4771-9B09-409653743460}"/>
    <cellStyle name="Normal 2 4 2 4 2 2 2 3" xfId="5098" xr:uid="{00000000-0005-0000-0000-00003C0F0000}"/>
    <cellStyle name="Normal 2 4 2 4 2 2 2 3 2" xfId="13548" xr:uid="{336DB267-301B-45DF-9E9C-96A2675BC899}"/>
    <cellStyle name="Normal 2 4 2 4 2 2 2 3 3" xfId="21995" xr:uid="{710D5FA5-AB33-4435-87C0-2A462200ABB3}"/>
    <cellStyle name="Normal 2 4 2 4 2 2 2 3 4" xfId="30442" xr:uid="{092E03B2-012F-4E4F-9ABC-2AAD0A262128}"/>
    <cellStyle name="Normal 2 4 2 4 2 2 2 4" xfId="9330" xr:uid="{20F0B4AD-5D7E-4D77-BBB7-7D4A59F375BC}"/>
    <cellStyle name="Normal 2 4 2 4 2 2 2 5" xfId="17778" xr:uid="{C4E53F87-6FC8-47D9-B8DB-FC70FB7EEB29}"/>
    <cellStyle name="Normal 2 4 2 4 2 2 2 6" xfId="26225" xr:uid="{4F9B7A53-359C-4BF9-B14C-DEEDC9B18CDE}"/>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8A75E751-8EDB-408B-9177-41AC31A04C94}"/>
    <cellStyle name="Normal 2 4 2 4 2 2 3 2 2 3" xfId="24553" xr:uid="{ECF2B705-8167-4EBE-A1D3-395B3549715E}"/>
    <cellStyle name="Normal 2 4 2 4 2 2 3 2 2 4" xfId="33000" xr:uid="{CF77BADB-5B7D-4275-BF95-4D639AA1B9C7}"/>
    <cellStyle name="Normal 2 4 2 4 2 2 3 2 3" xfId="11888" xr:uid="{B5AA3999-650C-4D29-A8CD-E9E2B35CDBA2}"/>
    <cellStyle name="Normal 2 4 2 4 2 2 3 2 4" xfId="20336" xr:uid="{0CF57A8C-6E2F-4E35-B706-46EB09396881}"/>
    <cellStyle name="Normal 2 4 2 4 2 2 3 2 5" xfId="28783" xr:uid="{1A89E36E-52A6-404B-8CE0-2CF06003EFFB}"/>
    <cellStyle name="Normal 2 4 2 4 2 2 3 3" xfId="5511" xr:uid="{00000000-0005-0000-0000-0000400F0000}"/>
    <cellStyle name="Normal 2 4 2 4 2 2 3 3 2" xfId="13961" xr:uid="{2E772872-76DD-4B7B-84F1-7FDD42AA6291}"/>
    <cellStyle name="Normal 2 4 2 4 2 2 3 3 3" xfId="22408" xr:uid="{E512B1F4-3C51-4FE9-97C5-38C5818BAFDC}"/>
    <cellStyle name="Normal 2 4 2 4 2 2 3 3 4" xfId="30855" xr:uid="{F23BC162-1186-4CE6-ACDC-E2F975DA0F2E}"/>
    <cellStyle name="Normal 2 4 2 4 2 2 3 4" xfId="9743" xr:uid="{1FAE5B4B-BFFC-4C47-A8FE-1A6C08364807}"/>
    <cellStyle name="Normal 2 4 2 4 2 2 3 5" xfId="18191" xr:uid="{2C967D88-3AAB-4FB7-BDB2-C3C45E53983D}"/>
    <cellStyle name="Normal 2 4 2 4 2 2 3 6" xfId="26638" xr:uid="{CF505F41-3439-45BB-80F5-ED8685A72D9D}"/>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067F5C5A-9F91-45BC-922A-619934686C7B}"/>
    <cellStyle name="Normal 2 4 2 4 2 2 4 2 2 3" xfId="24966" xr:uid="{BF15A977-18F5-4CD4-B975-F566AFB3D0BA}"/>
    <cellStyle name="Normal 2 4 2 4 2 2 4 2 2 4" xfId="33413" xr:uid="{A7534B93-5644-41FB-9D23-6C66FCBAF524}"/>
    <cellStyle name="Normal 2 4 2 4 2 2 4 2 3" xfId="12301" xr:uid="{5362F556-701E-4607-B4B7-611AEF459356}"/>
    <cellStyle name="Normal 2 4 2 4 2 2 4 2 4" xfId="20749" xr:uid="{0B8F5945-5B3F-4734-9609-0C2343898560}"/>
    <cellStyle name="Normal 2 4 2 4 2 2 4 2 5" xfId="29196" xr:uid="{B51E7050-C026-4902-AA0C-01CE84173453}"/>
    <cellStyle name="Normal 2 4 2 4 2 2 4 3" xfId="5924" xr:uid="{00000000-0005-0000-0000-0000440F0000}"/>
    <cellStyle name="Normal 2 4 2 4 2 2 4 3 2" xfId="14374" xr:uid="{98458375-B4C8-47FC-8979-937BF36E1F24}"/>
    <cellStyle name="Normal 2 4 2 4 2 2 4 3 3" xfId="22821" xr:uid="{FAFD80DE-0D36-4D19-9E70-FCE7127B9577}"/>
    <cellStyle name="Normal 2 4 2 4 2 2 4 3 4" xfId="31268" xr:uid="{76CC9540-B850-4D0A-8DDF-B9A3E783743F}"/>
    <cellStyle name="Normal 2 4 2 4 2 2 4 4" xfId="10156" xr:uid="{344E8BD2-49EF-49F3-93F9-63A91848C4C9}"/>
    <cellStyle name="Normal 2 4 2 4 2 2 4 5" xfId="18604" xr:uid="{22F3BB35-07D5-4174-B6C4-5B578919EF2B}"/>
    <cellStyle name="Normal 2 4 2 4 2 2 4 6" xfId="27051" xr:uid="{1E482A14-C678-40D1-81C2-855C089C1409}"/>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A04E5E00-3FAE-4F28-9E3D-EE1D2E37D1EB}"/>
    <cellStyle name="Normal 2 4 2 4 2 2 5 2 2 3" xfId="25379" xr:uid="{B690BB33-D4AB-4645-9579-A4C481CBBEBE}"/>
    <cellStyle name="Normal 2 4 2 4 2 2 5 2 2 4" xfId="33826" xr:uid="{FDA2C6A9-1897-4BB4-9F3B-BF52988E5B0B}"/>
    <cellStyle name="Normal 2 4 2 4 2 2 5 2 3" xfId="12714" xr:uid="{1DDDFE42-0B99-4ED3-9640-BFEDC1C744B7}"/>
    <cellStyle name="Normal 2 4 2 4 2 2 5 2 4" xfId="21162" xr:uid="{1D47D923-084B-462B-A42A-4C3C09B994DE}"/>
    <cellStyle name="Normal 2 4 2 4 2 2 5 2 5" xfId="29609" xr:uid="{3C048082-FC6F-4327-9BCF-988065ED9063}"/>
    <cellStyle name="Normal 2 4 2 4 2 2 5 3" xfId="6337" xr:uid="{00000000-0005-0000-0000-0000480F0000}"/>
    <cellStyle name="Normal 2 4 2 4 2 2 5 3 2" xfId="14787" xr:uid="{6DF5F8EA-14E7-4978-82BE-0374EC23A087}"/>
    <cellStyle name="Normal 2 4 2 4 2 2 5 3 3" xfId="23234" xr:uid="{A008695E-5EF0-4863-B36F-41F8D2B67D00}"/>
    <cellStyle name="Normal 2 4 2 4 2 2 5 3 4" xfId="31681" xr:uid="{BEC329F5-0AC4-4E7D-8CE6-272B0F844156}"/>
    <cellStyle name="Normal 2 4 2 4 2 2 5 4" xfId="10569" xr:uid="{589EBCD4-7063-4FA0-86EC-38D8336BF1E1}"/>
    <cellStyle name="Normal 2 4 2 4 2 2 5 5" xfId="19017" xr:uid="{10A1E8EA-2AF4-43F6-AEF1-29C40B6A0B4F}"/>
    <cellStyle name="Normal 2 4 2 4 2 2 5 6" xfId="27464" xr:uid="{9F0DFC8B-5E7A-4A22-8607-71A5F454D599}"/>
    <cellStyle name="Normal 2 4 2 4 2 2 6" xfId="2467" xr:uid="{00000000-0005-0000-0000-0000490F0000}"/>
    <cellStyle name="Normal 2 4 2 4 2 2 6 2" xfId="6750" xr:uid="{00000000-0005-0000-0000-00004A0F0000}"/>
    <cellStyle name="Normal 2 4 2 4 2 2 6 2 2" xfId="15200" xr:uid="{51F81CFF-812F-4010-A05B-B03FFD9AA4E0}"/>
    <cellStyle name="Normal 2 4 2 4 2 2 6 2 3" xfId="23647" xr:uid="{B5817035-541B-45AC-A0DA-166C293AF817}"/>
    <cellStyle name="Normal 2 4 2 4 2 2 6 2 4" xfId="32094" xr:uid="{2FF5AA75-2B9A-4C7B-A764-B27BE0E04260}"/>
    <cellStyle name="Normal 2 4 2 4 2 2 6 3" xfId="10982" xr:uid="{A377678C-6D99-491E-8B3D-5DF8DF6D6113}"/>
    <cellStyle name="Normal 2 4 2 4 2 2 6 4" xfId="19430" xr:uid="{ED26CD93-3F99-4610-9DDE-ADF962C4E86F}"/>
    <cellStyle name="Normal 2 4 2 4 2 2 6 5" xfId="27877" xr:uid="{070401D3-EFD7-4EB0-A4A0-8C739DFB7EAB}"/>
    <cellStyle name="Normal 2 4 2 4 2 2 7" xfId="4684" xr:uid="{00000000-0005-0000-0000-00004B0F0000}"/>
    <cellStyle name="Normal 2 4 2 4 2 2 7 2" xfId="13134" xr:uid="{F9DD30F9-B8E0-4E17-84D6-B99851BC6138}"/>
    <cellStyle name="Normal 2 4 2 4 2 2 7 3" xfId="21581" xr:uid="{77F5D513-B3C9-4D88-B926-531FBFAB4860}"/>
    <cellStyle name="Normal 2 4 2 4 2 2 7 4" xfId="30028" xr:uid="{6D376E95-70D9-44FC-A1C5-AD85798B4A90}"/>
    <cellStyle name="Normal 2 4 2 4 2 2 8" xfId="8916" xr:uid="{0D40C02A-BBEC-436C-B11A-86D5FBB0D062}"/>
    <cellStyle name="Normal 2 4 2 4 2 2 9" xfId="17364" xr:uid="{CA74F1C9-C85C-4232-8CE1-C8126B133A9B}"/>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1A932FF6-7698-4A73-A3C7-04B6C090322B}"/>
    <cellStyle name="Normal 2 4 2 4 2 3 2 2 3" xfId="24139" xr:uid="{E6363954-C079-4293-94B4-069FA596680A}"/>
    <cellStyle name="Normal 2 4 2 4 2 3 2 2 4" xfId="32586" xr:uid="{A13BFD33-C6F5-47C6-9CEB-2DC8117C01B0}"/>
    <cellStyle name="Normal 2 4 2 4 2 3 2 3" xfId="11474" xr:uid="{30A45D3B-6403-4290-8341-9D6EF6EFBF0C}"/>
    <cellStyle name="Normal 2 4 2 4 2 3 2 4" xfId="19922" xr:uid="{7F84A7E5-A4E0-4940-8488-17DE2B716FC2}"/>
    <cellStyle name="Normal 2 4 2 4 2 3 2 5" xfId="28369" xr:uid="{FC8B3AB7-F994-403E-A759-2C9B24814421}"/>
    <cellStyle name="Normal 2 4 2 4 2 3 3" xfId="5097" xr:uid="{00000000-0005-0000-0000-00004F0F0000}"/>
    <cellStyle name="Normal 2 4 2 4 2 3 3 2" xfId="13547" xr:uid="{080A7F74-0E4E-4956-8BD7-5B8E3CBF9285}"/>
    <cellStyle name="Normal 2 4 2 4 2 3 3 3" xfId="21994" xr:uid="{8604CCF6-1FFD-4C83-BE4E-4769C4C09CFD}"/>
    <cellStyle name="Normal 2 4 2 4 2 3 3 4" xfId="30441" xr:uid="{F918F8CA-B9B6-408D-8472-8C13825FB76A}"/>
    <cellStyle name="Normal 2 4 2 4 2 3 4" xfId="9329" xr:uid="{D83A8643-CA02-4252-B110-FAC36AC42AAE}"/>
    <cellStyle name="Normal 2 4 2 4 2 3 5" xfId="17777" xr:uid="{8960C80C-BDD3-4144-836D-FF6A21B9FE99}"/>
    <cellStyle name="Normal 2 4 2 4 2 3 6" xfId="26224" xr:uid="{9BF87469-3062-41D6-977C-1F60CCD80AE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72969559-133A-4FCC-8A5E-83D840DFC1AC}"/>
    <cellStyle name="Normal 2 4 2 4 2 4 2 2 3" xfId="24552" xr:uid="{2A9462E1-DC85-4BB9-BA9D-F7ED55125A59}"/>
    <cellStyle name="Normal 2 4 2 4 2 4 2 2 4" xfId="32999" xr:uid="{E25DC1E8-E12C-4679-97EC-E5FF3EC93259}"/>
    <cellStyle name="Normal 2 4 2 4 2 4 2 3" xfId="11887" xr:uid="{A84F2608-72BA-4C30-BF09-BA7EE53012DD}"/>
    <cellStyle name="Normal 2 4 2 4 2 4 2 4" xfId="20335" xr:uid="{B7AEB003-76CA-48BA-8025-9B97B3497D03}"/>
    <cellStyle name="Normal 2 4 2 4 2 4 2 5" xfId="28782" xr:uid="{DA86BF20-A294-411A-B26A-5749DDD4D234}"/>
    <cellStyle name="Normal 2 4 2 4 2 4 3" xfId="5510" xr:uid="{00000000-0005-0000-0000-0000530F0000}"/>
    <cellStyle name="Normal 2 4 2 4 2 4 3 2" xfId="13960" xr:uid="{409ACC36-5154-4BD8-A898-E6212E2099B8}"/>
    <cellStyle name="Normal 2 4 2 4 2 4 3 3" xfId="22407" xr:uid="{7DA7A80F-B895-42FA-B160-40E023871021}"/>
    <cellStyle name="Normal 2 4 2 4 2 4 3 4" xfId="30854" xr:uid="{5C1D4758-E17D-42C8-8146-7C065FE4B112}"/>
    <cellStyle name="Normal 2 4 2 4 2 4 4" xfId="9742" xr:uid="{99BA8F15-6847-45FC-A452-F190F4BCD792}"/>
    <cellStyle name="Normal 2 4 2 4 2 4 5" xfId="18190" xr:uid="{196F37F0-F2CC-44AA-AA39-95067EB20E13}"/>
    <cellStyle name="Normal 2 4 2 4 2 4 6" xfId="26637" xr:uid="{91368622-8E2E-47FA-8243-3ADFC26976E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1D3E8EA8-299F-466F-8421-48C8E8305ECE}"/>
    <cellStyle name="Normal 2 4 2 4 2 5 2 2 3" xfId="24965" xr:uid="{C03075A0-C0EB-4B1B-B4D2-04FC954C60C6}"/>
    <cellStyle name="Normal 2 4 2 4 2 5 2 2 4" xfId="33412" xr:uid="{7537BE35-C06F-4F63-9D41-6C9A0BB4E16B}"/>
    <cellStyle name="Normal 2 4 2 4 2 5 2 3" xfId="12300" xr:uid="{00EDD0E2-28BA-409F-B16F-08FDF6C5034D}"/>
    <cellStyle name="Normal 2 4 2 4 2 5 2 4" xfId="20748" xr:uid="{EBF75E2E-A374-47D4-BADB-47529F5F95D7}"/>
    <cellStyle name="Normal 2 4 2 4 2 5 2 5" xfId="29195" xr:uid="{E0FF6E26-11DE-4964-83E1-FF2A89C3DB3B}"/>
    <cellStyle name="Normal 2 4 2 4 2 5 3" xfId="5923" xr:uid="{00000000-0005-0000-0000-0000570F0000}"/>
    <cellStyle name="Normal 2 4 2 4 2 5 3 2" xfId="14373" xr:uid="{3406005B-DE41-41CA-92C6-C4A4F3D6768F}"/>
    <cellStyle name="Normal 2 4 2 4 2 5 3 3" xfId="22820" xr:uid="{F8BA7AE4-7CB7-4B4F-9C38-EB4F416B0F82}"/>
    <cellStyle name="Normal 2 4 2 4 2 5 3 4" xfId="31267" xr:uid="{882C87B5-286B-4865-8479-9AE29272566A}"/>
    <cellStyle name="Normal 2 4 2 4 2 5 4" xfId="10155" xr:uid="{E68FEDF4-D698-4938-9382-C3B6DC6DDB5A}"/>
    <cellStyle name="Normal 2 4 2 4 2 5 5" xfId="18603" xr:uid="{B88AF625-1FE2-48DB-831B-7AB1E77DFEDD}"/>
    <cellStyle name="Normal 2 4 2 4 2 5 6" xfId="27050" xr:uid="{CCFD7816-99E6-4B62-B045-2BAB8093E06A}"/>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FB721A2A-EF6D-43C8-BAA3-5BFE1FF92269}"/>
    <cellStyle name="Normal 2 4 2 4 2 6 2 2 3" xfId="25378" xr:uid="{B92BEB85-F9BD-4461-B41E-D512F3F30E1D}"/>
    <cellStyle name="Normal 2 4 2 4 2 6 2 2 4" xfId="33825" xr:uid="{020ED76C-D2BE-4908-8DAD-D48E68C46C56}"/>
    <cellStyle name="Normal 2 4 2 4 2 6 2 3" xfId="12713" xr:uid="{84A883F5-94C1-4E94-9D8E-CB98289DE415}"/>
    <cellStyle name="Normal 2 4 2 4 2 6 2 4" xfId="21161" xr:uid="{F621724E-0852-4707-9108-F3CF479FE0FC}"/>
    <cellStyle name="Normal 2 4 2 4 2 6 2 5" xfId="29608" xr:uid="{0BC7E2CF-6A98-472E-9E60-DF9CBB9EC11C}"/>
    <cellStyle name="Normal 2 4 2 4 2 6 3" xfId="6336" xr:uid="{00000000-0005-0000-0000-00005B0F0000}"/>
    <cellStyle name="Normal 2 4 2 4 2 6 3 2" xfId="14786" xr:uid="{8438823F-1D2A-4903-BAF1-CA9E581F2F26}"/>
    <cellStyle name="Normal 2 4 2 4 2 6 3 3" xfId="23233" xr:uid="{903352CA-53F2-4881-ADF9-386E7FEE076E}"/>
    <cellStyle name="Normal 2 4 2 4 2 6 3 4" xfId="31680" xr:uid="{2FEA0D0E-A6B6-4E2A-9680-DBD614C31CAC}"/>
    <cellStyle name="Normal 2 4 2 4 2 6 4" xfId="10568" xr:uid="{A58FB549-98C7-4139-86FC-918ADEB7699F}"/>
    <cellStyle name="Normal 2 4 2 4 2 6 5" xfId="19016" xr:uid="{4F366FDE-D9BD-42C4-82BE-7808984161F4}"/>
    <cellStyle name="Normal 2 4 2 4 2 6 6" xfId="27463" xr:uid="{A980A48A-794D-47CA-BEFA-896F527E4765}"/>
    <cellStyle name="Normal 2 4 2 4 2 7" xfId="2466" xr:uid="{00000000-0005-0000-0000-00005C0F0000}"/>
    <cellStyle name="Normal 2 4 2 4 2 7 2" xfId="6749" xr:uid="{00000000-0005-0000-0000-00005D0F0000}"/>
    <cellStyle name="Normal 2 4 2 4 2 7 2 2" xfId="15199" xr:uid="{FE56DE20-5C7D-4854-A3B8-835D7996EEC6}"/>
    <cellStyle name="Normal 2 4 2 4 2 7 2 3" xfId="23646" xr:uid="{DFFB97E7-E943-4077-9B97-5257938E0F0B}"/>
    <cellStyle name="Normal 2 4 2 4 2 7 2 4" xfId="32093" xr:uid="{794AEC12-F447-4C1D-B16B-2D4C6CC51976}"/>
    <cellStyle name="Normal 2 4 2 4 2 7 3" xfId="10981" xr:uid="{39932A09-4A0F-489C-A914-1C4955FE4A08}"/>
    <cellStyle name="Normal 2 4 2 4 2 7 4" xfId="19429" xr:uid="{EA116317-8BCB-4104-ADE9-FAE0C5C8AFD1}"/>
    <cellStyle name="Normal 2 4 2 4 2 7 5" xfId="27876" xr:uid="{998DB00E-47CC-43F2-B771-6C9E98CD625D}"/>
    <cellStyle name="Normal 2 4 2 4 2 8" xfId="4683" xr:uid="{00000000-0005-0000-0000-00005E0F0000}"/>
    <cellStyle name="Normal 2 4 2 4 2 8 2" xfId="13133" xr:uid="{E3F63693-DA54-4D99-A435-E1FB480EE407}"/>
    <cellStyle name="Normal 2 4 2 4 2 8 3" xfId="21580" xr:uid="{23E03239-5732-455C-9136-35E068A1F94D}"/>
    <cellStyle name="Normal 2 4 2 4 2 8 4" xfId="30027" xr:uid="{D14FCB28-B0BD-4D8F-895D-7850C66811F6}"/>
    <cellStyle name="Normal 2 4 2 4 2 9" xfId="8915" xr:uid="{8AF59AB6-E177-451A-9674-C1E18FD0D460}"/>
    <cellStyle name="Normal 2 4 2 4 3" xfId="292" xr:uid="{00000000-0005-0000-0000-00005F0F0000}"/>
    <cellStyle name="Normal 2 4 2 4 3 10" xfId="25812" xr:uid="{4253D9E0-7D3A-4DB3-9F9A-22924267ED65}"/>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7F346DB6-9ABA-4598-8DD6-D393F8237915}"/>
    <cellStyle name="Normal 2 4 2 4 3 2 2 2 3" xfId="24141" xr:uid="{6BBA7F28-C510-4400-8038-96AE4EB8521F}"/>
    <cellStyle name="Normal 2 4 2 4 3 2 2 2 4" xfId="32588" xr:uid="{2CEA81D0-86CF-4110-9A09-2DE1338B5264}"/>
    <cellStyle name="Normal 2 4 2 4 3 2 2 3" xfId="11476" xr:uid="{893D76D2-24EE-4022-9C2A-2E48F6D6115C}"/>
    <cellStyle name="Normal 2 4 2 4 3 2 2 4" xfId="19924" xr:uid="{9A113336-37F5-4267-BE1F-3F22BE3A9833}"/>
    <cellStyle name="Normal 2 4 2 4 3 2 2 5" xfId="28371" xr:uid="{CD2EE577-A301-4F9F-9D4B-DDC7BBAFC39C}"/>
    <cellStyle name="Normal 2 4 2 4 3 2 3" xfId="5099" xr:uid="{00000000-0005-0000-0000-0000630F0000}"/>
    <cellStyle name="Normal 2 4 2 4 3 2 3 2" xfId="13549" xr:uid="{7A3BECE1-F2DA-461A-8369-53C6C26D2E19}"/>
    <cellStyle name="Normal 2 4 2 4 3 2 3 3" xfId="21996" xr:uid="{3214EB73-56C3-4A31-B4A9-FFEB363A8382}"/>
    <cellStyle name="Normal 2 4 2 4 3 2 3 4" xfId="30443" xr:uid="{3ECBC3D9-3310-429B-AE97-68DFCC183BCD}"/>
    <cellStyle name="Normal 2 4 2 4 3 2 4" xfId="9331" xr:uid="{89C8C6DA-98FA-4629-BD50-EED7A43C1C0C}"/>
    <cellStyle name="Normal 2 4 2 4 3 2 5" xfId="17779" xr:uid="{9A22C524-C424-4D29-8480-92F47D1CC810}"/>
    <cellStyle name="Normal 2 4 2 4 3 2 6" xfId="26226" xr:uid="{4CEFEA78-02C2-49E9-A0F2-54AB5767BCE7}"/>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DBE0B9DF-BA98-4706-AA96-CA68D1D57AEF}"/>
    <cellStyle name="Normal 2 4 2 4 3 3 2 2 3" xfId="24554" xr:uid="{2A4E457E-A20F-4BC6-8D23-6E3255A55F98}"/>
    <cellStyle name="Normal 2 4 2 4 3 3 2 2 4" xfId="33001" xr:uid="{C0EDD8F7-369A-4A15-97DF-81987D736F6B}"/>
    <cellStyle name="Normal 2 4 2 4 3 3 2 3" xfId="11889" xr:uid="{58FFA573-CBDA-4FEF-822A-362333650F56}"/>
    <cellStyle name="Normal 2 4 2 4 3 3 2 4" xfId="20337" xr:uid="{BCFAB95A-982F-4D19-900D-1276F2C81B36}"/>
    <cellStyle name="Normal 2 4 2 4 3 3 2 5" xfId="28784" xr:uid="{EF840E1E-C872-432D-AAA1-716D1F3078CE}"/>
    <cellStyle name="Normal 2 4 2 4 3 3 3" xfId="5512" xr:uid="{00000000-0005-0000-0000-0000670F0000}"/>
    <cellStyle name="Normal 2 4 2 4 3 3 3 2" xfId="13962" xr:uid="{5D0D279D-1618-4793-90BE-A27498B94C90}"/>
    <cellStyle name="Normal 2 4 2 4 3 3 3 3" xfId="22409" xr:uid="{024E10F8-9518-47EC-A3A8-3C32B1156B54}"/>
    <cellStyle name="Normal 2 4 2 4 3 3 3 4" xfId="30856" xr:uid="{621FFE0A-922E-4C3A-AC15-CE86FCB507B6}"/>
    <cellStyle name="Normal 2 4 2 4 3 3 4" xfId="9744" xr:uid="{8DFF317B-57D3-410B-8092-D774655F7E58}"/>
    <cellStyle name="Normal 2 4 2 4 3 3 5" xfId="18192" xr:uid="{49E05422-0942-403A-B7BB-96E36F448F8F}"/>
    <cellStyle name="Normal 2 4 2 4 3 3 6" xfId="26639" xr:uid="{7BBE609D-67EA-41C8-94F0-F45DB38C2E0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F9FA57A0-7E06-432F-A9D4-EF00E982A15A}"/>
    <cellStyle name="Normal 2 4 2 4 3 4 2 2 3" xfId="24967" xr:uid="{6CA0365C-7AFE-40CC-80E7-4BBA4FA41DA1}"/>
    <cellStyle name="Normal 2 4 2 4 3 4 2 2 4" xfId="33414" xr:uid="{EEB6FCAD-A232-43B8-9012-47F147EBE34E}"/>
    <cellStyle name="Normal 2 4 2 4 3 4 2 3" xfId="12302" xr:uid="{C2947F27-6733-4CF1-8D16-FDEECB12FC7B}"/>
    <cellStyle name="Normal 2 4 2 4 3 4 2 4" xfId="20750" xr:uid="{BECBC484-AC95-43E9-8B57-623572DF92C2}"/>
    <cellStyle name="Normal 2 4 2 4 3 4 2 5" xfId="29197" xr:uid="{E63D321D-3069-4016-B698-9DF45C6729EB}"/>
    <cellStyle name="Normal 2 4 2 4 3 4 3" xfId="5925" xr:uid="{00000000-0005-0000-0000-00006B0F0000}"/>
    <cellStyle name="Normal 2 4 2 4 3 4 3 2" xfId="14375" xr:uid="{C6F3B1A6-8E18-43F8-91BC-34FF1F004A0F}"/>
    <cellStyle name="Normal 2 4 2 4 3 4 3 3" xfId="22822" xr:uid="{B528C790-80E8-4ED6-AC08-1427209195E7}"/>
    <cellStyle name="Normal 2 4 2 4 3 4 3 4" xfId="31269" xr:uid="{F2B610F4-8211-47D5-BE98-B7738163A6E6}"/>
    <cellStyle name="Normal 2 4 2 4 3 4 4" xfId="10157" xr:uid="{A3D85EB7-828F-4F1A-80F8-CE0391424BD5}"/>
    <cellStyle name="Normal 2 4 2 4 3 4 5" xfId="18605" xr:uid="{F180ED5B-0D45-4F0A-9535-0A085B02727E}"/>
    <cellStyle name="Normal 2 4 2 4 3 4 6" xfId="27052" xr:uid="{C8D663DD-6DE0-45B8-AF60-D5AA71604FB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96F2E397-A222-409C-B42B-63D340BB7993}"/>
    <cellStyle name="Normal 2 4 2 4 3 5 2 2 3" xfId="25380" xr:uid="{79A05686-E93A-4E52-8AA9-12079BBE35EF}"/>
    <cellStyle name="Normal 2 4 2 4 3 5 2 2 4" xfId="33827" xr:uid="{381F43B1-6A9B-4C61-8E17-8E49B2154150}"/>
    <cellStyle name="Normal 2 4 2 4 3 5 2 3" xfId="12715" xr:uid="{6E26F58A-7E13-47FA-9491-A776EEB3EBE2}"/>
    <cellStyle name="Normal 2 4 2 4 3 5 2 4" xfId="21163" xr:uid="{44C35F3A-0BFC-4D9E-96E7-1010A3F55AC6}"/>
    <cellStyle name="Normal 2 4 2 4 3 5 2 5" xfId="29610" xr:uid="{74DCC3E8-09E9-4F87-8127-9711B1A0C532}"/>
    <cellStyle name="Normal 2 4 2 4 3 5 3" xfId="6338" xr:uid="{00000000-0005-0000-0000-00006F0F0000}"/>
    <cellStyle name="Normal 2 4 2 4 3 5 3 2" xfId="14788" xr:uid="{3087396D-DF07-4A5A-80DD-33E887B9C36C}"/>
    <cellStyle name="Normal 2 4 2 4 3 5 3 3" xfId="23235" xr:uid="{9C5D7E03-64A0-40AB-981B-48D5A33BAF03}"/>
    <cellStyle name="Normal 2 4 2 4 3 5 3 4" xfId="31682" xr:uid="{750F7F3D-547E-4AFD-8A4E-43F7C3597424}"/>
    <cellStyle name="Normal 2 4 2 4 3 5 4" xfId="10570" xr:uid="{11CBD863-3E32-490B-A294-47ED5A5AA4A3}"/>
    <cellStyle name="Normal 2 4 2 4 3 5 5" xfId="19018" xr:uid="{0A044700-736C-4C6F-8972-505E4F5AC13C}"/>
    <cellStyle name="Normal 2 4 2 4 3 5 6" xfId="27465" xr:uid="{2FDF16DA-7877-4DF1-91F6-31F3F3DF05A0}"/>
    <cellStyle name="Normal 2 4 2 4 3 6" xfId="2468" xr:uid="{00000000-0005-0000-0000-0000700F0000}"/>
    <cellStyle name="Normal 2 4 2 4 3 6 2" xfId="6751" xr:uid="{00000000-0005-0000-0000-0000710F0000}"/>
    <cellStyle name="Normal 2 4 2 4 3 6 2 2" xfId="15201" xr:uid="{07C769FC-60CB-47F2-A28B-CA96B178EEA9}"/>
    <cellStyle name="Normal 2 4 2 4 3 6 2 3" xfId="23648" xr:uid="{F2C52B77-C726-413A-89E8-682F985532F7}"/>
    <cellStyle name="Normal 2 4 2 4 3 6 2 4" xfId="32095" xr:uid="{6ACF063F-87F6-4BD0-906F-D47747C68A34}"/>
    <cellStyle name="Normal 2 4 2 4 3 6 3" xfId="10983" xr:uid="{C2F72B9D-5A88-403C-BB70-21A852818CB7}"/>
    <cellStyle name="Normal 2 4 2 4 3 6 4" xfId="19431" xr:uid="{4B4A6672-D7A4-4BE4-8229-EB24EA134147}"/>
    <cellStyle name="Normal 2 4 2 4 3 6 5" xfId="27878" xr:uid="{5A449AE5-CD9E-47EC-8ABC-6F5FEAE81F4C}"/>
    <cellStyle name="Normal 2 4 2 4 3 7" xfId="4685" xr:uid="{00000000-0005-0000-0000-0000720F0000}"/>
    <cellStyle name="Normal 2 4 2 4 3 7 2" xfId="13135" xr:uid="{0B18489F-6704-4632-897A-32A9AD99B6B7}"/>
    <cellStyle name="Normal 2 4 2 4 3 7 3" xfId="21582" xr:uid="{D2CE93B1-4BA1-44E5-BE61-CACC853A9C37}"/>
    <cellStyle name="Normal 2 4 2 4 3 7 4" xfId="30029" xr:uid="{C31913D9-3A78-4F9C-92F3-76A587F4A93D}"/>
    <cellStyle name="Normal 2 4 2 4 3 8" xfId="8917" xr:uid="{8276CF59-413F-42EC-A44E-6C6E6BBE7E7A}"/>
    <cellStyle name="Normal 2 4 2 4 3 9" xfId="17365" xr:uid="{FA908AEE-6C84-4C0F-8A14-DEBADD70799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03345A61-6B8D-448F-9743-E2407256844F}"/>
    <cellStyle name="Normal 2 4 2 4 4 2 2 3" xfId="24138" xr:uid="{AA035B2C-C5EF-4DD3-9324-80C37DFED58A}"/>
    <cellStyle name="Normal 2 4 2 4 4 2 2 4" xfId="32585" xr:uid="{8AACF828-9BFE-4D78-8C04-83362A01B248}"/>
    <cellStyle name="Normal 2 4 2 4 4 2 3" xfId="11473" xr:uid="{D9AF1E6F-7CC7-4610-9FD2-CF2F1D97C4AA}"/>
    <cellStyle name="Normal 2 4 2 4 4 2 4" xfId="19921" xr:uid="{EAAEE44B-3BBC-4EA9-9C0C-9310F65B251C}"/>
    <cellStyle name="Normal 2 4 2 4 4 2 5" xfId="28368" xr:uid="{B82A16BA-EC53-4BA2-A315-2349212895FC}"/>
    <cellStyle name="Normal 2 4 2 4 4 3" xfId="5096" xr:uid="{00000000-0005-0000-0000-0000760F0000}"/>
    <cellStyle name="Normal 2 4 2 4 4 3 2" xfId="13546" xr:uid="{217F2873-C7E1-418C-A0E7-0C086DA8BDAB}"/>
    <cellStyle name="Normal 2 4 2 4 4 3 3" xfId="21993" xr:uid="{91433DE0-FE72-41AB-9494-D914CD0989E3}"/>
    <cellStyle name="Normal 2 4 2 4 4 3 4" xfId="30440" xr:uid="{70DDB5DA-68D6-4F04-B6EE-7E2103ED7965}"/>
    <cellStyle name="Normal 2 4 2 4 4 4" xfId="9328" xr:uid="{0E3AB36E-BDBA-4B3B-B5B0-7008AE1A73E9}"/>
    <cellStyle name="Normal 2 4 2 4 4 5" xfId="17776" xr:uid="{B2CB2CFA-88A8-43C4-A903-7BA91148E101}"/>
    <cellStyle name="Normal 2 4 2 4 4 6" xfId="26223" xr:uid="{AFAECD54-A1E6-4C07-9A64-5A7C9A696B4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E73A9EB9-3773-40DD-A82F-92CA144BF4B4}"/>
    <cellStyle name="Normal 2 4 2 4 5 2 2 3" xfId="24551" xr:uid="{259C8B1C-FB19-4A8F-A88B-DF02A780C8EF}"/>
    <cellStyle name="Normal 2 4 2 4 5 2 2 4" xfId="32998" xr:uid="{DD41E6FF-9A9D-40A6-BBC0-2A87FD6EC6D0}"/>
    <cellStyle name="Normal 2 4 2 4 5 2 3" xfId="11886" xr:uid="{253EBB82-BFEC-439F-8C8F-16016A9ECEAA}"/>
    <cellStyle name="Normal 2 4 2 4 5 2 4" xfId="20334" xr:uid="{86CBCF52-6675-4B91-812F-1800B538EA2D}"/>
    <cellStyle name="Normal 2 4 2 4 5 2 5" xfId="28781" xr:uid="{F694DA16-D319-47DB-9A8A-EBAF7EF333D5}"/>
    <cellStyle name="Normal 2 4 2 4 5 3" xfId="5509" xr:uid="{00000000-0005-0000-0000-00007A0F0000}"/>
    <cellStyle name="Normal 2 4 2 4 5 3 2" xfId="13959" xr:uid="{D15826E6-9071-45BE-AFB6-98E5D6D1E4A6}"/>
    <cellStyle name="Normal 2 4 2 4 5 3 3" xfId="22406" xr:uid="{430E1EF3-68FD-4DF9-A390-3E4E20DC9E0E}"/>
    <cellStyle name="Normal 2 4 2 4 5 3 4" xfId="30853" xr:uid="{CF916A70-26F8-42E7-9B37-94148F41909D}"/>
    <cellStyle name="Normal 2 4 2 4 5 4" xfId="9741" xr:uid="{7E7D933E-4C30-4732-AA9A-DA0E491340C3}"/>
    <cellStyle name="Normal 2 4 2 4 5 5" xfId="18189" xr:uid="{932EED82-F904-4AEA-B1BC-0356351A7698}"/>
    <cellStyle name="Normal 2 4 2 4 5 6" xfId="26636" xr:uid="{55EEEAD6-E113-4601-8944-D72E25E56F8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ED6ECA50-A682-48E3-9469-C60C6B2CEAEE}"/>
    <cellStyle name="Normal 2 4 2 4 6 2 2 3" xfId="24964" xr:uid="{20114E67-D2D0-406F-A39F-43E7246027DE}"/>
    <cellStyle name="Normal 2 4 2 4 6 2 2 4" xfId="33411" xr:uid="{2A137B93-8B03-445A-81CC-23E97BBE49B2}"/>
    <cellStyle name="Normal 2 4 2 4 6 2 3" xfId="12299" xr:uid="{9F1F81DE-D6E3-4CB0-BE7F-99F892C57BCE}"/>
    <cellStyle name="Normal 2 4 2 4 6 2 4" xfId="20747" xr:uid="{BAD2DC54-BA7A-4E1E-B809-42E92D3DEEE5}"/>
    <cellStyle name="Normal 2 4 2 4 6 2 5" xfId="29194" xr:uid="{79B4AECE-4594-464A-BB65-96E67C3EF16F}"/>
    <cellStyle name="Normal 2 4 2 4 6 3" xfId="5922" xr:uid="{00000000-0005-0000-0000-00007E0F0000}"/>
    <cellStyle name="Normal 2 4 2 4 6 3 2" xfId="14372" xr:uid="{16C0A928-5A8F-4F50-9753-F19BEB8C085E}"/>
    <cellStyle name="Normal 2 4 2 4 6 3 3" xfId="22819" xr:uid="{795006F7-3C98-4834-A088-635338ECE1DC}"/>
    <cellStyle name="Normal 2 4 2 4 6 3 4" xfId="31266" xr:uid="{4409D279-F17A-4D3B-8D4D-0FBE27588C60}"/>
    <cellStyle name="Normal 2 4 2 4 6 4" xfId="10154" xr:uid="{8FF2E1C2-F4EA-4859-84D5-29D662B6929F}"/>
    <cellStyle name="Normal 2 4 2 4 6 5" xfId="18602" xr:uid="{4DEBEF32-9953-4A74-A3AB-ACB5ED27FF2C}"/>
    <cellStyle name="Normal 2 4 2 4 6 6" xfId="27049" xr:uid="{0B8B0169-02DD-41B7-85D1-80BCD85B595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FF367F68-200C-4963-BB11-32EEE4A24573}"/>
    <cellStyle name="Normal 2 4 2 4 7 2 2 3" xfId="25377" xr:uid="{384A0E0F-0667-4271-8416-ACAE9B9FE092}"/>
    <cellStyle name="Normal 2 4 2 4 7 2 2 4" xfId="33824" xr:uid="{C4C27569-3F4A-4518-A5DA-D55586974505}"/>
    <cellStyle name="Normal 2 4 2 4 7 2 3" xfId="12712" xr:uid="{84ECA748-DD70-4FD9-A361-AC5AF08182AB}"/>
    <cellStyle name="Normal 2 4 2 4 7 2 4" xfId="21160" xr:uid="{12C52FA0-D2B0-49FE-9AA2-48D3DD28894E}"/>
    <cellStyle name="Normal 2 4 2 4 7 2 5" xfId="29607" xr:uid="{55BF0624-80D3-4D94-A8CD-FA8A8077863C}"/>
    <cellStyle name="Normal 2 4 2 4 7 3" xfId="6335" xr:uid="{00000000-0005-0000-0000-0000820F0000}"/>
    <cellStyle name="Normal 2 4 2 4 7 3 2" xfId="14785" xr:uid="{6BDEA18F-7A6B-44ED-AF0B-78BE1DCE3842}"/>
    <cellStyle name="Normal 2 4 2 4 7 3 3" xfId="23232" xr:uid="{B7B5B0A5-058C-4F4D-8847-4BA850665E85}"/>
    <cellStyle name="Normal 2 4 2 4 7 3 4" xfId="31679" xr:uid="{62411A8F-5B35-4B50-984F-D6DDC0093F3E}"/>
    <cellStyle name="Normal 2 4 2 4 7 4" xfId="10567" xr:uid="{2B793028-FAA4-4673-A853-F79C4D45D166}"/>
    <cellStyle name="Normal 2 4 2 4 7 5" xfId="19015" xr:uid="{9EF33BC6-55FA-4AD4-84CB-3D9896E1D06A}"/>
    <cellStyle name="Normal 2 4 2 4 7 6" xfId="27462" xr:uid="{CBDB4DB0-59A1-4260-BBAF-1387B1D643DD}"/>
    <cellStyle name="Normal 2 4 2 4 8" xfId="2465" xr:uid="{00000000-0005-0000-0000-0000830F0000}"/>
    <cellStyle name="Normal 2 4 2 4 8 2" xfId="6748" xr:uid="{00000000-0005-0000-0000-0000840F0000}"/>
    <cellStyle name="Normal 2 4 2 4 8 2 2" xfId="15198" xr:uid="{11F5048C-8CB9-4C14-BB24-976C9EB5AC38}"/>
    <cellStyle name="Normal 2 4 2 4 8 2 3" xfId="23645" xr:uid="{A7082525-9CC7-476F-8E15-87CB131E26E3}"/>
    <cellStyle name="Normal 2 4 2 4 8 2 4" xfId="32092" xr:uid="{E27379C4-0B71-4B35-9A1C-6E6D0DB3DD74}"/>
    <cellStyle name="Normal 2 4 2 4 8 3" xfId="10980" xr:uid="{E330EFD8-64B0-4A9E-8370-C75EBB90462A}"/>
    <cellStyle name="Normal 2 4 2 4 8 4" xfId="19428" xr:uid="{8CAE1A63-C1EA-4ACC-B998-6F5ADEB17196}"/>
    <cellStyle name="Normal 2 4 2 4 8 5" xfId="27875" xr:uid="{CF6CC99F-BDD2-47DD-A650-FA80B44A12E4}"/>
    <cellStyle name="Normal 2 4 2 4 9" xfId="4682" xr:uid="{00000000-0005-0000-0000-0000850F0000}"/>
    <cellStyle name="Normal 2 4 2 4 9 2" xfId="13132" xr:uid="{307F62A7-F2F0-4588-BB90-5578FF166A68}"/>
    <cellStyle name="Normal 2 4 2 4 9 3" xfId="21579" xr:uid="{810FE1F3-BCC9-4C10-8254-09425A32C05B}"/>
    <cellStyle name="Normal 2 4 2 4 9 4" xfId="30026" xr:uid="{B498E2D1-93E6-4F36-877D-80887E21D8EC}"/>
    <cellStyle name="Normal 2 4 2 5" xfId="293" xr:uid="{00000000-0005-0000-0000-0000860F0000}"/>
    <cellStyle name="Normal 2 4 2 5 10" xfId="17366" xr:uid="{914D7422-9B67-4DD1-A931-D27128170E01}"/>
    <cellStyle name="Normal 2 4 2 5 11" xfId="25813" xr:uid="{51611FBF-D971-44FF-A9D2-44006E21BE8D}"/>
    <cellStyle name="Normal 2 4 2 5 2" xfId="294" xr:uid="{00000000-0005-0000-0000-0000870F0000}"/>
    <cellStyle name="Normal 2 4 2 5 2 10" xfId="25814" xr:uid="{7900F634-E6CD-49DE-AB61-7A177838AB95}"/>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6BF2F846-4418-4142-98F7-6CC2BFF1E15C}"/>
    <cellStyle name="Normal 2 4 2 5 2 2 2 2 3" xfId="24143" xr:uid="{5291805A-675C-4C66-9922-1267262FC080}"/>
    <cellStyle name="Normal 2 4 2 5 2 2 2 2 4" xfId="32590" xr:uid="{F681B246-1E4A-49F6-A4EA-166983C9E825}"/>
    <cellStyle name="Normal 2 4 2 5 2 2 2 3" xfId="11478" xr:uid="{DA32797D-33F7-4CF5-9430-136CB20ACB52}"/>
    <cellStyle name="Normal 2 4 2 5 2 2 2 4" xfId="19926" xr:uid="{3B25F4C8-5490-4397-8A7B-F5461F77E001}"/>
    <cellStyle name="Normal 2 4 2 5 2 2 2 5" xfId="28373" xr:uid="{46C6D26B-3677-4EC4-BEE2-F2E922EB0796}"/>
    <cellStyle name="Normal 2 4 2 5 2 2 3" xfId="5101" xr:uid="{00000000-0005-0000-0000-00008B0F0000}"/>
    <cellStyle name="Normal 2 4 2 5 2 2 3 2" xfId="13551" xr:uid="{9C978E3A-CB08-47AD-AC49-09D27861F596}"/>
    <cellStyle name="Normal 2 4 2 5 2 2 3 3" xfId="21998" xr:uid="{F8E5B475-CE7D-4213-85BF-2E484A96F07E}"/>
    <cellStyle name="Normal 2 4 2 5 2 2 3 4" xfId="30445" xr:uid="{88B6DBB5-94B2-4119-A76D-717C4D7E90AC}"/>
    <cellStyle name="Normal 2 4 2 5 2 2 4" xfId="9333" xr:uid="{C50D74D6-A799-4F69-A017-C26E36C1F1B2}"/>
    <cellStyle name="Normal 2 4 2 5 2 2 5" xfId="17781" xr:uid="{400BCFB5-435F-477B-B3CD-2CF2E750F180}"/>
    <cellStyle name="Normal 2 4 2 5 2 2 6" xfId="26228" xr:uid="{339EF33C-73F0-4867-A65C-497205CF2F24}"/>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CCC8CC83-58AE-46B5-B7E0-058CDF9FD9B6}"/>
    <cellStyle name="Normal 2 4 2 5 2 3 2 2 3" xfId="24556" xr:uid="{3C2CEE92-38E0-4352-A05E-5C75CEC6C45A}"/>
    <cellStyle name="Normal 2 4 2 5 2 3 2 2 4" xfId="33003" xr:uid="{FFCEB716-F72B-4484-8179-D5DEE534776B}"/>
    <cellStyle name="Normal 2 4 2 5 2 3 2 3" xfId="11891" xr:uid="{E8E09B03-981D-452F-B8C8-C46C411F8D71}"/>
    <cellStyle name="Normal 2 4 2 5 2 3 2 4" xfId="20339" xr:uid="{7ED70EC5-0B46-4AEA-B55B-2EB8A6A1870A}"/>
    <cellStyle name="Normal 2 4 2 5 2 3 2 5" xfId="28786" xr:uid="{8C28266F-BEDB-4132-9C89-DD5473FCA88F}"/>
    <cellStyle name="Normal 2 4 2 5 2 3 3" xfId="5514" xr:uid="{00000000-0005-0000-0000-00008F0F0000}"/>
    <cellStyle name="Normal 2 4 2 5 2 3 3 2" xfId="13964" xr:uid="{D59748B1-95AD-4E8A-A729-41E88944B73C}"/>
    <cellStyle name="Normal 2 4 2 5 2 3 3 3" xfId="22411" xr:uid="{96A963C0-29EB-41DA-A2DA-8D13C9411D5C}"/>
    <cellStyle name="Normal 2 4 2 5 2 3 3 4" xfId="30858" xr:uid="{D742F3D7-75AB-4518-87B1-2FA53FEFD92A}"/>
    <cellStyle name="Normal 2 4 2 5 2 3 4" xfId="9746" xr:uid="{1040D9A1-7F3C-472A-8B1A-D0185782D361}"/>
    <cellStyle name="Normal 2 4 2 5 2 3 5" xfId="18194" xr:uid="{47B61807-6786-46D2-87D5-24F545A48071}"/>
    <cellStyle name="Normal 2 4 2 5 2 3 6" xfId="26641" xr:uid="{A0EB129E-BC5A-4BB8-9540-8A7918E408D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6E983D6A-3C9B-4956-B41F-C33455B1B07B}"/>
    <cellStyle name="Normal 2 4 2 5 2 4 2 2 3" xfId="24969" xr:uid="{8C959323-E323-4E54-99E4-9C23BA022D28}"/>
    <cellStyle name="Normal 2 4 2 5 2 4 2 2 4" xfId="33416" xr:uid="{8D6271B8-B042-48FA-9CE5-2FE2E7E60BE0}"/>
    <cellStyle name="Normal 2 4 2 5 2 4 2 3" xfId="12304" xr:uid="{C883315A-6D16-44D2-B5EE-8DF17A0F9F07}"/>
    <cellStyle name="Normal 2 4 2 5 2 4 2 4" xfId="20752" xr:uid="{40715EEE-4E54-4691-A8E1-02EC7E1E8297}"/>
    <cellStyle name="Normal 2 4 2 5 2 4 2 5" xfId="29199" xr:uid="{20CAAD14-B2E7-4AF7-A14F-6CD16DDB36FF}"/>
    <cellStyle name="Normal 2 4 2 5 2 4 3" xfId="5927" xr:uid="{00000000-0005-0000-0000-0000930F0000}"/>
    <cellStyle name="Normal 2 4 2 5 2 4 3 2" xfId="14377" xr:uid="{A1294839-6604-49FD-A5E4-186A096A516D}"/>
    <cellStyle name="Normal 2 4 2 5 2 4 3 3" xfId="22824" xr:uid="{B72D2665-61FF-47C5-B548-F8C5BBD373C0}"/>
    <cellStyle name="Normal 2 4 2 5 2 4 3 4" xfId="31271" xr:uid="{772D158B-A2DC-4979-940A-8ACC05453372}"/>
    <cellStyle name="Normal 2 4 2 5 2 4 4" xfId="10159" xr:uid="{69811ADA-587D-4B18-AF5F-58EAC4C04F23}"/>
    <cellStyle name="Normal 2 4 2 5 2 4 5" xfId="18607" xr:uid="{A2D9BE8D-7279-477D-8BA2-FB2F55188F35}"/>
    <cellStyle name="Normal 2 4 2 5 2 4 6" xfId="27054" xr:uid="{42E62D96-B4CE-409C-B735-6BAF46F7E587}"/>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FB217FFA-98E1-43A9-8B1A-D2D17C4E2433}"/>
    <cellStyle name="Normal 2 4 2 5 2 5 2 2 3" xfId="25382" xr:uid="{CC7B94C0-EE51-4CC8-928F-8119E8B6F81B}"/>
    <cellStyle name="Normal 2 4 2 5 2 5 2 2 4" xfId="33829" xr:uid="{2D39821E-5A2C-4C8F-9518-27402BE03D87}"/>
    <cellStyle name="Normal 2 4 2 5 2 5 2 3" xfId="12717" xr:uid="{B376FA8F-F4EE-4CA0-822F-BADCEB762115}"/>
    <cellStyle name="Normal 2 4 2 5 2 5 2 4" xfId="21165" xr:uid="{08646B67-7D0C-4C3F-8705-C79D39FACEFD}"/>
    <cellStyle name="Normal 2 4 2 5 2 5 2 5" xfId="29612" xr:uid="{18AEE8AF-34A4-40AD-9428-14DF25470480}"/>
    <cellStyle name="Normal 2 4 2 5 2 5 3" xfId="6340" xr:uid="{00000000-0005-0000-0000-0000970F0000}"/>
    <cellStyle name="Normal 2 4 2 5 2 5 3 2" xfId="14790" xr:uid="{0E13ACBD-2013-4288-86E4-8C913186B22C}"/>
    <cellStyle name="Normal 2 4 2 5 2 5 3 3" xfId="23237" xr:uid="{56116616-35A6-433F-8112-87FBFBA2C7A6}"/>
    <cellStyle name="Normal 2 4 2 5 2 5 3 4" xfId="31684" xr:uid="{047A2064-7530-46F0-B8E6-9CD7406CFC0E}"/>
    <cellStyle name="Normal 2 4 2 5 2 5 4" xfId="10572" xr:uid="{3AEF8FDD-8867-43B4-B9EA-58DE4DF05D6C}"/>
    <cellStyle name="Normal 2 4 2 5 2 5 5" xfId="19020" xr:uid="{14768493-7675-42D9-99F6-9DCBC3BF22EF}"/>
    <cellStyle name="Normal 2 4 2 5 2 5 6" xfId="27467" xr:uid="{DE3919CF-BF89-4381-9D32-B69355F31EBA}"/>
    <cellStyle name="Normal 2 4 2 5 2 6" xfId="2470" xr:uid="{00000000-0005-0000-0000-0000980F0000}"/>
    <cellStyle name="Normal 2 4 2 5 2 6 2" xfId="6753" xr:uid="{00000000-0005-0000-0000-0000990F0000}"/>
    <cellStyle name="Normal 2 4 2 5 2 6 2 2" xfId="15203" xr:uid="{105966B7-E9AD-440A-B23F-14D539B61110}"/>
    <cellStyle name="Normal 2 4 2 5 2 6 2 3" xfId="23650" xr:uid="{02686A7E-FADE-4E5A-88A6-1BAEC217E38D}"/>
    <cellStyle name="Normal 2 4 2 5 2 6 2 4" xfId="32097" xr:uid="{E1A02039-761A-4D3D-A14E-604C1B98A2E0}"/>
    <cellStyle name="Normal 2 4 2 5 2 6 3" xfId="10985" xr:uid="{CA8531A0-E34E-4BE2-80EE-41AEA3F0CF5E}"/>
    <cellStyle name="Normal 2 4 2 5 2 6 4" xfId="19433" xr:uid="{DB456771-C93F-4D3B-BB28-02EC6D8E528D}"/>
    <cellStyle name="Normal 2 4 2 5 2 6 5" xfId="27880" xr:uid="{840236E1-3575-4C07-8A91-75BCFB21E2EA}"/>
    <cellStyle name="Normal 2 4 2 5 2 7" xfId="4687" xr:uid="{00000000-0005-0000-0000-00009A0F0000}"/>
    <cellStyle name="Normal 2 4 2 5 2 7 2" xfId="13137" xr:uid="{6BD7CE7B-CD1C-4039-9C5D-1FBE9A71F997}"/>
    <cellStyle name="Normal 2 4 2 5 2 7 3" xfId="21584" xr:uid="{1CCE7389-9666-477D-9F5A-54481C31733E}"/>
    <cellStyle name="Normal 2 4 2 5 2 7 4" xfId="30031" xr:uid="{413C7D43-D661-4FAC-A6A3-DCB2F0957280}"/>
    <cellStyle name="Normal 2 4 2 5 2 8" xfId="8919" xr:uid="{E65BDB41-3E8F-434E-8853-6A57931466C7}"/>
    <cellStyle name="Normal 2 4 2 5 2 9" xfId="17367" xr:uid="{8EAB028A-0D02-4328-B52D-BDC794E8468C}"/>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D445AB95-EB76-4E3D-A324-0E850A38BBFA}"/>
    <cellStyle name="Normal 2 4 2 5 3 2 2 3" xfId="24142" xr:uid="{8C7E259E-5431-4331-B5F4-679374657BA6}"/>
    <cellStyle name="Normal 2 4 2 5 3 2 2 4" xfId="32589" xr:uid="{1F0791D3-6EBF-4E71-99F3-8C85FF5EB473}"/>
    <cellStyle name="Normal 2 4 2 5 3 2 3" xfId="11477" xr:uid="{ADCFED56-26A3-424B-BA8E-B768AE4DE3E5}"/>
    <cellStyle name="Normal 2 4 2 5 3 2 4" xfId="19925" xr:uid="{00D341FA-FD39-4B3A-9B10-4B5992EC2876}"/>
    <cellStyle name="Normal 2 4 2 5 3 2 5" xfId="28372" xr:uid="{FBA84E19-5358-40CB-BCE8-B827BA0C63C8}"/>
    <cellStyle name="Normal 2 4 2 5 3 3" xfId="5100" xr:uid="{00000000-0005-0000-0000-00009E0F0000}"/>
    <cellStyle name="Normal 2 4 2 5 3 3 2" xfId="13550" xr:uid="{9BFC11CC-38CD-4C4A-A4C5-50C862F1426B}"/>
    <cellStyle name="Normal 2 4 2 5 3 3 3" xfId="21997" xr:uid="{4A8EEB88-2190-4B8D-A9A4-2294AB556703}"/>
    <cellStyle name="Normal 2 4 2 5 3 3 4" xfId="30444" xr:uid="{2C9707D1-1843-4A93-BD9B-A50F046264B1}"/>
    <cellStyle name="Normal 2 4 2 5 3 4" xfId="9332" xr:uid="{652A25A7-788B-4930-9663-F8BAD45B6D7B}"/>
    <cellStyle name="Normal 2 4 2 5 3 5" xfId="17780" xr:uid="{AE8B3665-3D39-4D74-8527-9EA537450B8A}"/>
    <cellStyle name="Normal 2 4 2 5 3 6" xfId="26227" xr:uid="{296DE229-AF40-42B7-AE27-4E969C07C317}"/>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8251516B-6D8E-4165-A8E4-EBECD00CDF88}"/>
    <cellStyle name="Normal 2 4 2 5 4 2 2 3" xfId="24555" xr:uid="{F7117A36-08FD-41FB-9199-742316424209}"/>
    <cellStyle name="Normal 2 4 2 5 4 2 2 4" xfId="33002" xr:uid="{D47E7792-599C-4F5B-93B9-C7690A52A3A8}"/>
    <cellStyle name="Normal 2 4 2 5 4 2 3" xfId="11890" xr:uid="{68016B9A-A851-4818-89A5-0BF426E9A277}"/>
    <cellStyle name="Normal 2 4 2 5 4 2 4" xfId="20338" xr:uid="{1988631D-AABD-49F2-9F59-50881C893853}"/>
    <cellStyle name="Normal 2 4 2 5 4 2 5" xfId="28785" xr:uid="{6FB1C3A0-4A78-4514-B4EC-E84738B3A390}"/>
    <cellStyle name="Normal 2 4 2 5 4 3" xfId="5513" xr:uid="{00000000-0005-0000-0000-0000A20F0000}"/>
    <cellStyle name="Normal 2 4 2 5 4 3 2" xfId="13963" xr:uid="{3A6BF2D5-E028-48BC-BF0E-8BAECD0E3C38}"/>
    <cellStyle name="Normal 2 4 2 5 4 3 3" xfId="22410" xr:uid="{3CC00FA6-9449-4D5A-A16C-245F3D1DDDF2}"/>
    <cellStyle name="Normal 2 4 2 5 4 3 4" xfId="30857" xr:uid="{D58B7991-494F-4AED-8D0C-2A8CD2888485}"/>
    <cellStyle name="Normal 2 4 2 5 4 4" xfId="9745" xr:uid="{116D0C49-8C4D-4A00-B4F8-8111E0BDCF54}"/>
    <cellStyle name="Normal 2 4 2 5 4 5" xfId="18193" xr:uid="{95ACA648-34F5-4F6B-A742-A332C9F2A51C}"/>
    <cellStyle name="Normal 2 4 2 5 4 6" xfId="26640" xr:uid="{19F48483-9B28-4F34-BDC1-61392EBC8B46}"/>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B12980DC-AB30-47A0-B0CD-86FF3B294D50}"/>
    <cellStyle name="Normal 2 4 2 5 5 2 2 3" xfId="24968" xr:uid="{2E27585B-85E5-4A3B-B190-31BC28C97447}"/>
    <cellStyle name="Normal 2 4 2 5 5 2 2 4" xfId="33415" xr:uid="{EEF2EFB8-B48F-4CD9-BAD8-88598D52EE09}"/>
    <cellStyle name="Normal 2 4 2 5 5 2 3" xfId="12303" xr:uid="{EB457535-67B0-4A47-9DBE-6E8BE4DF5F0D}"/>
    <cellStyle name="Normal 2 4 2 5 5 2 4" xfId="20751" xr:uid="{CC2CE172-5346-411B-B220-B0AE037A5B17}"/>
    <cellStyle name="Normal 2 4 2 5 5 2 5" xfId="29198" xr:uid="{4CAE5CB4-0C7E-40C3-A5B6-DB18581A006C}"/>
    <cellStyle name="Normal 2 4 2 5 5 3" xfId="5926" xr:uid="{00000000-0005-0000-0000-0000A60F0000}"/>
    <cellStyle name="Normal 2 4 2 5 5 3 2" xfId="14376" xr:uid="{84E5CDE9-5B40-4AF0-A4C3-2F61AB66B67F}"/>
    <cellStyle name="Normal 2 4 2 5 5 3 3" xfId="22823" xr:uid="{8B1EA24A-2132-43BA-A5FC-E9104E19FCB3}"/>
    <cellStyle name="Normal 2 4 2 5 5 3 4" xfId="31270" xr:uid="{D98E33C7-8B5E-4645-A435-DAEEAEE0B9F6}"/>
    <cellStyle name="Normal 2 4 2 5 5 4" xfId="10158" xr:uid="{AEED2ABC-7F7D-4404-A9B3-C3FD52E32AB9}"/>
    <cellStyle name="Normal 2 4 2 5 5 5" xfId="18606" xr:uid="{C1C708CA-938F-4891-8DB5-50B49D642D5C}"/>
    <cellStyle name="Normal 2 4 2 5 5 6" xfId="27053" xr:uid="{0595C06E-06B1-443C-AF22-C86DFB8EA58F}"/>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7DEE00EF-CA74-48EF-9689-44EB5EA72433}"/>
    <cellStyle name="Normal 2 4 2 5 6 2 2 3" xfId="25381" xr:uid="{438F34D6-6DB7-43C7-BC4F-496B85F3575D}"/>
    <cellStyle name="Normal 2 4 2 5 6 2 2 4" xfId="33828" xr:uid="{EE029AAB-0B1C-41A1-A0E1-AF0706C4652E}"/>
    <cellStyle name="Normal 2 4 2 5 6 2 3" xfId="12716" xr:uid="{421B04FC-1227-4FFC-812C-51B9A6940F29}"/>
    <cellStyle name="Normal 2 4 2 5 6 2 4" xfId="21164" xr:uid="{FEC7E891-DFDD-4184-8957-2FE58BBDF441}"/>
    <cellStyle name="Normal 2 4 2 5 6 2 5" xfId="29611" xr:uid="{EED9741C-B345-440A-BE5E-A46B4ACC5575}"/>
    <cellStyle name="Normal 2 4 2 5 6 3" xfId="6339" xr:uid="{00000000-0005-0000-0000-0000AA0F0000}"/>
    <cellStyle name="Normal 2 4 2 5 6 3 2" xfId="14789" xr:uid="{C1AD0DAE-B547-43C3-BDB9-95D32F5CFB20}"/>
    <cellStyle name="Normal 2 4 2 5 6 3 3" xfId="23236" xr:uid="{AA64FB07-AA23-4DCD-AC4F-F4FF8E799E98}"/>
    <cellStyle name="Normal 2 4 2 5 6 3 4" xfId="31683" xr:uid="{F77BC8F4-DCB2-4287-8466-F80B6FEC506B}"/>
    <cellStyle name="Normal 2 4 2 5 6 4" xfId="10571" xr:uid="{AAFA8A99-1549-4CC0-BD46-04CAC865BFE6}"/>
    <cellStyle name="Normal 2 4 2 5 6 5" xfId="19019" xr:uid="{B6BEC251-147A-4A83-9B8B-565CFEFB041B}"/>
    <cellStyle name="Normal 2 4 2 5 6 6" xfId="27466" xr:uid="{7D981F4A-B180-478B-AFD4-FA4D0023F9BA}"/>
    <cellStyle name="Normal 2 4 2 5 7" xfId="2469" xr:uid="{00000000-0005-0000-0000-0000AB0F0000}"/>
    <cellStyle name="Normal 2 4 2 5 7 2" xfId="6752" xr:uid="{00000000-0005-0000-0000-0000AC0F0000}"/>
    <cellStyle name="Normal 2 4 2 5 7 2 2" xfId="15202" xr:uid="{3B1A396A-D367-4405-8096-E401269765B2}"/>
    <cellStyle name="Normal 2 4 2 5 7 2 3" xfId="23649" xr:uid="{277809C1-6431-4431-8062-C8ED6B76C791}"/>
    <cellStyle name="Normal 2 4 2 5 7 2 4" xfId="32096" xr:uid="{C04D066F-5AB9-4E95-8BD3-07B3BA261287}"/>
    <cellStyle name="Normal 2 4 2 5 7 3" xfId="10984" xr:uid="{05FE522D-C930-4C32-AC7C-AF3CBFE23C4D}"/>
    <cellStyle name="Normal 2 4 2 5 7 4" xfId="19432" xr:uid="{B8A654CC-F9D7-43E5-B7B4-2CB992F4C491}"/>
    <cellStyle name="Normal 2 4 2 5 7 5" xfId="27879" xr:uid="{98154F6B-ED7D-46DF-A548-21063DB3F452}"/>
    <cellStyle name="Normal 2 4 2 5 8" xfId="4686" xr:uid="{00000000-0005-0000-0000-0000AD0F0000}"/>
    <cellStyle name="Normal 2 4 2 5 8 2" xfId="13136" xr:uid="{0635BC17-31F7-44F8-AE6E-18372A951158}"/>
    <cellStyle name="Normal 2 4 2 5 8 3" xfId="21583" xr:uid="{66C4F63A-1CA2-4FDB-B6E5-50BF61013911}"/>
    <cellStyle name="Normal 2 4 2 5 8 4" xfId="30030" xr:uid="{6390F31D-1551-427F-BAD3-4D6088A0624B}"/>
    <cellStyle name="Normal 2 4 2 5 9" xfId="8918" xr:uid="{16356B5A-65FF-456D-A5FF-046C85CF1FDE}"/>
    <cellStyle name="Normal 2 4 2 6" xfId="295" xr:uid="{00000000-0005-0000-0000-0000AE0F0000}"/>
    <cellStyle name="Normal 2 4 2 6 10" xfId="25815" xr:uid="{D03874A9-9555-481D-A4B4-FC00645E66E5}"/>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E0BBAB6B-D07F-4B3B-8C92-18F5371E9AD2}"/>
    <cellStyle name="Normal 2 4 2 6 2 2 2 3" xfId="24144" xr:uid="{59ED5D67-8237-46F5-A85E-110E9358F009}"/>
    <cellStyle name="Normal 2 4 2 6 2 2 2 4" xfId="32591" xr:uid="{DBE8929E-B115-4518-938E-F280CC1C7FCA}"/>
    <cellStyle name="Normal 2 4 2 6 2 2 3" xfId="11479" xr:uid="{D5BB1A7E-65D0-4130-9507-73D56CFC144F}"/>
    <cellStyle name="Normal 2 4 2 6 2 2 4" xfId="19927" xr:uid="{F592BBDD-1B6D-4EAF-83FC-09D6F9C3BB87}"/>
    <cellStyle name="Normal 2 4 2 6 2 2 5" xfId="28374" xr:uid="{297B2197-EB1C-482F-AE13-0EF82ABDB109}"/>
    <cellStyle name="Normal 2 4 2 6 2 3" xfId="5102" xr:uid="{00000000-0005-0000-0000-0000B20F0000}"/>
    <cellStyle name="Normal 2 4 2 6 2 3 2" xfId="13552" xr:uid="{85C8A814-DBB3-4F44-B89D-1288D73B406D}"/>
    <cellStyle name="Normal 2 4 2 6 2 3 3" xfId="21999" xr:uid="{59469994-BCC0-40A4-8A36-06B9A080413B}"/>
    <cellStyle name="Normal 2 4 2 6 2 3 4" xfId="30446" xr:uid="{E2B7B879-989C-4A9D-847A-BB1704D5B2EB}"/>
    <cellStyle name="Normal 2 4 2 6 2 4" xfId="9334" xr:uid="{46749D6A-A2BD-4F56-A9B7-8F58E0612352}"/>
    <cellStyle name="Normal 2 4 2 6 2 5" xfId="17782" xr:uid="{487F8509-CC0D-47F0-BA38-A2591E5477C4}"/>
    <cellStyle name="Normal 2 4 2 6 2 6" xfId="26229" xr:uid="{B7457245-BF88-45A5-A299-DBD432695020}"/>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CEA4892D-9555-48D5-871A-344DAE2CB08F}"/>
    <cellStyle name="Normal 2 4 2 6 3 2 2 3" xfId="24557" xr:uid="{ED077610-7BDB-41FB-AED1-EF80072B1568}"/>
    <cellStyle name="Normal 2 4 2 6 3 2 2 4" xfId="33004" xr:uid="{AA00B13A-5F90-4E4C-85C8-BC634E2F690D}"/>
    <cellStyle name="Normal 2 4 2 6 3 2 3" xfId="11892" xr:uid="{4406B0A6-9EDD-463E-AAFE-218CEE2ED925}"/>
    <cellStyle name="Normal 2 4 2 6 3 2 4" xfId="20340" xr:uid="{16EF3688-23A0-4DD5-B818-B300D47E8D77}"/>
    <cellStyle name="Normal 2 4 2 6 3 2 5" xfId="28787" xr:uid="{B548946C-4A43-4EC4-8AEB-F086F30DC575}"/>
    <cellStyle name="Normal 2 4 2 6 3 3" xfId="5515" xr:uid="{00000000-0005-0000-0000-0000B60F0000}"/>
    <cellStyle name="Normal 2 4 2 6 3 3 2" xfId="13965" xr:uid="{B955BDE8-FD17-4D54-AB01-D4D650737F73}"/>
    <cellStyle name="Normal 2 4 2 6 3 3 3" xfId="22412" xr:uid="{BFB70B4F-FB5F-4B2F-9DE3-8786B4F2C5FF}"/>
    <cellStyle name="Normal 2 4 2 6 3 3 4" xfId="30859" xr:uid="{EF069A76-DAD2-482E-BCF1-C8D5241629B9}"/>
    <cellStyle name="Normal 2 4 2 6 3 4" xfId="9747" xr:uid="{FE1B9123-97E8-483F-B93C-41827CD1AB0F}"/>
    <cellStyle name="Normal 2 4 2 6 3 5" xfId="18195" xr:uid="{054AF1C2-D6FE-40C0-8FD3-A80C7E7A2E6F}"/>
    <cellStyle name="Normal 2 4 2 6 3 6" xfId="26642" xr:uid="{02A10EBE-1861-4EED-9699-D1BA533ACA7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9E864FE1-D3D2-47DA-AB95-3A55F34A176F}"/>
    <cellStyle name="Normal 2 4 2 6 4 2 2 3" xfId="24970" xr:uid="{898CA248-A011-4755-A0A4-E9641801C998}"/>
    <cellStyle name="Normal 2 4 2 6 4 2 2 4" xfId="33417" xr:uid="{98D0A94D-1A1E-484F-806E-77F5A79325BF}"/>
    <cellStyle name="Normal 2 4 2 6 4 2 3" xfId="12305" xr:uid="{E19438A7-EFBF-43D5-A4BA-41E4A074F098}"/>
    <cellStyle name="Normal 2 4 2 6 4 2 4" xfId="20753" xr:uid="{FFC5D5FC-928E-44E0-89CC-AD41E086F19D}"/>
    <cellStyle name="Normal 2 4 2 6 4 2 5" xfId="29200" xr:uid="{C417D690-D3CE-400D-B0FF-E870136F8FC4}"/>
    <cellStyle name="Normal 2 4 2 6 4 3" xfId="5928" xr:uid="{00000000-0005-0000-0000-0000BA0F0000}"/>
    <cellStyle name="Normal 2 4 2 6 4 3 2" xfId="14378" xr:uid="{088B1BB2-996D-4F67-8455-08D993A054BA}"/>
    <cellStyle name="Normal 2 4 2 6 4 3 3" xfId="22825" xr:uid="{50500F61-D8C6-4650-A76F-8AA28669BB68}"/>
    <cellStyle name="Normal 2 4 2 6 4 3 4" xfId="31272" xr:uid="{963AE5CE-396E-46E2-9FF2-5CC5F50F916A}"/>
    <cellStyle name="Normal 2 4 2 6 4 4" xfId="10160" xr:uid="{B1D70AD5-9B75-4673-87FF-187DB394C0D6}"/>
    <cellStyle name="Normal 2 4 2 6 4 5" xfId="18608" xr:uid="{4F5D0EC5-E226-48AA-BCC1-A19DB316BE67}"/>
    <cellStyle name="Normal 2 4 2 6 4 6" xfId="27055" xr:uid="{2B0A8191-6D62-463C-B650-C4B8AB9152E5}"/>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D3686245-3AB7-4E4F-B1CC-8E9C28D1CB34}"/>
    <cellStyle name="Normal 2 4 2 6 5 2 2 3" xfId="25383" xr:uid="{CB8C105E-A51B-499B-BA00-D4320CE14D4A}"/>
    <cellStyle name="Normal 2 4 2 6 5 2 2 4" xfId="33830" xr:uid="{24F5AE2F-8001-4EE9-87BA-3E5C614776FD}"/>
    <cellStyle name="Normal 2 4 2 6 5 2 3" xfId="12718" xr:uid="{1FC2A37B-5FBC-499B-829B-B317C94EA675}"/>
    <cellStyle name="Normal 2 4 2 6 5 2 4" xfId="21166" xr:uid="{7373BC16-184C-4B15-A7A9-7539F4A98088}"/>
    <cellStyle name="Normal 2 4 2 6 5 2 5" xfId="29613" xr:uid="{FADA0EC3-88CA-4028-B180-BD90A39C06B9}"/>
    <cellStyle name="Normal 2 4 2 6 5 3" xfId="6341" xr:uid="{00000000-0005-0000-0000-0000BE0F0000}"/>
    <cellStyle name="Normal 2 4 2 6 5 3 2" xfId="14791" xr:uid="{7138380E-9544-4077-95D4-F9C9A3ACBDF2}"/>
    <cellStyle name="Normal 2 4 2 6 5 3 3" xfId="23238" xr:uid="{32C2F718-DED9-4476-9824-3486A0C0E6EC}"/>
    <cellStyle name="Normal 2 4 2 6 5 3 4" xfId="31685" xr:uid="{A0AF74BF-0AE5-434D-A223-A625E86CF758}"/>
    <cellStyle name="Normal 2 4 2 6 5 4" xfId="10573" xr:uid="{B8C9A1F3-D976-41D4-9B1D-85A6FA837AFE}"/>
    <cellStyle name="Normal 2 4 2 6 5 5" xfId="19021" xr:uid="{79480AAF-1C80-4789-815C-087C07A9E183}"/>
    <cellStyle name="Normal 2 4 2 6 5 6" xfId="27468" xr:uid="{88F9BFFD-E009-4295-82C6-D2E382F8F409}"/>
    <cellStyle name="Normal 2 4 2 6 6" xfId="2471" xr:uid="{00000000-0005-0000-0000-0000BF0F0000}"/>
    <cellStyle name="Normal 2 4 2 6 6 2" xfId="6754" xr:uid="{00000000-0005-0000-0000-0000C00F0000}"/>
    <cellStyle name="Normal 2 4 2 6 6 2 2" xfId="15204" xr:uid="{8212DAD7-F622-4E3D-A4EA-124A01097E8E}"/>
    <cellStyle name="Normal 2 4 2 6 6 2 3" xfId="23651" xr:uid="{0C67BBC7-D7E4-48B4-99CF-1978E72E9A6E}"/>
    <cellStyle name="Normal 2 4 2 6 6 2 4" xfId="32098" xr:uid="{B369D70E-D66C-4849-9B16-E29B0B971672}"/>
    <cellStyle name="Normal 2 4 2 6 6 3" xfId="10986" xr:uid="{CF2483FA-1F57-4AD1-A9A6-F123B4D73E1C}"/>
    <cellStyle name="Normal 2 4 2 6 6 4" xfId="19434" xr:uid="{AC35E6A9-2BBA-4569-8A05-016262C91C90}"/>
    <cellStyle name="Normal 2 4 2 6 6 5" xfId="27881" xr:uid="{0E30EE66-17A9-4461-9702-7446A7010B3A}"/>
    <cellStyle name="Normal 2 4 2 6 7" xfId="4688" xr:uid="{00000000-0005-0000-0000-0000C10F0000}"/>
    <cellStyle name="Normal 2 4 2 6 7 2" xfId="13138" xr:uid="{D85D544B-4A6F-499E-848F-C1BE60675778}"/>
    <cellStyle name="Normal 2 4 2 6 7 3" xfId="21585" xr:uid="{F56FDE7A-1965-48BA-ACA8-26FD9CF2ECB7}"/>
    <cellStyle name="Normal 2 4 2 6 7 4" xfId="30032" xr:uid="{850E1E9D-7CF2-4E1F-BE50-A4E3BFD4CACB}"/>
    <cellStyle name="Normal 2 4 2 6 8" xfId="8920" xr:uid="{C37045C7-D868-4F04-8E00-06AFDDE905E7}"/>
    <cellStyle name="Normal 2 4 2 6 9" xfId="17368" xr:uid="{30768950-7B86-41B6-A6DA-E28E247640BB}"/>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589BA8AC-E24E-41C2-940C-1A79492F7F78}"/>
    <cellStyle name="Normal 2 4 2 7 2 2 3" xfId="24129" xr:uid="{94F777A7-CA0F-4AE0-AE28-70456FAD6129}"/>
    <cellStyle name="Normal 2 4 2 7 2 2 4" xfId="32576" xr:uid="{5D1A9363-53E6-48A4-AAB4-2422D54B52E7}"/>
    <cellStyle name="Normal 2 4 2 7 2 3" xfId="11464" xr:uid="{6893D98D-9460-4937-BA33-6C38416A97E4}"/>
    <cellStyle name="Normal 2 4 2 7 2 4" xfId="19912" xr:uid="{F1848419-D3FC-4523-A7D5-4994C2FB00CD}"/>
    <cellStyle name="Normal 2 4 2 7 2 5" xfId="28359" xr:uid="{F33082A9-438D-4613-934D-10671BD7AA03}"/>
    <cellStyle name="Normal 2 4 2 7 3" xfId="5087" xr:uid="{00000000-0005-0000-0000-0000C50F0000}"/>
    <cellStyle name="Normal 2 4 2 7 3 2" xfId="13537" xr:uid="{B3CA6809-F0BE-42C0-9C02-A7F27231B9EC}"/>
    <cellStyle name="Normal 2 4 2 7 3 3" xfId="21984" xr:uid="{948A6819-8731-4BE7-B56F-EF7710372155}"/>
    <cellStyle name="Normal 2 4 2 7 3 4" xfId="30431" xr:uid="{7AFBF96E-76D7-4F4D-8364-2B75D048439F}"/>
    <cellStyle name="Normal 2 4 2 7 4" xfId="9319" xr:uid="{E0117D82-E5CC-4241-B78F-3B62FA193623}"/>
    <cellStyle name="Normal 2 4 2 7 5" xfId="17767" xr:uid="{B64B43B7-B90A-446F-ABDB-C73897DD545D}"/>
    <cellStyle name="Normal 2 4 2 7 6" xfId="26214" xr:uid="{E67BE3A7-F7E2-4FDB-A7B5-1A3290276C82}"/>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ADD15B9A-A9F1-4AFA-ABAE-956166B6CEAA}"/>
    <cellStyle name="Normal 2 4 2 8 2 2 3" xfId="24542" xr:uid="{9C598F24-791E-4B9B-8E7E-C2E4A9B78078}"/>
    <cellStyle name="Normal 2 4 2 8 2 2 4" xfId="32989" xr:uid="{63A666C1-D56F-4AB9-AC82-792343463757}"/>
    <cellStyle name="Normal 2 4 2 8 2 3" xfId="11877" xr:uid="{7F8BCCCE-23F9-47B2-A1F1-AA0D36DC0770}"/>
    <cellStyle name="Normal 2 4 2 8 2 4" xfId="20325" xr:uid="{CAA98647-4C44-4EF1-87A4-287DC26161F6}"/>
    <cellStyle name="Normal 2 4 2 8 2 5" xfId="28772" xr:uid="{E6F605AA-920E-4695-9F80-01A8D377FEC9}"/>
    <cellStyle name="Normal 2 4 2 8 3" xfId="5500" xr:uid="{00000000-0005-0000-0000-0000C90F0000}"/>
    <cellStyle name="Normal 2 4 2 8 3 2" xfId="13950" xr:uid="{99718FE0-DCBC-4AD0-B871-1E8B1BFD1581}"/>
    <cellStyle name="Normal 2 4 2 8 3 3" xfId="22397" xr:uid="{9B163547-7759-47BD-BE8E-D1997EEA2F14}"/>
    <cellStyle name="Normal 2 4 2 8 3 4" xfId="30844" xr:uid="{B6FE9C73-CC4F-4C79-870D-82A291637B75}"/>
    <cellStyle name="Normal 2 4 2 8 4" xfId="9732" xr:uid="{C19F8B31-2F01-49F9-8530-25BD5EE9FD86}"/>
    <cellStyle name="Normal 2 4 2 8 5" xfId="18180" xr:uid="{08103C23-6E99-4D57-BCCA-2E0ECF36791A}"/>
    <cellStyle name="Normal 2 4 2 8 6" xfId="26627" xr:uid="{60A53696-3D72-4BC1-AEB2-C366D0E0A7F0}"/>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B21FBE7C-678A-496A-899B-E943C1214A8F}"/>
    <cellStyle name="Normal 2 4 2 9 2 2 3" xfId="24955" xr:uid="{DFE79F05-23AF-47C3-9FCA-538123EFD33A}"/>
    <cellStyle name="Normal 2 4 2 9 2 2 4" xfId="33402" xr:uid="{C869ABAA-A1E2-412B-9B29-9FC629BB730A}"/>
    <cellStyle name="Normal 2 4 2 9 2 3" xfId="12290" xr:uid="{59FEC0B8-0425-41DA-99AA-C0B288124E38}"/>
    <cellStyle name="Normal 2 4 2 9 2 4" xfId="20738" xr:uid="{6D021908-C22D-45E9-B355-459B29166F2B}"/>
    <cellStyle name="Normal 2 4 2 9 2 5" xfId="29185" xr:uid="{A79CA9FE-D13C-4B52-8DA3-F371F325DEF8}"/>
    <cellStyle name="Normal 2 4 2 9 3" xfId="5913" xr:uid="{00000000-0005-0000-0000-0000CD0F0000}"/>
    <cellStyle name="Normal 2 4 2 9 3 2" xfId="14363" xr:uid="{4E25271B-1EFE-4B09-80A4-E085EDB9689D}"/>
    <cellStyle name="Normal 2 4 2 9 3 3" xfId="22810" xr:uid="{1A570D1C-F237-45E0-B4CA-770610126788}"/>
    <cellStyle name="Normal 2 4 2 9 3 4" xfId="31257" xr:uid="{82E9CEE1-3098-4972-B3D3-5B75DC0107EB}"/>
    <cellStyle name="Normal 2 4 2 9 4" xfId="10145" xr:uid="{7230C8BD-7B24-4A50-9013-320057F50F94}"/>
    <cellStyle name="Normal 2 4 2 9 5" xfId="18593" xr:uid="{752EF1DA-7EBA-4C70-A61A-C18DA57E7409}"/>
    <cellStyle name="Normal 2 4 2 9 6" xfId="27040" xr:uid="{12EE82F2-E2E3-4376-8463-454C74AD643F}"/>
    <cellStyle name="Normal 2 4 3" xfId="296" xr:uid="{00000000-0005-0000-0000-0000CE0F0000}"/>
    <cellStyle name="Normal 2 4 3 10" xfId="8921" xr:uid="{54D0E177-5365-44CE-8A9B-665A05861FBD}"/>
    <cellStyle name="Normal 2 4 3 11" xfId="17369" xr:uid="{DAC2779D-1BE2-40B9-8C4D-A8BFE7EE8527}"/>
    <cellStyle name="Normal 2 4 3 12" xfId="25816" xr:uid="{287FEAFD-E50F-4A8C-8541-091AFFB6C632}"/>
    <cellStyle name="Normal 2 4 3 2" xfId="297" xr:uid="{00000000-0005-0000-0000-0000CF0F0000}"/>
    <cellStyle name="Normal 2 4 3 3" xfId="298" xr:uid="{00000000-0005-0000-0000-0000D00F0000}"/>
    <cellStyle name="Normal 2 4 3 3 10" xfId="8922" xr:uid="{9656B398-CC72-4097-BC14-FB50885E1057}"/>
    <cellStyle name="Normal 2 4 3 3 11" xfId="17370" xr:uid="{F492BD74-E1B3-421B-AE60-46399406EB20}"/>
    <cellStyle name="Normal 2 4 3 3 12" xfId="25817" xr:uid="{F5C819D3-7E63-475F-8816-89BE3BB8AA61}"/>
    <cellStyle name="Normal 2 4 3 3 2" xfId="299" xr:uid="{00000000-0005-0000-0000-0000D10F0000}"/>
    <cellStyle name="Normal 2 4 3 3 2 10" xfId="17371" xr:uid="{7C666D79-A5E0-4E50-BFE0-5590510D7202}"/>
    <cellStyle name="Normal 2 4 3 3 2 11" xfId="25818" xr:uid="{B107B460-BDE0-485B-97FF-8FBC0509ED1E}"/>
    <cellStyle name="Normal 2 4 3 3 2 2" xfId="300" xr:uid="{00000000-0005-0000-0000-0000D20F0000}"/>
    <cellStyle name="Normal 2 4 3 3 2 2 10" xfId="25819" xr:uid="{4BBA1927-50F4-41F2-8080-2D60580EBB3F}"/>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EAAEE2DA-6AA1-468A-A5D9-18BDBDAA377D}"/>
    <cellStyle name="Normal 2 4 3 3 2 2 2 2 2 3" xfId="24148" xr:uid="{91C30C56-A0DB-4639-A854-7FFB70E597AE}"/>
    <cellStyle name="Normal 2 4 3 3 2 2 2 2 2 4" xfId="32595" xr:uid="{59D53B72-0ED8-44F5-ADC0-401EDD119572}"/>
    <cellStyle name="Normal 2 4 3 3 2 2 2 2 3" xfId="11483" xr:uid="{AD228F11-06D9-4831-A442-18A0EB48ABC8}"/>
    <cellStyle name="Normal 2 4 3 3 2 2 2 2 4" xfId="19931" xr:uid="{F70A80F7-9DD4-4A65-8EF3-564AE6F96FD8}"/>
    <cellStyle name="Normal 2 4 3 3 2 2 2 2 5" xfId="28378" xr:uid="{2ED531B2-3627-4561-9D49-605AF7B394AE}"/>
    <cellStyle name="Normal 2 4 3 3 2 2 2 3" xfId="5106" xr:uid="{00000000-0005-0000-0000-0000D60F0000}"/>
    <cellStyle name="Normal 2 4 3 3 2 2 2 3 2" xfId="13556" xr:uid="{2165577D-C60E-400E-8C95-7BF1FFE33BF3}"/>
    <cellStyle name="Normal 2 4 3 3 2 2 2 3 3" xfId="22003" xr:uid="{A3298987-AE84-4A38-AF1F-4F28CF26108B}"/>
    <cellStyle name="Normal 2 4 3 3 2 2 2 3 4" xfId="30450" xr:uid="{F63550F9-08BA-4FE2-AA52-A56A8BD322DD}"/>
    <cellStyle name="Normal 2 4 3 3 2 2 2 4" xfId="9338" xr:uid="{B78D9792-E84D-4AC8-BC9F-2BDD2A01AAC7}"/>
    <cellStyle name="Normal 2 4 3 3 2 2 2 5" xfId="17786" xr:uid="{5FB6CBE7-8CA7-4861-A662-C936B0AE10F9}"/>
    <cellStyle name="Normal 2 4 3 3 2 2 2 6" xfId="26233" xr:uid="{B5E89B63-9DC9-4C67-BDD9-97B166743491}"/>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17F6587-D9B4-4664-8A60-BD99170F5712}"/>
    <cellStyle name="Normal 2 4 3 3 2 2 3 2 2 3" xfId="24561" xr:uid="{7975A6E2-674B-43EB-838D-6EFFE6CC1177}"/>
    <cellStyle name="Normal 2 4 3 3 2 2 3 2 2 4" xfId="33008" xr:uid="{038EE242-7792-477C-833D-69AB0A0326C2}"/>
    <cellStyle name="Normal 2 4 3 3 2 2 3 2 3" xfId="11896" xr:uid="{C2F4BDD4-7179-484C-B420-60D3B591C603}"/>
    <cellStyle name="Normal 2 4 3 3 2 2 3 2 4" xfId="20344" xr:uid="{498B5501-8BCF-42A7-9CFA-934922E9AABF}"/>
    <cellStyle name="Normal 2 4 3 3 2 2 3 2 5" xfId="28791" xr:uid="{FBD22607-1421-4C3A-AEE0-40FF815C4573}"/>
    <cellStyle name="Normal 2 4 3 3 2 2 3 3" xfId="5519" xr:uid="{00000000-0005-0000-0000-0000DA0F0000}"/>
    <cellStyle name="Normal 2 4 3 3 2 2 3 3 2" xfId="13969" xr:uid="{16324923-EC3F-43F1-BAEF-6C85D7972945}"/>
    <cellStyle name="Normal 2 4 3 3 2 2 3 3 3" xfId="22416" xr:uid="{9194A014-1603-4AFB-990B-A0C7E68E35CE}"/>
    <cellStyle name="Normal 2 4 3 3 2 2 3 3 4" xfId="30863" xr:uid="{1793ED60-BF5A-48EB-813C-1C52457A2B44}"/>
    <cellStyle name="Normal 2 4 3 3 2 2 3 4" xfId="9751" xr:uid="{13800193-0B06-411A-A9A8-014B498FEB69}"/>
    <cellStyle name="Normal 2 4 3 3 2 2 3 5" xfId="18199" xr:uid="{3B5AB615-52B3-4FD4-BDF9-B08E0F4A5E3E}"/>
    <cellStyle name="Normal 2 4 3 3 2 2 3 6" xfId="26646" xr:uid="{DBBB91E5-EA4E-4DC1-A1F1-C9455216417D}"/>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E605F798-60EB-4C7F-9453-98C94698DA42}"/>
    <cellStyle name="Normal 2 4 3 3 2 2 4 2 2 3" xfId="24974" xr:uid="{72E693C4-ED2D-4305-BBF7-A599A8A764DC}"/>
    <cellStyle name="Normal 2 4 3 3 2 2 4 2 2 4" xfId="33421" xr:uid="{5DF17D3D-D94B-45CA-BF11-B02319FC951A}"/>
    <cellStyle name="Normal 2 4 3 3 2 2 4 2 3" xfId="12309" xr:uid="{E022E136-DB52-4288-9FBA-1211DFD9A28F}"/>
    <cellStyle name="Normal 2 4 3 3 2 2 4 2 4" xfId="20757" xr:uid="{255B3D7F-57EA-48FB-8E2F-4A6EC8E4732B}"/>
    <cellStyle name="Normal 2 4 3 3 2 2 4 2 5" xfId="29204" xr:uid="{85EF2722-16B4-4A00-ADFE-CD6858404766}"/>
    <cellStyle name="Normal 2 4 3 3 2 2 4 3" xfId="5932" xr:uid="{00000000-0005-0000-0000-0000DE0F0000}"/>
    <cellStyle name="Normal 2 4 3 3 2 2 4 3 2" xfId="14382" xr:uid="{DC943B60-9B8A-42A7-A604-4D09CB2BA85F}"/>
    <cellStyle name="Normal 2 4 3 3 2 2 4 3 3" xfId="22829" xr:uid="{05D231AA-2B42-497E-9C8D-92BBD770FAD6}"/>
    <cellStyle name="Normal 2 4 3 3 2 2 4 3 4" xfId="31276" xr:uid="{6BE7E444-5E94-47E5-9D91-B345818EFD28}"/>
    <cellStyle name="Normal 2 4 3 3 2 2 4 4" xfId="10164" xr:uid="{22C4359F-76DC-46FA-88A1-9A7AC45DDB7E}"/>
    <cellStyle name="Normal 2 4 3 3 2 2 4 5" xfId="18612" xr:uid="{EDE96835-AC03-4448-A9E3-83326AB24727}"/>
    <cellStyle name="Normal 2 4 3 3 2 2 4 6" xfId="27059" xr:uid="{14552116-820A-4636-8C4A-3839CC8915B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FE37CFC9-F1D8-4891-9842-707F93B81BD3}"/>
    <cellStyle name="Normal 2 4 3 3 2 2 5 2 2 3" xfId="25387" xr:uid="{89C2A438-F1BB-4FEF-AF02-F0C9913C3414}"/>
    <cellStyle name="Normal 2 4 3 3 2 2 5 2 2 4" xfId="33834" xr:uid="{49C3C9EC-D336-447D-8C1B-51DD032900BF}"/>
    <cellStyle name="Normal 2 4 3 3 2 2 5 2 3" xfId="12722" xr:uid="{4B30DFE5-EE1B-468C-97CA-B29950F408EB}"/>
    <cellStyle name="Normal 2 4 3 3 2 2 5 2 4" xfId="21170" xr:uid="{97495B39-80BE-4279-B0B7-D544AAE96C32}"/>
    <cellStyle name="Normal 2 4 3 3 2 2 5 2 5" xfId="29617" xr:uid="{17BF821F-CF8E-47AB-99A7-CA19306CB428}"/>
    <cellStyle name="Normal 2 4 3 3 2 2 5 3" xfId="6345" xr:uid="{00000000-0005-0000-0000-0000E20F0000}"/>
    <cellStyle name="Normal 2 4 3 3 2 2 5 3 2" xfId="14795" xr:uid="{24C7B38D-215D-49B5-983B-9BF30378F2C6}"/>
    <cellStyle name="Normal 2 4 3 3 2 2 5 3 3" xfId="23242" xr:uid="{AF36726C-9E3D-451F-858F-A6BCD27B27CE}"/>
    <cellStyle name="Normal 2 4 3 3 2 2 5 3 4" xfId="31689" xr:uid="{4D2F9827-B3D9-4815-ADFC-10A4B177A18A}"/>
    <cellStyle name="Normal 2 4 3 3 2 2 5 4" xfId="10577" xr:uid="{760AD58F-8C07-4742-A4B8-4FD5AF195ACD}"/>
    <cellStyle name="Normal 2 4 3 3 2 2 5 5" xfId="19025" xr:uid="{27EAF6AA-3D2A-48D4-8EF9-376A23647C04}"/>
    <cellStyle name="Normal 2 4 3 3 2 2 5 6" xfId="27472" xr:uid="{C912FF13-F191-44AE-9EE9-12513768471F}"/>
    <cellStyle name="Normal 2 4 3 3 2 2 6" xfId="2475" xr:uid="{00000000-0005-0000-0000-0000E30F0000}"/>
    <cellStyle name="Normal 2 4 3 3 2 2 6 2" xfId="6758" xr:uid="{00000000-0005-0000-0000-0000E40F0000}"/>
    <cellStyle name="Normal 2 4 3 3 2 2 6 2 2" xfId="15208" xr:uid="{8E5571CC-A910-41C6-A77D-D732BAE0B0C4}"/>
    <cellStyle name="Normal 2 4 3 3 2 2 6 2 3" xfId="23655" xr:uid="{85D4EB43-C0B7-4E58-8F2E-2914032C4B53}"/>
    <cellStyle name="Normal 2 4 3 3 2 2 6 2 4" xfId="32102" xr:uid="{D7679F6A-1C7D-48F1-8766-A144AE60E820}"/>
    <cellStyle name="Normal 2 4 3 3 2 2 6 3" xfId="10990" xr:uid="{BD69E76E-5714-4658-A73B-45F4CDD22F1E}"/>
    <cellStyle name="Normal 2 4 3 3 2 2 6 4" xfId="19438" xr:uid="{40ADAAC7-9453-44D3-BDDB-2CA0568CFB88}"/>
    <cellStyle name="Normal 2 4 3 3 2 2 6 5" xfId="27885" xr:uid="{D6ABF810-459A-4455-ADEE-1EB84D846D1A}"/>
    <cellStyle name="Normal 2 4 3 3 2 2 7" xfId="4692" xr:uid="{00000000-0005-0000-0000-0000E50F0000}"/>
    <cellStyle name="Normal 2 4 3 3 2 2 7 2" xfId="13142" xr:uid="{25C999EF-55DB-4EC7-9405-7C456F3E11DA}"/>
    <cellStyle name="Normal 2 4 3 3 2 2 7 3" xfId="21589" xr:uid="{48B01D27-CA87-404A-976F-7154716BCAB0}"/>
    <cellStyle name="Normal 2 4 3 3 2 2 7 4" xfId="30036" xr:uid="{E848C230-41CE-42A9-BDB7-9D9B50935476}"/>
    <cellStyle name="Normal 2 4 3 3 2 2 8" xfId="8924" xr:uid="{1AE34A78-92B1-4BAB-A59D-B99DF8D87CB0}"/>
    <cellStyle name="Normal 2 4 3 3 2 2 9" xfId="17372" xr:uid="{4DD1AD34-4DCF-4AED-ABCF-745D47190A46}"/>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33C37477-34CD-4D4A-BBD7-28C2532F5B53}"/>
    <cellStyle name="Normal 2 4 3 3 2 3 2 2 3" xfId="24147" xr:uid="{F4FD1D34-1811-47F8-BD99-835C06FDBDBD}"/>
    <cellStyle name="Normal 2 4 3 3 2 3 2 2 4" xfId="32594" xr:uid="{B2BEC8C9-16D9-4BBE-AE15-E3E4060F7E0B}"/>
    <cellStyle name="Normal 2 4 3 3 2 3 2 3" xfId="11482" xr:uid="{91EDD293-55B8-4E02-9E4C-2711D820E072}"/>
    <cellStyle name="Normal 2 4 3 3 2 3 2 4" xfId="19930" xr:uid="{0887E0B1-C112-4D31-83DA-2860DF93C2A9}"/>
    <cellStyle name="Normal 2 4 3 3 2 3 2 5" xfId="28377" xr:uid="{9ACE8FE3-9AB0-4C19-A313-D52247AB2153}"/>
    <cellStyle name="Normal 2 4 3 3 2 3 3" xfId="5105" xr:uid="{00000000-0005-0000-0000-0000E90F0000}"/>
    <cellStyle name="Normal 2 4 3 3 2 3 3 2" xfId="13555" xr:uid="{6323B41C-D9CB-47C9-BEDF-947BB9170273}"/>
    <cellStyle name="Normal 2 4 3 3 2 3 3 3" xfId="22002" xr:uid="{F219D65D-DEEF-48BC-A465-2D1A4A0AB7C2}"/>
    <cellStyle name="Normal 2 4 3 3 2 3 3 4" xfId="30449" xr:uid="{9EA8BFEA-7F65-457C-8351-B390835AEFE9}"/>
    <cellStyle name="Normal 2 4 3 3 2 3 4" xfId="9337" xr:uid="{4DC48B58-1E6D-471A-88FC-243EE44D46A8}"/>
    <cellStyle name="Normal 2 4 3 3 2 3 5" xfId="17785" xr:uid="{CE9AB244-C1AD-40AA-9302-5086153E60CD}"/>
    <cellStyle name="Normal 2 4 3 3 2 3 6" xfId="26232" xr:uid="{E12B3EA5-12D0-4822-B031-5FF4A0A929D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6302D55A-9218-424A-A97F-F449EBCFBBE6}"/>
    <cellStyle name="Normal 2 4 3 3 2 4 2 2 3" xfId="24560" xr:uid="{16D77226-8952-46CC-8ABB-C53009FEDDBE}"/>
    <cellStyle name="Normal 2 4 3 3 2 4 2 2 4" xfId="33007" xr:uid="{AB2A63B2-BFC7-4F9D-AAD1-D02E4FC037E9}"/>
    <cellStyle name="Normal 2 4 3 3 2 4 2 3" xfId="11895" xr:uid="{AA9653F8-8578-42AD-A7A8-ADBE1CFDB31A}"/>
    <cellStyle name="Normal 2 4 3 3 2 4 2 4" xfId="20343" xr:uid="{7D5A814C-B434-4770-9D9F-BDCEC8C3F5E8}"/>
    <cellStyle name="Normal 2 4 3 3 2 4 2 5" xfId="28790" xr:uid="{390E9464-E54D-4DE3-98BF-963F1C855AC8}"/>
    <cellStyle name="Normal 2 4 3 3 2 4 3" xfId="5518" xr:uid="{00000000-0005-0000-0000-0000ED0F0000}"/>
    <cellStyle name="Normal 2 4 3 3 2 4 3 2" xfId="13968" xr:uid="{05B8A0FA-E99E-4DB0-AC78-902BCF372437}"/>
    <cellStyle name="Normal 2 4 3 3 2 4 3 3" xfId="22415" xr:uid="{B97D185C-458C-420C-A32B-E50D91794E8B}"/>
    <cellStyle name="Normal 2 4 3 3 2 4 3 4" xfId="30862" xr:uid="{DFC284D8-19B4-44F4-A3A7-ED6C86BF2B4F}"/>
    <cellStyle name="Normal 2 4 3 3 2 4 4" xfId="9750" xr:uid="{430D1C50-6DB9-4FD5-AECC-9AAC45B5F89F}"/>
    <cellStyle name="Normal 2 4 3 3 2 4 5" xfId="18198" xr:uid="{68DD9333-72D6-4FDD-BA6F-AFFD51392469}"/>
    <cellStyle name="Normal 2 4 3 3 2 4 6" xfId="26645" xr:uid="{51D97537-8580-4F89-9ACD-F68D55FFBA17}"/>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14BD4E9D-83DE-4870-9E5B-10D2993796DC}"/>
    <cellStyle name="Normal 2 4 3 3 2 5 2 2 3" xfId="24973" xr:uid="{9EAAB194-72F3-4279-98D3-B9C3B4D43612}"/>
    <cellStyle name="Normal 2 4 3 3 2 5 2 2 4" xfId="33420" xr:uid="{098CF8AD-F9B5-41A7-9C34-23EEDC77EE30}"/>
    <cellStyle name="Normal 2 4 3 3 2 5 2 3" xfId="12308" xr:uid="{B8298A7A-385C-4AA7-B196-B7ADB63C8A15}"/>
    <cellStyle name="Normal 2 4 3 3 2 5 2 4" xfId="20756" xr:uid="{A581BA15-0A25-4CE8-804C-E368DBA52BA4}"/>
    <cellStyle name="Normal 2 4 3 3 2 5 2 5" xfId="29203" xr:uid="{60F366E6-1611-40B2-A606-A5BEB8C634EB}"/>
    <cellStyle name="Normal 2 4 3 3 2 5 3" xfId="5931" xr:uid="{00000000-0005-0000-0000-0000F10F0000}"/>
    <cellStyle name="Normal 2 4 3 3 2 5 3 2" xfId="14381" xr:uid="{B6EA07C4-D1E3-41D9-95A1-358B7FF5C994}"/>
    <cellStyle name="Normal 2 4 3 3 2 5 3 3" xfId="22828" xr:uid="{DEB8D914-C23A-401E-8B5F-80EFCA460156}"/>
    <cellStyle name="Normal 2 4 3 3 2 5 3 4" xfId="31275" xr:uid="{1EFEEFCA-677B-43E8-B77A-49EC1B07F3E7}"/>
    <cellStyle name="Normal 2 4 3 3 2 5 4" xfId="10163" xr:uid="{51CDA735-5F99-48D1-A588-781E99C1B767}"/>
    <cellStyle name="Normal 2 4 3 3 2 5 5" xfId="18611" xr:uid="{4852AF47-C46E-48A4-A6AE-C4DA1DC0507B}"/>
    <cellStyle name="Normal 2 4 3 3 2 5 6" xfId="27058" xr:uid="{61AD5AC9-3A49-4F2B-AB86-5A717B1FAE29}"/>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4EAEFD5F-8546-427D-9524-1194B649B877}"/>
    <cellStyle name="Normal 2 4 3 3 2 6 2 2 3" xfId="25386" xr:uid="{0AD84849-ADC9-4314-8BDC-8C6046C0EF7E}"/>
    <cellStyle name="Normal 2 4 3 3 2 6 2 2 4" xfId="33833" xr:uid="{66F89E0C-771D-4DBC-9C38-889E6F17ABAC}"/>
    <cellStyle name="Normal 2 4 3 3 2 6 2 3" xfId="12721" xr:uid="{79B96B92-0BE4-47C7-A202-2C88C5E3BC06}"/>
    <cellStyle name="Normal 2 4 3 3 2 6 2 4" xfId="21169" xr:uid="{9B2B7AFB-0F4E-4628-8F20-CF2C24BB7729}"/>
    <cellStyle name="Normal 2 4 3 3 2 6 2 5" xfId="29616" xr:uid="{772E71EA-1B23-4CB5-B494-2ABBAA827BF9}"/>
    <cellStyle name="Normal 2 4 3 3 2 6 3" xfId="6344" xr:uid="{00000000-0005-0000-0000-0000F50F0000}"/>
    <cellStyle name="Normal 2 4 3 3 2 6 3 2" xfId="14794" xr:uid="{19CBC452-1272-467E-9605-EA75387B6F13}"/>
    <cellStyle name="Normal 2 4 3 3 2 6 3 3" xfId="23241" xr:uid="{0DA9D789-F6F3-4C2E-83EA-7003D119BD35}"/>
    <cellStyle name="Normal 2 4 3 3 2 6 3 4" xfId="31688" xr:uid="{6F1E4322-EA1E-4EBA-9384-9213443BF4D8}"/>
    <cellStyle name="Normal 2 4 3 3 2 6 4" xfId="10576" xr:uid="{610C3874-C32D-459C-9719-A8BB3E2993E7}"/>
    <cellStyle name="Normal 2 4 3 3 2 6 5" xfId="19024" xr:uid="{31EFE5CF-13FF-4043-9085-0CD9244BBBEF}"/>
    <cellStyle name="Normal 2 4 3 3 2 6 6" xfId="27471" xr:uid="{50354B6B-4F0E-4E88-83F7-FB9B37C6E75D}"/>
    <cellStyle name="Normal 2 4 3 3 2 7" xfId="2474" xr:uid="{00000000-0005-0000-0000-0000F60F0000}"/>
    <cellStyle name="Normal 2 4 3 3 2 7 2" xfId="6757" xr:uid="{00000000-0005-0000-0000-0000F70F0000}"/>
    <cellStyle name="Normal 2 4 3 3 2 7 2 2" xfId="15207" xr:uid="{A1CF70BD-B520-4F05-B1A3-04667799BDB8}"/>
    <cellStyle name="Normal 2 4 3 3 2 7 2 3" xfId="23654" xr:uid="{3BD35DA5-CB78-41CB-AB17-DEE594B2B1BF}"/>
    <cellStyle name="Normal 2 4 3 3 2 7 2 4" xfId="32101" xr:uid="{5FC6F9FF-FE5D-4278-A7C5-D026616C782E}"/>
    <cellStyle name="Normal 2 4 3 3 2 7 3" xfId="10989" xr:uid="{A47CD1DF-959B-4759-B047-07383CDAE02E}"/>
    <cellStyle name="Normal 2 4 3 3 2 7 4" xfId="19437" xr:uid="{872BB364-8A1E-4CEA-AF66-F4B958828F37}"/>
    <cellStyle name="Normal 2 4 3 3 2 7 5" xfId="27884" xr:uid="{1AEF8053-C468-429F-A7AD-4FAA99E99F41}"/>
    <cellStyle name="Normal 2 4 3 3 2 8" xfId="4691" xr:uid="{00000000-0005-0000-0000-0000F80F0000}"/>
    <cellStyle name="Normal 2 4 3 3 2 8 2" xfId="13141" xr:uid="{2C45AA71-BFFB-4A5B-ACFE-542DD8D0E07C}"/>
    <cellStyle name="Normal 2 4 3 3 2 8 3" xfId="21588" xr:uid="{88B5F26C-64ED-4161-80AC-1532F69C1F06}"/>
    <cellStyle name="Normal 2 4 3 3 2 8 4" xfId="30035" xr:uid="{E72E578D-FCF9-4FD6-969A-24778BF14C7E}"/>
    <cellStyle name="Normal 2 4 3 3 2 9" xfId="8923" xr:uid="{E82A99EB-CAC9-4368-B544-F199337274BA}"/>
    <cellStyle name="Normal 2 4 3 3 3" xfId="301" xr:uid="{00000000-0005-0000-0000-0000F90F0000}"/>
    <cellStyle name="Normal 2 4 3 3 3 10" xfId="25820" xr:uid="{79FE5FD4-46E2-4D43-9AF8-A61C97E65993}"/>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D30F303A-255A-499B-8D56-71EE27DF0D87}"/>
    <cellStyle name="Normal 2 4 3 3 3 2 2 2 3" xfId="24149" xr:uid="{319372FE-7E03-4A73-8CAD-ED02947E4F08}"/>
    <cellStyle name="Normal 2 4 3 3 3 2 2 2 4" xfId="32596" xr:uid="{AD480273-0A0C-4A3C-89C4-F5FA5C26B4CC}"/>
    <cellStyle name="Normal 2 4 3 3 3 2 2 3" xfId="11484" xr:uid="{CAFC5347-F6B9-4935-B2D4-3AEAEC79BA9D}"/>
    <cellStyle name="Normal 2 4 3 3 3 2 2 4" xfId="19932" xr:uid="{2348D5D3-589D-48B5-A473-F7DE3D5982E7}"/>
    <cellStyle name="Normal 2 4 3 3 3 2 2 5" xfId="28379" xr:uid="{33E03A69-5E8C-4A74-8628-9F805AC97A9A}"/>
    <cellStyle name="Normal 2 4 3 3 3 2 3" xfId="5107" xr:uid="{00000000-0005-0000-0000-0000FD0F0000}"/>
    <cellStyle name="Normal 2 4 3 3 3 2 3 2" xfId="13557" xr:uid="{DE2F991A-4F91-4F3C-8206-66AAB858D2BC}"/>
    <cellStyle name="Normal 2 4 3 3 3 2 3 3" xfId="22004" xr:uid="{D89F7C43-F156-4506-833F-F5252D0A3AD9}"/>
    <cellStyle name="Normal 2 4 3 3 3 2 3 4" xfId="30451" xr:uid="{D22CB71D-349F-4075-B4D3-06C3EA7E3FB2}"/>
    <cellStyle name="Normal 2 4 3 3 3 2 4" xfId="9339" xr:uid="{0194900E-826F-4EC4-9DD7-F6B10085191F}"/>
    <cellStyle name="Normal 2 4 3 3 3 2 5" xfId="17787" xr:uid="{14E566F8-8184-462D-B8D2-50918C551AB7}"/>
    <cellStyle name="Normal 2 4 3 3 3 2 6" xfId="26234" xr:uid="{6E0CCCB1-86F5-4378-88B8-F8315A3459E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6E10C375-79FF-424E-AFA0-8AF23DC75246}"/>
    <cellStyle name="Normal 2 4 3 3 3 3 2 2 3" xfId="24562" xr:uid="{391293BD-A80F-4136-B144-EB5C1A71EADC}"/>
    <cellStyle name="Normal 2 4 3 3 3 3 2 2 4" xfId="33009" xr:uid="{07563431-E420-4D70-B41B-346344689FC3}"/>
    <cellStyle name="Normal 2 4 3 3 3 3 2 3" xfId="11897" xr:uid="{C2C940C1-768D-4FF4-80AB-DFEA2642816B}"/>
    <cellStyle name="Normal 2 4 3 3 3 3 2 4" xfId="20345" xr:uid="{03E56ACF-2B5D-4BF5-B0D0-EC07B4D318D9}"/>
    <cellStyle name="Normal 2 4 3 3 3 3 2 5" xfId="28792" xr:uid="{791C2D97-9B22-4895-87CB-711A4E2099D4}"/>
    <cellStyle name="Normal 2 4 3 3 3 3 3" xfId="5520" xr:uid="{00000000-0005-0000-0000-000001100000}"/>
    <cellStyle name="Normal 2 4 3 3 3 3 3 2" xfId="13970" xr:uid="{81BED360-0E32-4DD5-80CC-B14CBD5F0A0D}"/>
    <cellStyle name="Normal 2 4 3 3 3 3 3 3" xfId="22417" xr:uid="{135821D4-3A8E-4637-9659-193A6D889978}"/>
    <cellStyle name="Normal 2 4 3 3 3 3 3 4" xfId="30864" xr:uid="{ED42C73F-6177-43C5-AA74-63BB49C402E3}"/>
    <cellStyle name="Normal 2 4 3 3 3 3 4" xfId="9752" xr:uid="{D59FE853-4C96-4958-AA5B-4ECC71BE6F8C}"/>
    <cellStyle name="Normal 2 4 3 3 3 3 5" xfId="18200" xr:uid="{95D48B20-F8F0-445A-BEFA-793A82D5421F}"/>
    <cellStyle name="Normal 2 4 3 3 3 3 6" xfId="26647" xr:uid="{5F46CE98-E751-4B3B-825F-9AEEF36F0F85}"/>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A4D0F32A-676F-42B6-AFD2-1C2E14BC79E0}"/>
    <cellStyle name="Normal 2 4 3 3 3 4 2 2 3" xfId="24975" xr:uid="{63E9D170-C05E-447C-A36D-F99F1FE0C959}"/>
    <cellStyle name="Normal 2 4 3 3 3 4 2 2 4" xfId="33422" xr:uid="{5EC14163-90DE-421A-9000-309B4DBE26F4}"/>
    <cellStyle name="Normal 2 4 3 3 3 4 2 3" xfId="12310" xr:uid="{98985676-ED64-4FDE-AF67-EFE7E1240BCA}"/>
    <cellStyle name="Normal 2 4 3 3 3 4 2 4" xfId="20758" xr:uid="{B50A2FDD-8C70-4874-99AF-368AFF90735F}"/>
    <cellStyle name="Normal 2 4 3 3 3 4 2 5" xfId="29205" xr:uid="{936A3A6D-A2CE-4783-BE1E-598B622281B4}"/>
    <cellStyle name="Normal 2 4 3 3 3 4 3" xfId="5933" xr:uid="{00000000-0005-0000-0000-000005100000}"/>
    <cellStyle name="Normal 2 4 3 3 3 4 3 2" xfId="14383" xr:uid="{FE910AA1-F26A-4F9D-B292-18A208346A03}"/>
    <cellStyle name="Normal 2 4 3 3 3 4 3 3" xfId="22830" xr:uid="{C773D5A9-7FF2-4F48-9449-1BA83426EAF0}"/>
    <cellStyle name="Normal 2 4 3 3 3 4 3 4" xfId="31277" xr:uid="{930F7A33-1225-426F-B485-92042117B652}"/>
    <cellStyle name="Normal 2 4 3 3 3 4 4" xfId="10165" xr:uid="{ED30C886-C08D-4C92-991D-76460DEC449F}"/>
    <cellStyle name="Normal 2 4 3 3 3 4 5" xfId="18613" xr:uid="{411DB498-E438-4CC0-8773-4CEA778221A0}"/>
    <cellStyle name="Normal 2 4 3 3 3 4 6" xfId="27060" xr:uid="{A03593C9-2B5A-4175-BE8A-ACAC8522EB7E}"/>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7E795A72-EAC7-4510-B448-5EA85F68E0A3}"/>
    <cellStyle name="Normal 2 4 3 3 3 5 2 2 3" xfId="25388" xr:uid="{3E5320C7-6B36-47FA-8C30-498E4B3AF34F}"/>
    <cellStyle name="Normal 2 4 3 3 3 5 2 2 4" xfId="33835" xr:uid="{45B11DC0-D56E-42C8-AAEC-834E0E75DC31}"/>
    <cellStyle name="Normal 2 4 3 3 3 5 2 3" xfId="12723" xr:uid="{20253AAD-DE09-48B2-8952-CEEA8D4FF125}"/>
    <cellStyle name="Normal 2 4 3 3 3 5 2 4" xfId="21171" xr:uid="{09C52F8C-AE1A-465D-B10D-E4E997038180}"/>
    <cellStyle name="Normal 2 4 3 3 3 5 2 5" xfId="29618" xr:uid="{F7190BCE-7D74-4702-B6B2-386D93351E4E}"/>
    <cellStyle name="Normal 2 4 3 3 3 5 3" xfId="6346" xr:uid="{00000000-0005-0000-0000-000009100000}"/>
    <cellStyle name="Normal 2 4 3 3 3 5 3 2" xfId="14796" xr:uid="{DA8A028B-EAD8-4EF7-81F1-0BCC4754FA6F}"/>
    <cellStyle name="Normal 2 4 3 3 3 5 3 3" xfId="23243" xr:uid="{ECF53A05-5885-4476-8B05-9C3B67B80EF4}"/>
    <cellStyle name="Normal 2 4 3 3 3 5 3 4" xfId="31690" xr:uid="{84C4AB55-DE58-4330-A24C-10948962D7BD}"/>
    <cellStyle name="Normal 2 4 3 3 3 5 4" xfId="10578" xr:uid="{50046B8C-F0C9-4692-8DD1-E0E9C4DC5197}"/>
    <cellStyle name="Normal 2 4 3 3 3 5 5" xfId="19026" xr:uid="{8D96C251-6774-4AB7-B6ED-9771D1E7A343}"/>
    <cellStyle name="Normal 2 4 3 3 3 5 6" xfId="27473" xr:uid="{402E1EB3-9E08-4370-9F76-30F735CCB211}"/>
    <cellStyle name="Normal 2 4 3 3 3 6" xfId="2476" xr:uid="{00000000-0005-0000-0000-00000A100000}"/>
    <cellStyle name="Normal 2 4 3 3 3 6 2" xfId="6759" xr:uid="{00000000-0005-0000-0000-00000B100000}"/>
    <cellStyle name="Normal 2 4 3 3 3 6 2 2" xfId="15209" xr:uid="{B89B1BC8-67AE-4DD8-9AEE-EC14647B4A6C}"/>
    <cellStyle name="Normal 2 4 3 3 3 6 2 3" xfId="23656" xr:uid="{CF39AC01-4488-433D-B42C-E8F9B51A5C4B}"/>
    <cellStyle name="Normal 2 4 3 3 3 6 2 4" xfId="32103" xr:uid="{0CEB69AD-6BA2-4126-B4CB-081CF1166939}"/>
    <cellStyle name="Normal 2 4 3 3 3 6 3" xfId="10991" xr:uid="{FCDEFC05-C3B8-4ACE-8163-913BEF5C7EC5}"/>
    <cellStyle name="Normal 2 4 3 3 3 6 4" xfId="19439" xr:uid="{C1478F88-0CFD-4E96-A549-49D7B986B90E}"/>
    <cellStyle name="Normal 2 4 3 3 3 6 5" xfId="27886" xr:uid="{5CD71703-6EEF-438B-9EA8-010597FCCEF0}"/>
    <cellStyle name="Normal 2 4 3 3 3 7" xfId="4693" xr:uid="{00000000-0005-0000-0000-00000C100000}"/>
    <cellStyle name="Normal 2 4 3 3 3 7 2" xfId="13143" xr:uid="{FF251B2C-A599-4449-90E8-73DA175093F3}"/>
    <cellStyle name="Normal 2 4 3 3 3 7 3" xfId="21590" xr:uid="{37364818-BE70-4831-9CF7-39B66FEB2A54}"/>
    <cellStyle name="Normal 2 4 3 3 3 7 4" xfId="30037" xr:uid="{5395818E-6B34-475A-86FF-1CCD3BD8F245}"/>
    <cellStyle name="Normal 2 4 3 3 3 8" xfId="8925" xr:uid="{BD445A6A-6012-42FE-AED1-1457FE404C80}"/>
    <cellStyle name="Normal 2 4 3 3 3 9" xfId="17373" xr:uid="{A93407B3-699F-45F2-A072-27F35179191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21956CFE-251E-493B-A991-3D9CD1214620}"/>
    <cellStyle name="Normal 2 4 3 3 4 2 2 3" xfId="24146" xr:uid="{BB69C2D0-AC8A-4B3F-9587-B0E67ED75D77}"/>
    <cellStyle name="Normal 2 4 3 3 4 2 2 4" xfId="32593" xr:uid="{6650D1B4-B472-404B-9B6D-0AF38F7127DC}"/>
    <cellStyle name="Normal 2 4 3 3 4 2 3" xfId="11481" xr:uid="{19084285-684D-4A00-84B8-9F869AD4A0F6}"/>
    <cellStyle name="Normal 2 4 3 3 4 2 4" xfId="19929" xr:uid="{832772AC-1501-4399-9FF2-F6FCC0A20F0D}"/>
    <cellStyle name="Normal 2 4 3 3 4 2 5" xfId="28376" xr:uid="{926B2836-0CCB-4DCD-9FAA-32702610F1F7}"/>
    <cellStyle name="Normal 2 4 3 3 4 3" xfId="5104" xr:uid="{00000000-0005-0000-0000-000010100000}"/>
    <cellStyle name="Normal 2 4 3 3 4 3 2" xfId="13554" xr:uid="{6094ECAB-3679-40CF-87AB-6B071ED32E37}"/>
    <cellStyle name="Normal 2 4 3 3 4 3 3" xfId="22001" xr:uid="{8BA25CDA-F657-4819-A02C-3744B0D94341}"/>
    <cellStyle name="Normal 2 4 3 3 4 3 4" xfId="30448" xr:uid="{570780CD-8686-4346-BD75-4EA744D25176}"/>
    <cellStyle name="Normal 2 4 3 3 4 4" xfId="9336" xr:uid="{93A725D5-7441-4949-8B8F-86486425F843}"/>
    <cellStyle name="Normal 2 4 3 3 4 5" xfId="17784" xr:uid="{D326F886-625D-47A4-B3BF-9DB37582F469}"/>
    <cellStyle name="Normal 2 4 3 3 4 6" xfId="26231" xr:uid="{D5AFF34F-F5FE-4155-BAF9-F3B91EA6F62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548D772A-6EC6-4B12-8183-F6CC6A09A3D8}"/>
    <cellStyle name="Normal 2 4 3 3 5 2 2 3" xfId="24559" xr:uid="{CAB92FE1-5FEE-4E8C-98E3-220F35A8C2BD}"/>
    <cellStyle name="Normal 2 4 3 3 5 2 2 4" xfId="33006" xr:uid="{A6DC7D62-A94D-4ED4-A801-A6EB2B0BE771}"/>
    <cellStyle name="Normal 2 4 3 3 5 2 3" xfId="11894" xr:uid="{B4027524-8351-4FBF-8283-210CBB890FCD}"/>
    <cellStyle name="Normal 2 4 3 3 5 2 4" xfId="20342" xr:uid="{742FD18F-509D-4F96-A62F-AC3FBFD419B4}"/>
    <cellStyle name="Normal 2 4 3 3 5 2 5" xfId="28789" xr:uid="{62AE88B7-B1DF-47ED-A202-0B4042EDF275}"/>
    <cellStyle name="Normal 2 4 3 3 5 3" xfId="5517" xr:uid="{00000000-0005-0000-0000-000014100000}"/>
    <cellStyle name="Normal 2 4 3 3 5 3 2" xfId="13967" xr:uid="{DD81B11A-C13F-43F9-909D-6946A772FD5A}"/>
    <cellStyle name="Normal 2 4 3 3 5 3 3" xfId="22414" xr:uid="{B824AD15-51C8-4115-8392-D50A0ECDC405}"/>
    <cellStyle name="Normal 2 4 3 3 5 3 4" xfId="30861" xr:uid="{C88BB4E6-39D2-415B-B534-2EA97BB8DF49}"/>
    <cellStyle name="Normal 2 4 3 3 5 4" xfId="9749" xr:uid="{DB4253BD-F79E-4383-B0E9-206BFD19E8FD}"/>
    <cellStyle name="Normal 2 4 3 3 5 5" xfId="18197" xr:uid="{EAB0E01A-30E7-44DB-B923-B76E8703FC5E}"/>
    <cellStyle name="Normal 2 4 3 3 5 6" xfId="26644" xr:uid="{6175E688-639B-498E-A545-634760546D8B}"/>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59C28642-A364-438A-96A2-2EFA2471CC71}"/>
    <cellStyle name="Normal 2 4 3 3 6 2 2 3" xfId="24972" xr:uid="{C7E72E0E-12DD-47E8-9728-BBE44FD446B4}"/>
    <cellStyle name="Normal 2 4 3 3 6 2 2 4" xfId="33419" xr:uid="{D21A029C-3336-4F6A-9F55-05B6FCC44262}"/>
    <cellStyle name="Normal 2 4 3 3 6 2 3" xfId="12307" xr:uid="{2E08826A-B61E-4DF9-A7C2-C3D8D1BEF39C}"/>
    <cellStyle name="Normal 2 4 3 3 6 2 4" xfId="20755" xr:uid="{A2084D54-D4A2-4685-8D34-EA6F3A9D97A0}"/>
    <cellStyle name="Normal 2 4 3 3 6 2 5" xfId="29202" xr:uid="{71B8D5A7-5493-4148-A2F0-3A5501DED7F2}"/>
    <cellStyle name="Normal 2 4 3 3 6 3" xfId="5930" xr:uid="{00000000-0005-0000-0000-000018100000}"/>
    <cellStyle name="Normal 2 4 3 3 6 3 2" xfId="14380" xr:uid="{82D4324B-78B3-49BC-958F-987E8EF189A1}"/>
    <cellStyle name="Normal 2 4 3 3 6 3 3" xfId="22827" xr:uid="{37E27A3F-DB1A-47F9-A7AC-7790288158FD}"/>
    <cellStyle name="Normal 2 4 3 3 6 3 4" xfId="31274" xr:uid="{A59B1ACC-E92B-4030-BA58-3EAF2777DA14}"/>
    <cellStyle name="Normal 2 4 3 3 6 4" xfId="10162" xr:uid="{498FF7AC-C253-4381-B414-800DBC86DA0B}"/>
    <cellStyle name="Normal 2 4 3 3 6 5" xfId="18610" xr:uid="{A343475D-D32A-4859-ACAD-BD98642CE451}"/>
    <cellStyle name="Normal 2 4 3 3 6 6" xfId="27057" xr:uid="{747C73B0-9B91-4D4E-8E8D-80BD40EAD20C}"/>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62DA9618-7AF7-4942-AD90-4D05FA19F95F}"/>
    <cellStyle name="Normal 2 4 3 3 7 2 2 3" xfId="25385" xr:uid="{00983EC5-66C7-4CC3-AB92-1057E4795595}"/>
    <cellStyle name="Normal 2 4 3 3 7 2 2 4" xfId="33832" xr:uid="{9FB4D301-DDCB-4A8B-BFC7-99EB6A04AF2B}"/>
    <cellStyle name="Normal 2 4 3 3 7 2 3" xfId="12720" xr:uid="{8B676DB5-BB28-4E97-979B-90E6721C0981}"/>
    <cellStyle name="Normal 2 4 3 3 7 2 4" xfId="21168" xr:uid="{094B2DA0-1052-4ED7-B67F-F217CCBCB536}"/>
    <cellStyle name="Normal 2 4 3 3 7 2 5" xfId="29615" xr:uid="{D9CE80C7-083A-4A75-8ABA-D9E7CF3C1757}"/>
    <cellStyle name="Normal 2 4 3 3 7 3" xfId="6343" xr:uid="{00000000-0005-0000-0000-00001C100000}"/>
    <cellStyle name="Normal 2 4 3 3 7 3 2" xfId="14793" xr:uid="{73127611-C838-49EB-8FC8-6940552D394B}"/>
    <cellStyle name="Normal 2 4 3 3 7 3 3" xfId="23240" xr:uid="{237021BB-2FB9-411E-A0E8-D28153781ADF}"/>
    <cellStyle name="Normal 2 4 3 3 7 3 4" xfId="31687" xr:uid="{312CAB52-7A5D-420B-AB0E-6E364633BA6A}"/>
    <cellStyle name="Normal 2 4 3 3 7 4" xfId="10575" xr:uid="{B0FAFEC3-BCD6-4925-9156-94C4DE88DB3F}"/>
    <cellStyle name="Normal 2 4 3 3 7 5" xfId="19023" xr:uid="{88081DEF-23C4-4099-A179-020BB95EFB93}"/>
    <cellStyle name="Normal 2 4 3 3 7 6" xfId="27470" xr:uid="{28455C4C-959C-4989-9C61-C7BA87D35F16}"/>
    <cellStyle name="Normal 2 4 3 3 8" xfId="2473" xr:uid="{00000000-0005-0000-0000-00001D100000}"/>
    <cellStyle name="Normal 2 4 3 3 8 2" xfId="6756" xr:uid="{00000000-0005-0000-0000-00001E100000}"/>
    <cellStyle name="Normal 2 4 3 3 8 2 2" xfId="15206" xr:uid="{5DC68B38-E763-43AF-9419-118BBBC68B87}"/>
    <cellStyle name="Normal 2 4 3 3 8 2 3" xfId="23653" xr:uid="{812726B7-A49C-41F0-9AAD-9D35EBFD0E43}"/>
    <cellStyle name="Normal 2 4 3 3 8 2 4" xfId="32100" xr:uid="{36C09ED1-7B2B-41D0-8773-275A6009C7F7}"/>
    <cellStyle name="Normal 2 4 3 3 8 3" xfId="10988" xr:uid="{A7D10E3A-FF59-499A-B5E4-18C0653B69B6}"/>
    <cellStyle name="Normal 2 4 3 3 8 4" xfId="19436" xr:uid="{9EF6942C-1B24-4D99-BF89-B8B91BF8171B}"/>
    <cellStyle name="Normal 2 4 3 3 8 5" xfId="27883" xr:uid="{4C1E7458-AFE7-4306-8B93-9BDA41762361}"/>
    <cellStyle name="Normal 2 4 3 3 9" xfId="4690" xr:uid="{00000000-0005-0000-0000-00001F100000}"/>
    <cellStyle name="Normal 2 4 3 3 9 2" xfId="13140" xr:uid="{B27D62AA-3079-4F29-9E7D-DDF151FBD5FA}"/>
    <cellStyle name="Normal 2 4 3 3 9 3" xfId="21587" xr:uid="{B14FD9B7-D44E-47E8-BAAF-F89C961E8887}"/>
    <cellStyle name="Normal 2 4 3 3 9 4" xfId="30034" xr:uid="{1009A81A-5797-4B10-97D5-7D3B258BFF43}"/>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9AC80DC3-B4E6-4611-BEF3-17B8B363D2EE}"/>
    <cellStyle name="Normal 2 4 3 4 2 2 3" xfId="24145" xr:uid="{79F96D31-1457-43B1-9F46-AE608C321C8D}"/>
    <cellStyle name="Normal 2 4 3 4 2 2 4" xfId="32592" xr:uid="{8B080576-0F18-45CF-AA51-6C2A0865C8F4}"/>
    <cellStyle name="Normal 2 4 3 4 2 3" xfId="11480" xr:uid="{8D987CED-3B08-4C8E-AAF3-7AD52454E3A1}"/>
    <cellStyle name="Normal 2 4 3 4 2 4" xfId="19928" xr:uid="{47EF4CFA-08DA-4812-8431-DC3D73B74038}"/>
    <cellStyle name="Normal 2 4 3 4 2 5" xfId="28375" xr:uid="{27DAEB9D-F43F-44C3-9153-281C629D9D6E}"/>
    <cellStyle name="Normal 2 4 3 4 3" xfId="5103" xr:uid="{00000000-0005-0000-0000-000023100000}"/>
    <cellStyle name="Normal 2 4 3 4 3 2" xfId="13553" xr:uid="{5927426D-6233-4916-B8C0-AD9AC7F73559}"/>
    <cellStyle name="Normal 2 4 3 4 3 3" xfId="22000" xr:uid="{0F0B2FBE-1711-4337-A64F-B76DD50A2C13}"/>
    <cellStyle name="Normal 2 4 3 4 3 4" xfId="30447" xr:uid="{C552BED1-6EC4-468D-8298-A25E0D2D91AE}"/>
    <cellStyle name="Normal 2 4 3 4 4" xfId="9335" xr:uid="{8DEB0423-FD2F-4260-80BF-97152443A6EC}"/>
    <cellStyle name="Normal 2 4 3 4 5" xfId="17783" xr:uid="{474CE1B3-4C38-4DFE-9DC3-FC6D039C9AB1}"/>
    <cellStyle name="Normal 2 4 3 4 6" xfId="26230" xr:uid="{D4759770-75D1-48DC-8B00-D7920FB1337D}"/>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48BD2403-8277-46EC-B2B2-D175B8B99610}"/>
    <cellStyle name="Normal 2 4 3 5 2 2 3" xfId="24558" xr:uid="{4583FA18-76C7-49DE-A2AF-229A5C6C2B78}"/>
    <cellStyle name="Normal 2 4 3 5 2 2 4" xfId="33005" xr:uid="{7C17A64C-D358-4A75-B882-30F371FC857D}"/>
    <cellStyle name="Normal 2 4 3 5 2 3" xfId="11893" xr:uid="{A80F4082-965F-49E6-AFBC-25AB5EE562E8}"/>
    <cellStyle name="Normal 2 4 3 5 2 4" xfId="20341" xr:uid="{EEA91F0B-96DF-44CB-B904-ECDD7B70D62C}"/>
    <cellStyle name="Normal 2 4 3 5 2 5" xfId="28788" xr:uid="{5C45B85E-0CA8-4006-8D24-DAE989980077}"/>
    <cellStyle name="Normal 2 4 3 5 3" xfId="5516" xr:uid="{00000000-0005-0000-0000-000027100000}"/>
    <cellStyle name="Normal 2 4 3 5 3 2" xfId="13966" xr:uid="{B01261E9-DEDC-4E93-8EFD-BB1D151CAAE0}"/>
    <cellStyle name="Normal 2 4 3 5 3 3" xfId="22413" xr:uid="{E7AD249A-D8A9-4004-A219-235854CCCD1B}"/>
    <cellStyle name="Normal 2 4 3 5 3 4" xfId="30860" xr:uid="{DAEEE2AC-FCC8-492C-A1DA-2A9C9A540758}"/>
    <cellStyle name="Normal 2 4 3 5 4" xfId="9748" xr:uid="{5777D086-2FEA-4E2A-AE13-9A894F5E10FD}"/>
    <cellStyle name="Normal 2 4 3 5 5" xfId="18196" xr:uid="{532CA9C9-2976-4C51-9363-8DB0DE91FAE2}"/>
    <cellStyle name="Normal 2 4 3 5 6" xfId="26643" xr:uid="{D24813BD-E959-4470-ABDD-C0730A3CE8CC}"/>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7188AB56-D560-4831-88DC-B28BB00A9CFC}"/>
    <cellStyle name="Normal 2 4 3 6 2 2 3" xfId="24971" xr:uid="{BD881E10-A308-4847-87C0-CE78E3334B21}"/>
    <cellStyle name="Normal 2 4 3 6 2 2 4" xfId="33418" xr:uid="{4B1DD9E6-6683-4CF3-A7FC-CEE56097EF7E}"/>
    <cellStyle name="Normal 2 4 3 6 2 3" xfId="12306" xr:uid="{004CD804-B632-4A75-A661-7D7D2C277426}"/>
    <cellStyle name="Normal 2 4 3 6 2 4" xfId="20754" xr:uid="{C6B66174-18E6-437B-AC45-1B81EC26C185}"/>
    <cellStyle name="Normal 2 4 3 6 2 5" xfId="29201" xr:uid="{BE91C09F-1B1A-460D-901D-5D276617290B}"/>
    <cellStyle name="Normal 2 4 3 6 3" xfId="5929" xr:uid="{00000000-0005-0000-0000-00002B100000}"/>
    <cellStyle name="Normal 2 4 3 6 3 2" xfId="14379" xr:uid="{319E4C5C-E855-4CE8-A1A1-53562F653122}"/>
    <cellStyle name="Normal 2 4 3 6 3 3" xfId="22826" xr:uid="{3912ACF2-996F-4506-9BE6-901D4ED218FF}"/>
    <cellStyle name="Normal 2 4 3 6 3 4" xfId="31273" xr:uid="{1C6C33FC-5364-4B05-9500-2ED053FA3F1B}"/>
    <cellStyle name="Normal 2 4 3 6 4" xfId="10161" xr:uid="{3644772A-0B03-4EC4-8D03-13541C0B8965}"/>
    <cellStyle name="Normal 2 4 3 6 5" xfId="18609" xr:uid="{9CFA74E5-5E02-4D38-B031-CB0A65F28A8A}"/>
    <cellStyle name="Normal 2 4 3 6 6" xfId="27056" xr:uid="{641B7BE6-686F-4337-BA11-C2F5BCE8EB69}"/>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EBCD8AE4-F4A5-4876-9088-76C29AABA6D9}"/>
    <cellStyle name="Normal 2 4 3 7 2 2 3" xfId="25384" xr:uid="{2ED7731E-9869-419E-982A-3D7F94A4D683}"/>
    <cellStyle name="Normal 2 4 3 7 2 2 4" xfId="33831" xr:uid="{330E1507-C4E1-4AA8-B27A-828582D87042}"/>
    <cellStyle name="Normal 2 4 3 7 2 3" xfId="12719" xr:uid="{197AE18D-200E-47E3-9A7B-2946A6923F29}"/>
    <cellStyle name="Normal 2 4 3 7 2 4" xfId="21167" xr:uid="{6C65EA65-D912-4CEF-BDAC-039492928004}"/>
    <cellStyle name="Normal 2 4 3 7 2 5" xfId="29614" xr:uid="{6A1BF5B3-D5BE-4BB1-A6AD-DDE464EE2D5F}"/>
    <cellStyle name="Normal 2 4 3 7 3" xfId="6342" xr:uid="{00000000-0005-0000-0000-00002F100000}"/>
    <cellStyle name="Normal 2 4 3 7 3 2" xfId="14792" xr:uid="{46C3BA85-871A-4861-BC06-537CF03FFB8C}"/>
    <cellStyle name="Normal 2 4 3 7 3 3" xfId="23239" xr:uid="{C5FFA022-B60D-4069-88E2-684601817F88}"/>
    <cellStyle name="Normal 2 4 3 7 3 4" xfId="31686" xr:uid="{FDB08D21-8399-4E43-8F25-C0AEBF7E148F}"/>
    <cellStyle name="Normal 2 4 3 7 4" xfId="10574" xr:uid="{F7C5427C-F26A-432E-8535-A35B9D6C3C85}"/>
    <cellStyle name="Normal 2 4 3 7 5" xfId="19022" xr:uid="{0A364D9C-8303-45B5-96EF-9E413BC39774}"/>
    <cellStyle name="Normal 2 4 3 7 6" xfId="27469" xr:uid="{9BECE54E-F7F8-4E6D-81A4-3AEEE366129A}"/>
    <cellStyle name="Normal 2 4 3 8" xfId="2472" xr:uid="{00000000-0005-0000-0000-000030100000}"/>
    <cellStyle name="Normal 2 4 3 8 2" xfId="6755" xr:uid="{00000000-0005-0000-0000-000031100000}"/>
    <cellStyle name="Normal 2 4 3 8 2 2" xfId="15205" xr:uid="{E14E83E6-1746-402D-B0F0-CA3D273530FF}"/>
    <cellStyle name="Normal 2 4 3 8 2 3" xfId="23652" xr:uid="{D2A1A94A-CE5F-4B78-888C-E9B71E3685EB}"/>
    <cellStyle name="Normal 2 4 3 8 2 4" xfId="32099" xr:uid="{8EA74B80-DABE-482D-8853-64FAE7245E4E}"/>
    <cellStyle name="Normal 2 4 3 8 3" xfId="10987" xr:uid="{4366CE69-25BB-40CE-9630-AD5AC513D205}"/>
    <cellStyle name="Normal 2 4 3 8 4" xfId="19435" xr:uid="{85B04380-555F-4F62-BD3B-AC26DBAAB33D}"/>
    <cellStyle name="Normal 2 4 3 8 5" xfId="27882" xr:uid="{E6805169-9464-4A9D-81AA-F61F04602CCC}"/>
    <cellStyle name="Normal 2 4 3 9" xfId="4689" xr:uid="{00000000-0005-0000-0000-000032100000}"/>
    <cellStyle name="Normal 2 4 3 9 2" xfId="13139" xr:uid="{6ED2D88C-9601-487B-BE9F-59C1760F499E}"/>
    <cellStyle name="Normal 2 4 3 9 3" xfId="21586" xr:uid="{7E1F6DF0-15BC-414E-BC2F-BB34AC07560A}"/>
    <cellStyle name="Normal 2 4 3 9 4" xfId="30033" xr:uid="{B1356F4F-EE59-4E88-85BC-35B0333A19A1}"/>
    <cellStyle name="Normal 2 4 4" xfId="302" xr:uid="{00000000-0005-0000-0000-000033100000}"/>
    <cellStyle name="Normal 2 4 5" xfId="303" xr:uid="{00000000-0005-0000-0000-000034100000}"/>
    <cellStyle name="Normal 2 4 5 10" xfId="4694" xr:uid="{00000000-0005-0000-0000-000035100000}"/>
    <cellStyle name="Normal 2 4 5 10 2" xfId="13144" xr:uid="{262486DC-F86E-45C7-8AA8-7F381CBE0F32}"/>
    <cellStyle name="Normal 2 4 5 10 3" xfId="21591" xr:uid="{A538A325-F68A-4DCF-BCCE-BE97C1A401E5}"/>
    <cellStyle name="Normal 2 4 5 10 4" xfId="30038" xr:uid="{B597CA8F-8DDA-40F2-821C-2AF658360561}"/>
    <cellStyle name="Normal 2 4 5 11" xfId="8926" xr:uid="{05F5F9FC-E155-4ADD-A4E2-CCF17C087525}"/>
    <cellStyle name="Normal 2 4 5 12" xfId="17374" xr:uid="{32A82D7B-A66C-4D4E-82BA-7EFA453B4A4C}"/>
    <cellStyle name="Normal 2 4 5 13" xfId="25821" xr:uid="{FB2D114D-7218-456F-BF47-868BEA60DE90}"/>
    <cellStyle name="Normal 2 4 5 2" xfId="304" xr:uid="{00000000-0005-0000-0000-000036100000}"/>
    <cellStyle name="Normal 2 4 5 2 10" xfId="8927" xr:uid="{1D4EAE44-C214-4C5B-9B20-A50077E9BFCA}"/>
    <cellStyle name="Normal 2 4 5 2 11" xfId="17375" xr:uid="{F713D30C-4C68-4F2A-8837-C39DD5E6DD4F}"/>
    <cellStyle name="Normal 2 4 5 2 12" xfId="25822" xr:uid="{5FF35598-06D1-4D07-BAC0-820CF89DFC0F}"/>
    <cellStyle name="Normal 2 4 5 2 2" xfId="305" xr:uid="{00000000-0005-0000-0000-000037100000}"/>
    <cellStyle name="Normal 2 4 5 2 2 10" xfId="17376" xr:uid="{45CCA9D4-83FA-4ACA-818A-51A52383A311}"/>
    <cellStyle name="Normal 2 4 5 2 2 11" xfId="25823" xr:uid="{01B350EF-F18A-4235-9263-5ABE8A055202}"/>
    <cellStyle name="Normal 2 4 5 2 2 2" xfId="306" xr:uid="{00000000-0005-0000-0000-000038100000}"/>
    <cellStyle name="Normal 2 4 5 2 2 2 10" xfId="25824" xr:uid="{5E69631D-B317-4FFB-9207-8FAE44DADABC}"/>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CBD2AA69-E1F4-4AD1-A6B9-85AB6F30D172}"/>
    <cellStyle name="Normal 2 4 5 2 2 2 2 2 2 3" xfId="24153" xr:uid="{8B48B31F-DF68-48AD-BD68-F680B8A3B206}"/>
    <cellStyle name="Normal 2 4 5 2 2 2 2 2 2 4" xfId="32600" xr:uid="{FCD27044-5E42-4950-AD89-40CC83237CB4}"/>
    <cellStyle name="Normal 2 4 5 2 2 2 2 2 3" xfId="11488" xr:uid="{462D806C-8C40-4551-9481-926147968F7C}"/>
    <cellStyle name="Normal 2 4 5 2 2 2 2 2 4" xfId="19936" xr:uid="{29B8D208-9D42-4C80-8B6E-B7362F64219D}"/>
    <cellStyle name="Normal 2 4 5 2 2 2 2 2 5" xfId="28383" xr:uid="{95A024D4-AEC5-45A6-BD61-36A00756ED13}"/>
    <cellStyle name="Normal 2 4 5 2 2 2 2 3" xfId="5111" xr:uid="{00000000-0005-0000-0000-00003C100000}"/>
    <cellStyle name="Normal 2 4 5 2 2 2 2 3 2" xfId="13561" xr:uid="{2DCF0932-3599-4B6D-BD86-702503163645}"/>
    <cellStyle name="Normal 2 4 5 2 2 2 2 3 3" xfId="22008" xr:uid="{A9661BC1-2AD8-4FE5-8B33-2372F92DFB55}"/>
    <cellStyle name="Normal 2 4 5 2 2 2 2 3 4" xfId="30455" xr:uid="{CFD621CD-B4A0-4B52-BD55-49E01F4BF4D8}"/>
    <cellStyle name="Normal 2 4 5 2 2 2 2 4" xfId="9343" xr:uid="{B8F4CABB-F37F-4015-BAF8-58764EB68B23}"/>
    <cellStyle name="Normal 2 4 5 2 2 2 2 5" xfId="17791" xr:uid="{7580587B-1081-42B6-A015-DBD566DC2A0F}"/>
    <cellStyle name="Normal 2 4 5 2 2 2 2 6" xfId="26238" xr:uid="{9F852FF0-374D-4BF2-BC43-A56090ED0C7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77C766E6-234C-4080-998E-6D9AAE349E43}"/>
    <cellStyle name="Normal 2 4 5 2 2 2 3 2 2 3" xfId="24566" xr:uid="{CE9817E9-561A-4C75-A074-E2E0A5C3CD19}"/>
    <cellStyle name="Normal 2 4 5 2 2 2 3 2 2 4" xfId="33013" xr:uid="{55B46759-A65A-4484-8BC5-C47119493270}"/>
    <cellStyle name="Normal 2 4 5 2 2 2 3 2 3" xfId="11901" xr:uid="{021CB0E9-341D-459E-B7E6-241AE5125E00}"/>
    <cellStyle name="Normal 2 4 5 2 2 2 3 2 4" xfId="20349" xr:uid="{87193164-9766-41A9-BA58-EAB3E683D92A}"/>
    <cellStyle name="Normal 2 4 5 2 2 2 3 2 5" xfId="28796" xr:uid="{B239E8FF-C909-4485-9478-1C283E110753}"/>
    <cellStyle name="Normal 2 4 5 2 2 2 3 3" xfId="5524" xr:uid="{00000000-0005-0000-0000-000040100000}"/>
    <cellStyle name="Normal 2 4 5 2 2 2 3 3 2" xfId="13974" xr:uid="{06B9B924-B377-4D05-B836-21FEDF9E6051}"/>
    <cellStyle name="Normal 2 4 5 2 2 2 3 3 3" xfId="22421" xr:uid="{CD00DD69-5C41-45FA-94E2-8483B4EC8F40}"/>
    <cellStyle name="Normal 2 4 5 2 2 2 3 3 4" xfId="30868" xr:uid="{B2707F27-4E04-4609-8772-0BC6F7567AD5}"/>
    <cellStyle name="Normal 2 4 5 2 2 2 3 4" xfId="9756" xr:uid="{3C2316AC-8930-4E49-AEF1-D906B5174C35}"/>
    <cellStyle name="Normal 2 4 5 2 2 2 3 5" xfId="18204" xr:uid="{18BA04AA-75EA-4C3B-A36B-030F5A5D9485}"/>
    <cellStyle name="Normal 2 4 5 2 2 2 3 6" xfId="26651" xr:uid="{1AF2305B-E519-4621-A634-2EAD555E81CB}"/>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51BCCA2C-69C0-4002-81A2-3DB2B9C472E2}"/>
    <cellStyle name="Normal 2 4 5 2 2 2 4 2 2 3" xfId="24979" xr:uid="{B7BD94DA-FA86-4E8C-A849-BDC60944FFBB}"/>
    <cellStyle name="Normal 2 4 5 2 2 2 4 2 2 4" xfId="33426" xr:uid="{1DEE135C-5F72-47B6-BDE6-8A1C6EB673F6}"/>
    <cellStyle name="Normal 2 4 5 2 2 2 4 2 3" xfId="12314" xr:uid="{ECCFF6C4-BF5A-4AE8-90A5-575F67240A50}"/>
    <cellStyle name="Normal 2 4 5 2 2 2 4 2 4" xfId="20762" xr:uid="{DD67921E-842B-4029-BFB6-EDAA412FD1B5}"/>
    <cellStyle name="Normal 2 4 5 2 2 2 4 2 5" xfId="29209" xr:uid="{9066658E-30C6-47F5-AB50-F905D3ADDFB6}"/>
    <cellStyle name="Normal 2 4 5 2 2 2 4 3" xfId="5937" xr:uid="{00000000-0005-0000-0000-000044100000}"/>
    <cellStyle name="Normal 2 4 5 2 2 2 4 3 2" xfId="14387" xr:uid="{2F97C8EB-EBD9-4D16-B481-CA44E0A1F9F3}"/>
    <cellStyle name="Normal 2 4 5 2 2 2 4 3 3" xfId="22834" xr:uid="{681317F9-012A-483D-995F-AFAA103274F6}"/>
    <cellStyle name="Normal 2 4 5 2 2 2 4 3 4" xfId="31281" xr:uid="{D81CBF63-1FDF-4AC2-A585-ECF7B4006E78}"/>
    <cellStyle name="Normal 2 4 5 2 2 2 4 4" xfId="10169" xr:uid="{FF0B86B1-B0A2-4236-8049-CE3B21366815}"/>
    <cellStyle name="Normal 2 4 5 2 2 2 4 5" xfId="18617" xr:uid="{42124970-AE7D-4680-8594-EC89EB57AACD}"/>
    <cellStyle name="Normal 2 4 5 2 2 2 4 6" xfId="27064" xr:uid="{B2D246D5-7DF7-4777-8EF7-C2D5AF991A4A}"/>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8B10E21E-8465-4CD8-9B73-8D7463F157A2}"/>
    <cellStyle name="Normal 2 4 5 2 2 2 5 2 2 3" xfId="25392" xr:uid="{6E848782-1389-4D33-862C-C324653A581C}"/>
    <cellStyle name="Normal 2 4 5 2 2 2 5 2 2 4" xfId="33839" xr:uid="{96BE7ACA-D7EF-4192-90DF-75FC462F3237}"/>
    <cellStyle name="Normal 2 4 5 2 2 2 5 2 3" xfId="12727" xr:uid="{B59B49AB-18DA-4AF8-A8E2-7E26FCC5D664}"/>
    <cellStyle name="Normal 2 4 5 2 2 2 5 2 4" xfId="21175" xr:uid="{27760325-9219-4598-A582-62B6E3A1A25A}"/>
    <cellStyle name="Normal 2 4 5 2 2 2 5 2 5" xfId="29622" xr:uid="{F37E549C-2228-47FC-9727-359D08EE8703}"/>
    <cellStyle name="Normal 2 4 5 2 2 2 5 3" xfId="6350" xr:uid="{00000000-0005-0000-0000-000048100000}"/>
    <cellStyle name="Normal 2 4 5 2 2 2 5 3 2" xfId="14800" xr:uid="{06C15589-964B-442A-9DB4-2C8F4CB66BF1}"/>
    <cellStyle name="Normal 2 4 5 2 2 2 5 3 3" xfId="23247" xr:uid="{F1249A21-C4D8-49D9-9EB6-1B2F828F13B3}"/>
    <cellStyle name="Normal 2 4 5 2 2 2 5 3 4" xfId="31694" xr:uid="{AB9A1738-DF03-4D7B-8E72-261221D797B4}"/>
    <cellStyle name="Normal 2 4 5 2 2 2 5 4" xfId="10582" xr:uid="{816EC183-6888-4A4E-8C94-D8DF1A6C0B50}"/>
    <cellStyle name="Normal 2 4 5 2 2 2 5 5" xfId="19030" xr:uid="{FDF689D8-66DE-468C-9795-476A4C804678}"/>
    <cellStyle name="Normal 2 4 5 2 2 2 5 6" xfId="27477" xr:uid="{80C0C0B9-663B-4C79-9EAA-834F1CA5A178}"/>
    <cellStyle name="Normal 2 4 5 2 2 2 6" xfId="2480" xr:uid="{00000000-0005-0000-0000-000049100000}"/>
    <cellStyle name="Normal 2 4 5 2 2 2 6 2" xfId="6763" xr:uid="{00000000-0005-0000-0000-00004A100000}"/>
    <cellStyle name="Normal 2 4 5 2 2 2 6 2 2" xfId="15213" xr:uid="{BA071770-35D8-45EF-904C-610C8626B60C}"/>
    <cellStyle name="Normal 2 4 5 2 2 2 6 2 3" xfId="23660" xr:uid="{6AED946D-0DD8-455E-87ED-50733516D782}"/>
    <cellStyle name="Normal 2 4 5 2 2 2 6 2 4" xfId="32107" xr:uid="{0C2E5D9C-9F36-467A-8EE5-93F466E971EF}"/>
    <cellStyle name="Normal 2 4 5 2 2 2 6 3" xfId="10995" xr:uid="{9C17DE72-9E80-484C-AA2E-F559D6FEDC73}"/>
    <cellStyle name="Normal 2 4 5 2 2 2 6 4" xfId="19443" xr:uid="{9AD970F7-920B-4CA1-BAC6-AC52159C52D8}"/>
    <cellStyle name="Normal 2 4 5 2 2 2 6 5" xfId="27890" xr:uid="{57223D95-ABD6-4ACE-8CC8-49D369F25E02}"/>
    <cellStyle name="Normal 2 4 5 2 2 2 7" xfId="4697" xr:uid="{00000000-0005-0000-0000-00004B100000}"/>
    <cellStyle name="Normal 2 4 5 2 2 2 7 2" xfId="13147" xr:uid="{8F000F82-0BA2-4426-A558-1C377D483D2A}"/>
    <cellStyle name="Normal 2 4 5 2 2 2 7 3" xfId="21594" xr:uid="{A3E33BF3-5D12-4840-9302-7B8A826B01D7}"/>
    <cellStyle name="Normal 2 4 5 2 2 2 7 4" xfId="30041" xr:uid="{EAC87B6E-BC38-4457-9DF2-35AE06F5D5FA}"/>
    <cellStyle name="Normal 2 4 5 2 2 2 8" xfId="8929" xr:uid="{B04B62CF-F966-47D9-A834-5E1166D64BBF}"/>
    <cellStyle name="Normal 2 4 5 2 2 2 9" xfId="17377" xr:uid="{D6377C08-10F9-4A47-BA6A-F5EE7707568C}"/>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3D0F66DD-C440-4184-8985-694616D5B164}"/>
    <cellStyle name="Normal 2 4 5 2 2 3 2 2 3" xfId="24152" xr:uid="{6FDE7835-AD55-45CD-955D-6FAD3D23CCC7}"/>
    <cellStyle name="Normal 2 4 5 2 2 3 2 2 4" xfId="32599" xr:uid="{7412AB18-C508-456E-8186-2CAC4DED53CE}"/>
    <cellStyle name="Normal 2 4 5 2 2 3 2 3" xfId="11487" xr:uid="{F5894956-4DB5-4E43-AC5B-C6A1F9D43C8D}"/>
    <cellStyle name="Normal 2 4 5 2 2 3 2 4" xfId="19935" xr:uid="{D1006D9D-27AD-4228-9703-D748E23C0A2D}"/>
    <cellStyle name="Normal 2 4 5 2 2 3 2 5" xfId="28382" xr:uid="{41C06758-D229-42FF-83F5-3D4B73CFA779}"/>
    <cellStyle name="Normal 2 4 5 2 2 3 3" xfId="5110" xr:uid="{00000000-0005-0000-0000-00004F100000}"/>
    <cellStyle name="Normal 2 4 5 2 2 3 3 2" xfId="13560" xr:uid="{270704DF-0FC3-428C-A3AD-C698011C87C2}"/>
    <cellStyle name="Normal 2 4 5 2 2 3 3 3" xfId="22007" xr:uid="{974A63BB-0876-444E-9913-FCCC67D86EA8}"/>
    <cellStyle name="Normal 2 4 5 2 2 3 3 4" xfId="30454" xr:uid="{A6524197-952C-4ADC-BC01-A9C2C108C751}"/>
    <cellStyle name="Normal 2 4 5 2 2 3 4" xfId="9342" xr:uid="{2E71992B-F28C-4497-B26B-12C561314958}"/>
    <cellStyle name="Normal 2 4 5 2 2 3 5" xfId="17790" xr:uid="{AEC78F67-C7F9-4AD2-AF46-046485684C94}"/>
    <cellStyle name="Normal 2 4 5 2 2 3 6" xfId="26237" xr:uid="{610ABD58-2F82-48E4-8F29-C8C0CC678CE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2EC07EA2-D119-4197-A090-4EAFF3913E16}"/>
    <cellStyle name="Normal 2 4 5 2 2 4 2 2 3" xfId="24565" xr:uid="{53055E6C-2431-4F12-86FD-EF4D31592D45}"/>
    <cellStyle name="Normal 2 4 5 2 2 4 2 2 4" xfId="33012" xr:uid="{761014FF-EB20-45D3-8697-51C1F673D18B}"/>
    <cellStyle name="Normal 2 4 5 2 2 4 2 3" xfId="11900" xr:uid="{1C77E1A7-83B4-40C6-8849-EC47DC269ACA}"/>
    <cellStyle name="Normal 2 4 5 2 2 4 2 4" xfId="20348" xr:uid="{CAAC5325-6B9C-467B-BC8A-222E7E8284B4}"/>
    <cellStyle name="Normal 2 4 5 2 2 4 2 5" xfId="28795" xr:uid="{B4423618-1829-4E38-B5A7-73D855DE0F09}"/>
    <cellStyle name="Normal 2 4 5 2 2 4 3" xfId="5523" xr:uid="{00000000-0005-0000-0000-000053100000}"/>
    <cellStyle name="Normal 2 4 5 2 2 4 3 2" xfId="13973" xr:uid="{E2E6A90F-AD15-410C-998B-7A82E26ED4AB}"/>
    <cellStyle name="Normal 2 4 5 2 2 4 3 3" xfId="22420" xr:uid="{159501D3-B018-4F28-8451-811264DC6C93}"/>
    <cellStyle name="Normal 2 4 5 2 2 4 3 4" xfId="30867" xr:uid="{DF743F42-9440-4B8D-82DC-956FB1663243}"/>
    <cellStyle name="Normal 2 4 5 2 2 4 4" xfId="9755" xr:uid="{BA4A7D37-66CD-46E9-BB15-54DE5808AA0B}"/>
    <cellStyle name="Normal 2 4 5 2 2 4 5" xfId="18203" xr:uid="{68142D4A-CEE9-49FD-A832-A3B9E373F456}"/>
    <cellStyle name="Normal 2 4 5 2 2 4 6" xfId="26650" xr:uid="{63237ED9-17AB-4CFD-A280-816C5284C5E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6F9520CE-F57B-4F46-9A41-3D7B46032DF7}"/>
    <cellStyle name="Normal 2 4 5 2 2 5 2 2 3" xfId="24978" xr:uid="{B71DECD7-0164-45AA-95AE-ED365746A8AF}"/>
    <cellStyle name="Normal 2 4 5 2 2 5 2 2 4" xfId="33425" xr:uid="{09AE4C32-F373-46DA-9D65-AF8BC92BA2A9}"/>
    <cellStyle name="Normal 2 4 5 2 2 5 2 3" xfId="12313" xr:uid="{8A1D3206-2934-4D3C-AA9E-FB82BA102E91}"/>
    <cellStyle name="Normal 2 4 5 2 2 5 2 4" xfId="20761" xr:uid="{E60AE6D7-AFE2-4EA4-BF31-84B55783925E}"/>
    <cellStyle name="Normal 2 4 5 2 2 5 2 5" xfId="29208" xr:uid="{3E04CBF4-5C4D-4FB3-804F-43DCA4E31103}"/>
    <cellStyle name="Normal 2 4 5 2 2 5 3" xfId="5936" xr:uid="{00000000-0005-0000-0000-000057100000}"/>
    <cellStyle name="Normal 2 4 5 2 2 5 3 2" xfId="14386" xr:uid="{32A56C45-7573-4F04-92FF-663D450E66DF}"/>
    <cellStyle name="Normal 2 4 5 2 2 5 3 3" xfId="22833" xr:uid="{4DA4C4F6-5AAE-4A04-AECA-55DDFD620CD3}"/>
    <cellStyle name="Normal 2 4 5 2 2 5 3 4" xfId="31280" xr:uid="{07D0DA4D-24B3-4CF9-B3CA-D2320F95B0C9}"/>
    <cellStyle name="Normal 2 4 5 2 2 5 4" xfId="10168" xr:uid="{2EA443B2-A802-41FC-B433-89BC8651B388}"/>
    <cellStyle name="Normal 2 4 5 2 2 5 5" xfId="18616" xr:uid="{70970C8D-FCDE-47BD-96F1-3B5D01ED6A37}"/>
    <cellStyle name="Normal 2 4 5 2 2 5 6" xfId="27063" xr:uid="{A84F3BE5-4C93-4374-A35F-AB6313F9DA6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343AE8FD-1604-420A-9758-92492599D8AE}"/>
    <cellStyle name="Normal 2 4 5 2 2 6 2 2 3" xfId="25391" xr:uid="{13655BF7-2D4B-4050-882C-CD2D64FAA041}"/>
    <cellStyle name="Normal 2 4 5 2 2 6 2 2 4" xfId="33838" xr:uid="{3A17758D-450F-4EC8-B62C-2A790ECFB4F5}"/>
    <cellStyle name="Normal 2 4 5 2 2 6 2 3" xfId="12726" xr:uid="{40605B5A-54D4-412B-ACFF-2F40612452AE}"/>
    <cellStyle name="Normal 2 4 5 2 2 6 2 4" xfId="21174" xr:uid="{6591145E-1DA3-4431-B1CB-DF03561C79E9}"/>
    <cellStyle name="Normal 2 4 5 2 2 6 2 5" xfId="29621" xr:uid="{9E87254A-C0AD-471E-BDA0-3D18AC6E4BB0}"/>
    <cellStyle name="Normal 2 4 5 2 2 6 3" xfId="6349" xr:uid="{00000000-0005-0000-0000-00005B100000}"/>
    <cellStyle name="Normal 2 4 5 2 2 6 3 2" xfId="14799" xr:uid="{99949807-59BD-47BC-8BAF-FDCFB81842C1}"/>
    <cellStyle name="Normal 2 4 5 2 2 6 3 3" xfId="23246" xr:uid="{B14B54CB-4797-4331-A4BF-B7142B7D403C}"/>
    <cellStyle name="Normal 2 4 5 2 2 6 3 4" xfId="31693" xr:uid="{ECAA0A09-F58B-477E-9452-9D0E3B92326C}"/>
    <cellStyle name="Normal 2 4 5 2 2 6 4" xfId="10581" xr:uid="{12E5ED11-7C5F-4F7A-A920-0240B1FE345F}"/>
    <cellStyle name="Normal 2 4 5 2 2 6 5" xfId="19029" xr:uid="{044D8F86-760C-4109-9D7C-E2F6692842A2}"/>
    <cellStyle name="Normal 2 4 5 2 2 6 6" xfId="27476" xr:uid="{BA79FF72-12ED-45B1-A761-46B7A0C27979}"/>
    <cellStyle name="Normal 2 4 5 2 2 7" xfId="2479" xr:uid="{00000000-0005-0000-0000-00005C100000}"/>
    <cellStyle name="Normal 2 4 5 2 2 7 2" xfId="6762" xr:uid="{00000000-0005-0000-0000-00005D100000}"/>
    <cellStyle name="Normal 2 4 5 2 2 7 2 2" xfId="15212" xr:uid="{4187E85F-D3EF-4E40-8649-1554C04A2995}"/>
    <cellStyle name="Normal 2 4 5 2 2 7 2 3" xfId="23659" xr:uid="{CDB895F6-660C-4AE9-A49E-4C9C5B9180F6}"/>
    <cellStyle name="Normal 2 4 5 2 2 7 2 4" xfId="32106" xr:uid="{EF93E87F-417E-4BBF-A87A-3E8F68614A82}"/>
    <cellStyle name="Normal 2 4 5 2 2 7 3" xfId="10994" xr:uid="{17CFF801-089E-4B44-BED0-E6C2B0D339A8}"/>
    <cellStyle name="Normal 2 4 5 2 2 7 4" xfId="19442" xr:uid="{7EB63106-E5BE-4DDC-BC05-6AFB662631D8}"/>
    <cellStyle name="Normal 2 4 5 2 2 7 5" xfId="27889" xr:uid="{551D60EF-5E7F-4F50-A306-E216F7D28916}"/>
    <cellStyle name="Normal 2 4 5 2 2 8" xfId="4696" xr:uid="{00000000-0005-0000-0000-00005E100000}"/>
    <cellStyle name="Normal 2 4 5 2 2 8 2" xfId="13146" xr:uid="{E5DC7079-0528-41E8-B456-0D547E9B684D}"/>
    <cellStyle name="Normal 2 4 5 2 2 8 3" xfId="21593" xr:uid="{147EE441-7730-4E4F-BF83-4B83D004F1AE}"/>
    <cellStyle name="Normal 2 4 5 2 2 8 4" xfId="30040" xr:uid="{E2BFB843-7706-4EB9-B7DB-EC20937B96E5}"/>
    <cellStyle name="Normal 2 4 5 2 2 9" xfId="8928" xr:uid="{C5E9E863-58BF-43E3-8B7B-3857F3DB9DB1}"/>
    <cellStyle name="Normal 2 4 5 2 3" xfId="307" xr:uid="{00000000-0005-0000-0000-00005F100000}"/>
    <cellStyle name="Normal 2 4 5 2 3 10" xfId="25825" xr:uid="{84473E5E-B222-4B69-BFE2-047919BB689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7A1C2AB6-3937-402A-9A34-350385A836F7}"/>
    <cellStyle name="Normal 2 4 5 2 3 2 2 2 3" xfId="24154" xr:uid="{ACD67841-BC98-4D5F-8C6E-2C3B1AE69FBB}"/>
    <cellStyle name="Normal 2 4 5 2 3 2 2 2 4" xfId="32601" xr:uid="{F01CE83A-5A82-4510-9BD3-36B542D95EE7}"/>
    <cellStyle name="Normal 2 4 5 2 3 2 2 3" xfId="11489" xr:uid="{C29CA65A-79EB-4993-8AD2-79BF8493A636}"/>
    <cellStyle name="Normal 2 4 5 2 3 2 2 4" xfId="19937" xr:uid="{6C40B19C-D2CB-45F3-962B-536D35B4037A}"/>
    <cellStyle name="Normal 2 4 5 2 3 2 2 5" xfId="28384" xr:uid="{CD623964-13F1-49B5-8ADD-D4F2B90A9EE3}"/>
    <cellStyle name="Normal 2 4 5 2 3 2 3" xfId="5112" xr:uid="{00000000-0005-0000-0000-000063100000}"/>
    <cellStyle name="Normal 2 4 5 2 3 2 3 2" xfId="13562" xr:uid="{AC8E4D71-0C6C-4425-8513-103B843D1AC3}"/>
    <cellStyle name="Normal 2 4 5 2 3 2 3 3" xfId="22009" xr:uid="{A94D5FAA-337D-4715-9A93-5CF4685D35F0}"/>
    <cellStyle name="Normal 2 4 5 2 3 2 3 4" xfId="30456" xr:uid="{67D8CEEB-03D3-4CE6-AD9A-1B9B7F177F76}"/>
    <cellStyle name="Normal 2 4 5 2 3 2 4" xfId="9344" xr:uid="{0C607477-BB00-4B4C-80CC-7E7526078606}"/>
    <cellStyle name="Normal 2 4 5 2 3 2 5" xfId="17792" xr:uid="{798650D1-0DBF-44BD-BD20-5422D83DF135}"/>
    <cellStyle name="Normal 2 4 5 2 3 2 6" xfId="26239" xr:uid="{B25E6D80-8A5B-405B-81AA-E34C263B20C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26767102-A791-4E24-94DB-7402B033DA1E}"/>
    <cellStyle name="Normal 2 4 5 2 3 3 2 2 3" xfId="24567" xr:uid="{26AC3C2B-70E5-4895-914E-0AA68263ACA9}"/>
    <cellStyle name="Normal 2 4 5 2 3 3 2 2 4" xfId="33014" xr:uid="{3B1F8AF7-2363-449E-8982-FE7F741BC369}"/>
    <cellStyle name="Normal 2 4 5 2 3 3 2 3" xfId="11902" xr:uid="{354DCA1A-D4B2-4D39-A39B-C3DFFCF85522}"/>
    <cellStyle name="Normal 2 4 5 2 3 3 2 4" xfId="20350" xr:uid="{43F6DC34-C2EA-457B-BCFE-C033E81AD54E}"/>
    <cellStyle name="Normal 2 4 5 2 3 3 2 5" xfId="28797" xr:uid="{273C9022-EA65-4D61-9492-7A4A2899A59E}"/>
    <cellStyle name="Normal 2 4 5 2 3 3 3" xfId="5525" xr:uid="{00000000-0005-0000-0000-000067100000}"/>
    <cellStyle name="Normal 2 4 5 2 3 3 3 2" xfId="13975" xr:uid="{3FD909DD-ECFB-412F-BC55-DF8BB76F3194}"/>
    <cellStyle name="Normal 2 4 5 2 3 3 3 3" xfId="22422" xr:uid="{D9F6F5D6-2FDB-4118-A905-06366A27BAAD}"/>
    <cellStyle name="Normal 2 4 5 2 3 3 3 4" xfId="30869" xr:uid="{0CDFF7F4-555D-419B-A938-CE8D0C9F3F88}"/>
    <cellStyle name="Normal 2 4 5 2 3 3 4" xfId="9757" xr:uid="{BA788A5F-5D84-4E12-82FC-9C14C87DCDBA}"/>
    <cellStyle name="Normal 2 4 5 2 3 3 5" xfId="18205" xr:uid="{0D97065E-49D0-4E18-A5CF-7704A3C720C3}"/>
    <cellStyle name="Normal 2 4 5 2 3 3 6" xfId="26652" xr:uid="{482A5087-4A5D-4874-B575-9E083A912E02}"/>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0A346B7D-4B0E-4936-96CF-1D23A77CA54F}"/>
    <cellStyle name="Normal 2 4 5 2 3 4 2 2 3" xfId="24980" xr:uid="{3DCDBD1B-E0E3-4862-A287-A51DB8E7352C}"/>
    <cellStyle name="Normal 2 4 5 2 3 4 2 2 4" xfId="33427" xr:uid="{F402AA01-549D-4DC8-BD37-CF1F3553ADA6}"/>
    <cellStyle name="Normal 2 4 5 2 3 4 2 3" xfId="12315" xr:uid="{05283FD4-11B5-4D7D-82DB-68EFEFA3278B}"/>
    <cellStyle name="Normal 2 4 5 2 3 4 2 4" xfId="20763" xr:uid="{C235AE38-8B54-410C-8F1D-3D834661BAF0}"/>
    <cellStyle name="Normal 2 4 5 2 3 4 2 5" xfId="29210" xr:uid="{0E9302D6-A65A-4821-8136-C9A4B0D87FE8}"/>
    <cellStyle name="Normal 2 4 5 2 3 4 3" xfId="5938" xr:uid="{00000000-0005-0000-0000-00006B100000}"/>
    <cellStyle name="Normal 2 4 5 2 3 4 3 2" xfId="14388" xr:uid="{63DEE39C-DEF1-4CDB-BE91-74A307257E7F}"/>
    <cellStyle name="Normal 2 4 5 2 3 4 3 3" xfId="22835" xr:uid="{188858A8-9ED4-4A31-ACC8-7C9FEDC0113D}"/>
    <cellStyle name="Normal 2 4 5 2 3 4 3 4" xfId="31282" xr:uid="{BCD46F06-4C0C-4E71-BDB8-0D04F45A9C25}"/>
    <cellStyle name="Normal 2 4 5 2 3 4 4" xfId="10170" xr:uid="{7E268AD3-ADF6-4EA2-95E5-302992A749D9}"/>
    <cellStyle name="Normal 2 4 5 2 3 4 5" xfId="18618" xr:uid="{B73FB690-496E-4D16-8FD7-424BBE1DC5B8}"/>
    <cellStyle name="Normal 2 4 5 2 3 4 6" xfId="27065" xr:uid="{1BBED032-9697-4038-A43A-4B154E02255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DF73D181-20C4-41E2-9E09-F96EADA42AFD}"/>
    <cellStyle name="Normal 2 4 5 2 3 5 2 2 3" xfId="25393" xr:uid="{0F86B431-895D-47E3-B5B9-924CB5ABE8CF}"/>
    <cellStyle name="Normal 2 4 5 2 3 5 2 2 4" xfId="33840" xr:uid="{0A3FD127-C04A-48BE-B124-B8E80CE74A04}"/>
    <cellStyle name="Normal 2 4 5 2 3 5 2 3" xfId="12728" xr:uid="{CC804B3B-80F3-4161-B2F5-5F77E4918714}"/>
    <cellStyle name="Normal 2 4 5 2 3 5 2 4" xfId="21176" xr:uid="{2DEB18C7-C73C-468E-BBB6-5BD79B29D9E9}"/>
    <cellStyle name="Normal 2 4 5 2 3 5 2 5" xfId="29623" xr:uid="{5AB92405-0254-42D7-843C-A2DB15841C67}"/>
    <cellStyle name="Normal 2 4 5 2 3 5 3" xfId="6351" xr:uid="{00000000-0005-0000-0000-00006F100000}"/>
    <cellStyle name="Normal 2 4 5 2 3 5 3 2" xfId="14801" xr:uid="{FA6F2E53-441E-4A33-BAA4-834366F348E4}"/>
    <cellStyle name="Normal 2 4 5 2 3 5 3 3" xfId="23248" xr:uid="{C181A340-B428-454A-8EAE-9B16EE292041}"/>
    <cellStyle name="Normal 2 4 5 2 3 5 3 4" xfId="31695" xr:uid="{AE49CC46-4642-419B-AE7D-2F41E5170DAE}"/>
    <cellStyle name="Normal 2 4 5 2 3 5 4" xfId="10583" xr:uid="{2B88804F-6242-4D73-9A45-E86F5F30E1AB}"/>
    <cellStyle name="Normal 2 4 5 2 3 5 5" xfId="19031" xr:uid="{46984D0A-24FE-4C19-96E6-EBFE1E4DB3FD}"/>
    <cellStyle name="Normal 2 4 5 2 3 5 6" xfId="27478" xr:uid="{A720AF1A-EE50-487C-8396-4031DDDC7348}"/>
    <cellStyle name="Normal 2 4 5 2 3 6" xfId="2481" xr:uid="{00000000-0005-0000-0000-000070100000}"/>
    <cellStyle name="Normal 2 4 5 2 3 6 2" xfId="6764" xr:uid="{00000000-0005-0000-0000-000071100000}"/>
    <cellStyle name="Normal 2 4 5 2 3 6 2 2" xfId="15214" xr:uid="{EB45EDB0-3ADD-48E4-BF09-A5E440FC5BDF}"/>
    <cellStyle name="Normal 2 4 5 2 3 6 2 3" xfId="23661" xr:uid="{D250E69C-F764-4AE6-A627-02B62155410B}"/>
    <cellStyle name="Normal 2 4 5 2 3 6 2 4" xfId="32108" xr:uid="{0AD4CF23-D79A-42A1-AA15-A38CC49FB837}"/>
    <cellStyle name="Normal 2 4 5 2 3 6 3" xfId="10996" xr:uid="{DBD990AB-C42C-4EE8-AF3B-4BB365F38797}"/>
    <cellStyle name="Normal 2 4 5 2 3 6 4" xfId="19444" xr:uid="{F45D6C01-09F2-4363-A166-DC82CD2557AB}"/>
    <cellStyle name="Normal 2 4 5 2 3 6 5" xfId="27891" xr:uid="{F0961181-FDD8-4C77-9B37-06345734C962}"/>
    <cellStyle name="Normal 2 4 5 2 3 7" xfId="4698" xr:uid="{00000000-0005-0000-0000-000072100000}"/>
    <cellStyle name="Normal 2 4 5 2 3 7 2" xfId="13148" xr:uid="{FB4EE2D1-025C-41D6-939E-CBC9EF99D49B}"/>
    <cellStyle name="Normal 2 4 5 2 3 7 3" xfId="21595" xr:uid="{B6DBBCDC-B78A-4CB0-9FDD-B3908A2CFAE8}"/>
    <cellStyle name="Normal 2 4 5 2 3 7 4" xfId="30042" xr:uid="{2265EF7E-5165-4810-B8AF-FF35F5FE752E}"/>
    <cellStyle name="Normal 2 4 5 2 3 8" xfId="8930" xr:uid="{AF9B96F8-523A-4AA9-B134-0F86D78510E6}"/>
    <cellStyle name="Normal 2 4 5 2 3 9" xfId="17378" xr:uid="{C4023F33-1D2E-45A6-8054-FB58792FF51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AF454E30-A95F-4460-A45C-9783774C1622}"/>
    <cellStyle name="Normal 2 4 5 2 4 2 2 3" xfId="24151" xr:uid="{28E3B087-9B7C-4556-97BF-F69D509A1C36}"/>
    <cellStyle name="Normal 2 4 5 2 4 2 2 4" xfId="32598" xr:uid="{DC6EFC41-53BD-40D6-A781-FE06C18C8F7A}"/>
    <cellStyle name="Normal 2 4 5 2 4 2 3" xfId="11486" xr:uid="{76A56B94-FA64-42CB-9479-2BD9FFA38DA2}"/>
    <cellStyle name="Normal 2 4 5 2 4 2 4" xfId="19934" xr:uid="{165E4595-538B-4B5C-9DE9-01E50C6E1131}"/>
    <cellStyle name="Normal 2 4 5 2 4 2 5" xfId="28381" xr:uid="{A9545F0D-EB03-48EF-AF6F-78D3CE467BF5}"/>
    <cellStyle name="Normal 2 4 5 2 4 3" xfId="5109" xr:uid="{00000000-0005-0000-0000-000076100000}"/>
    <cellStyle name="Normal 2 4 5 2 4 3 2" xfId="13559" xr:uid="{9108BDFD-AEDF-4F43-AB09-AF6AFB9C7F07}"/>
    <cellStyle name="Normal 2 4 5 2 4 3 3" xfId="22006" xr:uid="{B333AFB9-B62B-4A8B-AA9A-55A1E4931254}"/>
    <cellStyle name="Normal 2 4 5 2 4 3 4" xfId="30453" xr:uid="{E367266D-7DD2-459E-96E3-959C46DCADA9}"/>
    <cellStyle name="Normal 2 4 5 2 4 4" xfId="9341" xr:uid="{2BEBC475-8A09-4EDE-A523-94FBC7CD34A2}"/>
    <cellStyle name="Normal 2 4 5 2 4 5" xfId="17789" xr:uid="{C176E392-3BC5-4C9A-87E2-B0F1BBBB9619}"/>
    <cellStyle name="Normal 2 4 5 2 4 6" xfId="26236" xr:uid="{0F66F5C3-6106-455E-AC1A-202A70F6521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251E5A50-8B6E-455C-8832-8156233D6F93}"/>
    <cellStyle name="Normal 2 4 5 2 5 2 2 3" xfId="24564" xr:uid="{18C9085E-CF25-464D-BEB1-7A534F36247D}"/>
    <cellStyle name="Normal 2 4 5 2 5 2 2 4" xfId="33011" xr:uid="{DF88EDEA-0668-4E4D-9EC9-FDE252093B2E}"/>
    <cellStyle name="Normal 2 4 5 2 5 2 3" xfId="11899" xr:uid="{2BED8C69-FDA7-41B2-928B-4FC9D206DFD8}"/>
    <cellStyle name="Normal 2 4 5 2 5 2 4" xfId="20347" xr:uid="{5D8D46FA-B6E8-4709-A906-4FD88ED85E7A}"/>
    <cellStyle name="Normal 2 4 5 2 5 2 5" xfId="28794" xr:uid="{581F303D-50DB-4929-9397-D0CE0CA81ECA}"/>
    <cellStyle name="Normal 2 4 5 2 5 3" xfId="5522" xr:uid="{00000000-0005-0000-0000-00007A100000}"/>
    <cellStyle name="Normal 2 4 5 2 5 3 2" xfId="13972" xr:uid="{6B6FB312-DA6B-4BAB-80BB-6D25729A0CC1}"/>
    <cellStyle name="Normal 2 4 5 2 5 3 3" xfId="22419" xr:uid="{028C3791-8488-4E44-84A7-3943A05BE64E}"/>
    <cellStyle name="Normal 2 4 5 2 5 3 4" xfId="30866" xr:uid="{C7CA6D1B-6FC9-4F4B-BA29-D54E51EA43F3}"/>
    <cellStyle name="Normal 2 4 5 2 5 4" xfId="9754" xr:uid="{21AD7545-A6F9-4EFD-8BA0-AE0D262F4322}"/>
    <cellStyle name="Normal 2 4 5 2 5 5" xfId="18202" xr:uid="{BC7E4D09-4CAF-40A1-9406-451273D8E565}"/>
    <cellStyle name="Normal 2 4 5 2 5 6" xfId="26649" xr:uid="{A3FF7E8C-6300-4667-BB80-A486B1F4C9C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51E9B57-5497-420B-A7AE-0ECA7E9DCCEE}"/>
    <cellStyle name="Normal 2 4 5 2 6 2 2 3" xfId="24977" xr:uid="{B1AE6DBB-02C9-4691-B53C-2D94089B8847}"/>
    <cellStyle name="Normal 2 4 5 2 6 2 2 4" xfId="33424" xr:uid="{746A8D81-11DC-489B-A91B-D951303A41FB}"/>
    <cellStyle name="Normal 2 4 5 2 6 2 3" xfId="12312" xr:uid="{45C3007B-84A0-4601-B21A-2164A4F545A3}"/>
    <cellStyle name="Normal 2 4 5 2 6 2 4" xfId="20760" xr:uid="{7792CDFF-AFA0-4344-B593-8F3150F77C7A}"/>
    <cellStyle name="Normal 2 4 5 2 6 2 5" xfId="29207" xr:uid="{0AE19BA9-6E8E-4069-B40A-02E4A9B25ADC}"/>
    <cellStyle name="Normal 2 4 5 2 6 3" xfId="5935" xr:uid="{00000000-0005-0000-0000-00007E100000}"/>
    <cellStyle name="Normal 2 4 5 2 6 3 2" xfId="14385" xr:uid="{E7FFBF88-AFBF-47DD-A36B-1790BD73A78E}"/>
    <cellStyle name="Normal 2 4 5 2 6 3 3" xfId="22832" xr:uid="{794FF828-FC6F-4B16-8E59-02C8B50EE100}"/>
    <cellStyle name="Normal 2 4 5 2 6 3 4" xfId="31279" xr:uid="{A7FCF8BC-2529-477E-8645-436B1D392973}"/>
    <cellStyle name="Normal 2 4 5 2 6 4" xfId="10167" xr:uid="{2CAE2717-A054-46D2-9F16-F5FD4A0245E9}"/>
    <cellStyle name="Normal 2 4 5 2 6 5" xfId="18615" xr:uid="{F109AF06-3C85-4B85-9D0A-19F63988A910}"/>
    <cellStyle name="Normal 2 4 5 2 6 6" xfId="27062" xr:uid="{A0B2A011-C7FC-4922-A796-FF5C9F9E329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549D6306-7C22-4E3B-BEF3-A70E7DEF3732}"/>
    <cellStyle name="Normal 2 4 5 2 7 2 2 3" xfId="25390" xr:uid="{C8981EA2-D759-4961-99ED-1668B764BFD4}"/>
    <cellStyle name="Normal 2 4 5 2 7 2 2 4" xfId="33837" xr:uid="{9B189F97-7CCB-4B04-B795-A0C7B6367C47}"/>
    <cellStyle name="Normal 2 4 5 2 7 2 3" xfId="12725" xr:uid="{DB826760-C47A-4FB1-9F7C-95E9B3068518}"/>
    <cellStyle name="Normal 2 4 5 2 7 2 4" xfId="21173" xr:uid="{8FD5BEF2-2ABE-403E-8910-27665DDBF6D7}"/>
    <cellStyle name="Normal 2 4 5 2 7 2 5" xfId="29620" xr:uid="{C37153B5-79F7-4DFE-9435-302487AD9004}"/>
    <cellStyle name="Normal 2 4 5 2 7 3" xfId="6348" xr:uid="{00000000-0005-0000-0000-000082100000}"/>
    <cellStyle name="Normal 2 4 5 2 7 3 2" xfId="14798" xr:uid="{81E6FF46-D42C-46E1-A1F8-28E792E8C31F}"/>
    <cellStyle name="Normal 2 4 5 2 7 3 3" xfId="23245" xr:uid="{395877CD-5D12-472B-940E-5E09188C3CAC}"/>
    <cellStyle name="Normal 2 4 5 2 7 3 4" xfId="31692" xr:uid="{0E00DFE2-43E6-44A0-859A-68C9A9528CD1}"/>
    <cellStyle name="Normal 2 4 5 2 7 4" xfId="10580" xr:uid="{0B0209FB-0EB2-4B34-BD5F-9C03407A32E0}"/>
    <cellStyle name="Normal 2 4 5 2 7 5" xfId="19028" xr:uid="{33A645C6-8CF4-4680-B230-118C94C78BD8}"/>
    <cellStyle name="Normal 2 4 5 2 7 6" xfId="27475" xr:uid="{1ADC77A5-98A7-4E82-AEE1-3B6B78AAB99E}"/>
    <cellStyle name="Normal 2 4 5 2 8" xfId="2478" xr:uid="{00000000-0005-0000-0000-000083100000}"/>
    <cellStyle name="Normal 2 4 5 2 8 2" xfId="6761" xr:uid="{00000000-0005-0000-0000-000084100000}"/>
    <cellStyle name="Normal 2 4 5 2 8 2 2" xfId="15211" xr:uid="{ACE8994D-B8AA-4BAC-A919-DCED8D94131F}"/>
    <cellStyle name="Normal 2 4 5 2 8 2 3" xfId="23658" xr:uid="{955218B4-81BF-48E7-AF68-E4B32E4C4F0C}"/>
    <cellStyle name="Normal 2 4 5 2 8 2 4" xfId="32105" xr:uid="{A434D6DE-D705-49FE-A75B-E0B1574900E5}"/>
    <cellStyle name="Normal 2 4 5 2 8 3" xfId="10993" xr:uid="{43839CFE-58EF-44FA-80BE-52C033C9A7F7}"/>
    <cellStyle name="Normal 2 4 5 2 8 4" xfId="19441" xr:uid="{BC5D170F-11B2-40BE-BB2A-58B503D30FAA}"/>
    <cellStyle name="Normal 2 4 5 2 8 5" xfId="27888" xr:uid="{7E0B3C3E-63CA-436F-90A2-6DDBC637FD15}"/>
    <cellStyle name="Normal 2 4 5 2 9" xfId="4695" xr:uid="{00000000-0005-0000-0000-000085100000}"/>
    <cellStyle name="Normal 2 4 5 2 9 2" xfId="13145" xr:uid="{8EE35092-0CF6-4D1A-9A92-52E50AC6C17A}"/>
    <cellStyle name="Normal 2 4 5 2 9 3" xfId="21592" xr:uid="{E9AAF846-97C0-43C0-90D9-003A54670491}"/>
    <cellStyle name="Normal 2 4 5 2 9 4" xfId="30039" xr:uid="{44321E21-A8F3-4B57-A4B4-CD900F6B74F1}"/>
    <cellStyle name="Normal 2 4 5 3" xfId="308" xr:uid="{00000000-0005-0000-0000-000086100000}"/>
    <cellStyle name="Normal 2 4 5 3 10" xfId="17379" xr:uid="{53746BAF-25FC-44F9-87D4-1CEE57896ADE}"/>
    <cellStyle name="Normal 2 4 5 3 11" xfId="25826" xr:uid="{AF9FEF8B-6E1B-4A4D-8415-853CFCFDC50B}"/>
    <cellStyle name="Normal 2 4 5 3 2" xfId="309" xr:uid="{00000000-0005-0000-0000-000087100000}"/>
    <cellStyle name="Normal 2 4 5 3 2 10" xfId="25827" xr:uid="{83F2EAE0-05C7-4BA1-856F-687D1CB6F5BC}"/>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C2F16A48-1AFA-4CE6-B4DB-1992F4D9FA58}"/>
    <cellStyle name="Normal 2 4 5 3 2 2 2 2 3" xfId="24156" xr:uid="{B71F9D32-1CD3-40C2-9FC9-4BA4E80601FD}"/>
    <cellStyle name="Normal 2 4 5 3 2 2 2 2 4" xfId="32603" xr:uid="{7921FEEA-ED25-48ED-BFC8-AF75E87B4D82}"/>
    <cellStyle name="Normal 2 4 5 3 2 2 2 3" xfId="11491" xr:uid="{892BB9A3-3052-4559-B922-AF929D69CA20}"/>
    <cellStyle name="Normal 2 4 5 3 2 2 2 4" xfId="19939" xr:uid="{26D94705-7665-4355-B98B-559B07727BC4}"/>
    <cellStyle name="Normal 2 4 5 3 2 2 2 5" xfId="28386" xr:uid="{970057D7-B680-4D43-875D-0B804F5953B7}"/>
    <cellStyle name="Normal 2 4 5 3 2 2 3" xfId="5114" xr:uid="{00000000-0005-0000-0000-00008B100000}"/>
    <cellStyle name="Normal 2 4 5 3 2 2 3 2" xfId="13564" xr:uid="{902E40A2-24DE-4540-B1C9-7974481E987F}"/>
    <cellStyle name="Normal 2 4 5 3 2 2 3 3" xfId="22011" xr:uid="{C41083E3-5521-4E5A-9EEC-3F006191E3F6}"/>
    <cellStyle name="Normal 2 4 5 3 2 2 3 4" xfId="30458" xr:uid="{F9F0F664-D534-4E91-9C5D-AC4DC39C74DC}"/>
    <cellStyle name="Normal 2 4 5 3 2 2 4" xfId="9346" xr:uid="{14051F03-4AE9-4D1A-9C12-3E840BE9C671}"/>
    <cellStyle name="Normal 2 4 5 3 2 2 5" xfId="17794" xr:uid="{EE534DA0-140B-440C-B3BE-0AF13C3BA307}"/>
    <cellStyle name="Normal 2 4 5 3 2 2 6" xfId="26241" xr:uid="{18E31533-06C1-4305-8003-84C67693CFC7}"/>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24D7A53F-6EB2-44B9-90FF-5F56170B0CEC}"/>
    <cellStyle name="Normal 2 4 5 3 2 3 2 2 3" xfId="24569" xr:uid="{B11AD5D4-0EE1-444E-AB40-FFA1CD04BCF8}"/>
    <cellStyle name="Normal 2 4 5 3 2 3 2 2 4" xfId="33016" xr:uid="{39B04AE2-1A0E-4EBD-BF85-5C5AF6A20310}"/>
    <cellStyle name="Normal 2 4 5 3 2 3 2 3" xfId="11904" xr:uid="{80794747-272D-4701-B1F4-AF8DC837B3B8}"/>
    <cellStyle name="Normal 2 4 5 3 2 3 2 4" xfId="20352" xr:uid="{98391427-EDDF-4B91-8CF4-718D7D1CCB72}"/>
    <cellStyle name="Normal 2 4 5 3 2 3 2 5" xfId="28799" xr:uid="{8062CA5E-2A74-474F-9625-2E050514F142}"/>
    <cellStyle name="Normal 2 4 5 3 2 3 3" xfId="5527" xr:uid="{00000000-0005-0000-0000-00008F100000}"/>
    <cellStyle name="Normal 2 4 5 3 2 3 3 2" xfId="13977" xr:uid="{DC6ED88C-5740-4FE4-AAB6-2312E91EA36E}"/>
    <cellStyle name="Normal 2 4 5 3 2 3 3 3" xfId="22424" xr:uid="{F39496A7-3C12-41B8-A9A5-80B5FE34D30E}"/>
    <cellStyle name="Normal 2 4 5 3 2 3 3 4" xfId="30871" xr:uid="{CB387FB2-21D4-4FF9-966B-D20350FBC969}"/>
    <cellStyle name="Normal 2 4 5 3 2 3 4" xfId="9759" xr:uid="{CC8E0D65-7FAE-41EC-BA00-C2D8B19E88B9}"/>
    <cellStyle name="Normal 2 4 5 3 2 3 5" xfId="18207" xr:uid="{33C0F5EC-6331-40DE-AF96-F102898047D9}"/>
    <cellStyle name="Normal 2 4 5 3 2 3 6" xfId="26654" xr:uid="{A0DD7667-B6CE-48D6-AB9E-63A73C2DD776}"/>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03F75635-ACDB-4054-B84F-05DF6C26E3D2}"/>
    <cellStyle name="Normal 2 4 5 3 2 4 2 2 3" xfId="24982" xr:uid="{917E506C-D99E-49E9-B321-BC2E03666D6B}"/>
    <cellStyle name="Normal 2 4 5 3 2 4 2 2 4" xfId="33429" xr:uid="{5E95681C-C50F-4FB6-9358-788ACA9152EA}"/>
    <cellStyle name="Normal 2 4 5 3 2 4 2 3" xfId="12317" xr:uid="{F65454BC-5AC1-4494-90F5-CCC3B7CDA83C}"/>
    <cellStyle name="Normal 2 4 5 3 2 4 2 4" xfId="20765" xr:uid="{53CD99DC-A1B7-4687-86FC-09867F3774C8}"/>
    <cellStyle name="Normal 2 4 5 3 2 4 2 5" xfId="29212" xr:uid="{621A97C7-65BF-4ADB-B3D5-43D1BA2972D6}"/>
    <cellStyle name="Normal 2 4 5 3 2 4 3" xfId="5940" xr:uid="{00000000-0005-0000-0000-000093100000}"/>
    <cellStyle name="Normal 2 4 5 3 2 4 3 2" xfId="14390" xr:uid="{B8070C68-3655-4764-A931-CAE036F2198E}"/>
    <cellStyle name="Normal 2 4 5 3 2 4 3 3" xfId="22837" xr:uid="{25FDE56C-214E-4A95-9ACF-7D81CAFF194C}"/>
    <cellStyle name="Normal 2 4 5 3 2 4 3 4" xfId="31284" xr:uid="{F0818638-7836-4CDA-9592-0DA61182463C}"/>
    <cellStyle name="Normal 2 4 5 3 2 4 4" xfId="10172" xr:uid="{EB247A66-C785-447D-AE89-4150EC8870C5}"/>
    <cellStyle name="Normal 2 4 5 3 2 4 5" xfId="18620" xr:uid="{DB0EA608-A297-4E42-9B7C-585783F22637}"/>
    <cellStyle name="Normal 2 4 5 3 2 4 6" xfId="27067" xr:uid="{B52F7C6F-9472-466A-8756-CD456733DFDD}"/>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0831F852-E90A-4CC4-AD87-E77F6FB55EF6}"/>
    <cellStyle name="Normal 2 4 5 3 2 5 2 2 3" xfId="25395" xr:uid="{FAF5FFD5-F719-466B-BAFC-2CBB1925D6F7}"/>
    <cellStyle name="Normal 2 4 5 3 2 5 2 2 4" xfId="33842" xr:uid="{AB4D7A9C-F7A2-435F-82FA-7E328E4CCEDF}"/>
    <cellStyle name="Normal 2 4 5 3 2 5 2 3" xfId="12730" xr:uid="{DA68CCC5-CB55-475F-BFF4-6BC6C99D2528}"/>
    <cellStyle name="Normal 2 4 5 3 2 5 2 4" xfId="21178" xr:uid="{706E72CE-D58B-4E11-83A8-AC29CC656F3E}"/>
    <cellStyle name="Normal 2 4 5 3 2 5 2 5" xfId="29625" xr:uid="{6BEF59AF-B199-49BE-9696-487BB3D0A8AF}"/>
    <cellStyle name="Normal 2 4 5 3 2 5 3" xfId="6353" xr:uid="{00000000-0005-0000-0000-000097100000}"/>
    <cellStyle name="Normal 2 4 5 3 2 5 3 2" xfId="14803" xr:uid="{3B4DE888-E62A-44B5-B7E9-778FB96C1588}"/>
    <cellStyle name="Normal 2 4 5 3 2 5 3 3" xfId="23250" xr:uid="{0C947DC9-A659-49A8-9B28-A8EEA2F82A8B}"/>
    <cellStyle name="Normal 2 4 5 3 2 5 3 4" xfId="31697" xr:uid="{845F99E8-0E21-4BF2-A747-7B8FA32896C3}"/>
    <cellStyle name="Normal 2 4 5 3 2 5 4" xfId="10585" xr:uid="{6ECCA301-0699-4282-93B8-54FA1709C96B}"/>
    <cellStyle name="Normal 2 4 5 3 2 5 5" xfId="19033" xr:uid="{A7885757-1B2A-49A4-AFF2-116FB9A47280}"/>
    <cellStyle name="Normal 2 4 5 3 2 5 6" xfId="27480" xr:uid="{766AFDE7-D7D9-4021-88A3-CD40443A1E54}"/>
    <cellStyle name="Normal 2 4 5 3 2 6" xfId="2483" xr:uid="{00000000-0005-0000-0000-000098100000}"/>
    <cellStyle name="Normal 2 4 5 3 2 6 2" xfId="6766" xr:uid="{00000000-0005-0000-0000-000099100000}"/>
    <cellStyle name="Normal 2 4 5 3 2 6 2 2" xfId="15216" xr:uid="{61DB6D1A-38ED-4C6E-9B9A-D7CB17FB87C1}"/>
    <cellStyle name="Normal 2 4 5 3 2 6 2 3" xfId="23663" xr:uid="{CF64D55C-1B9E-4B05-8582-221F90980E66}"/>
    <cellStyle name="Normal 2 4 5 3 2 6 2 4" xfId="32110" xr:uid="{E545BD1E-F9F1-4295-B3EA-C29793F80831}"/>
    <cellStyle name="Normal 2 4 5 3 2 6 3" xfId="10998" xr:uid="{27AAAB11-F5E8-4508-B28D-CF6B1D52D7C3}"/>
    <cellStyle name="Normal 2 4 5 3 2 6 4" xfId="19446" xr:uid="{451C335A-DCF1-48C7-8F87-A143471DA5C1}"/>
    <cellStyle name="Normal 2 4 5 3 2 6 5" xfId="27893" xr:uid="{C8133A0A-DB7C-4CE4-86C0-F0564F18069E}"/>
    <cellStyle name="Normal 2 4 5 3 2 7" xfId="4700" xr:uid="{00000000-0005-0000-0000-00009A100000}"/>
    <cellStyle name="Normal 2 4 5 3 2 7 2" xfId="13150" xr:uid="{D3B69C06-4C03-4717-AA18-A482D19360E3}"/>
    <cellStyle name="Normal 2 4 5 3 2 7 3" xfId="21597" xr:uid="{38823ACD-C868-4D48-A024-376D570B25B1}"/>
    <cellStyle name="Normal 2 4 5 3 2 7 4" xfId="30044" xr:uid="{5A97325D-2F71-4C77-92FE-9382F5AC614C}"/>
    <cellStyle name="Normal 2 4 5 3 2 8" xfId="8932" xr:uid="{7D3E0549-B9A2-41B5-81DC-334900215549}"/>
    <cellStyle name="Normal 2 4 5 3 2 9" xfId="17380" xr:uid="{FFBC3C03-FE9C-4EFD-A416-56014A94E30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CF45CEBF-CFA8-4934-A656-8C55603B91E7}"/>
    <cellStyle name="Normal 2 4 5 3 3 2 2 3" xfId="24155" xr:uid="{E9DF0230-2E9D-45DD-84F7-ACABF7A5239C}"/>
    <cellStyle name="Normal 2 4 5 3 3 2 2 4" xfId="32602" xr:uid="{A20274B5-99BE-4200-A7F4-763B68CEFA62}"/>
    <cellStyle name="Normal 2 4 5 3 3 2 3" xfId="11490" xr:uid="{2E7E12DD-49DE-45FA-8F68-2E940A394F24}"/>
    <cellStyle name="Normal 2 4 5 3 3 2 4" xfId="19938" xr:uid="{ECDA55F4-8314-4CC7-95AD-C874252E3032}"/>
    <cellStyle name="Normal 2 4 5 3 3 2 5" xfId="28385" xr:uid="{2D437405-29FF-422F-AA98-A8A7CBA4823C}"/>
    <cellStyle name="Normal 2 4 5 3 3 3" xfId="5113" xr:uid="{00000000-0005-0000-0000-00009E100000}"/>
    <cellStyle name="Normal 2 4 5 3 3 3 2" xfId="13563" xr:uid="{CEAEAF26-E563-442A-92A0-93C6D6FD7165}"/>
    <cellStyle name="Normal 2 4 5 3 3 3 3" xfId="22010" xr:uid="{1CDF763F-432D-49D2-BC85-DE61C0755C4F}"/>
    <cellStyle name="Normal 2 4 5 3 3 3 4" xfId="30457" xr:uid="{C2FB08E2-A3E4-4D25-88ED-BFC7D6D98293}"/>
    <cellStyle name="Normal 2 4 5 3 3 4" xfId="9345" xr:uid="{F28E0D88-BE4C-4785-A2CE-3BB098EBD2DD}"/>
    <cellStyle name="Normal 2 4 5 3 3 5" xfId="17793" xr:uid="{0A836D76-0949-47B3-AD88-4AACA155A0F8}"/>
    <cellStyle name="Normal 2 4 5 3 3 6" xfId="26240" xr:uid="{66B3FDDE-419E-40AB-A075-0D0AC3CFA5CB}"/>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4C5C10D2-010E-4512-98BA-7A64C1B5F776}"/>
    <cellStyle name="Normal 2 4 5 3 4 2 2 3" xfId="24568" xr:uid="{32B2409B-F506-43C3-AFD9-7C5D74686012}"/>
    <cellStyle name="Normal 2 4 5 3 4 2 2 4" xfId="33015" xr:uid="{85A6BDCF-1FDC-4E25-9218-3CB908AE56D4}"/>
    <cellStyle name="Normal 2 4 5 3 4 2 3" xfId="11903" xr:uid="{2A4C9B70-7DD9-42D7-B61F-DA656C468FB8}"/>
    <cellStyle name="Normal 2 4 5 3 4 2 4" xfId="20351" xr:uid="{29825E31-60FB-41B8-BCB0-923E8DDB11AF}"/>
    <cellStyle name="Normal 2 4 5 3 4 2 5" xfId="28798" xr:uid="{ADBDD7E9-202B-43CC-A43F-14177C3736F0}"/>
    <cellStyle name="Normal 2 4 5 3 4 3" xfId="5526" xr:uid="{00000000-0005-0000-0000-0000A2100000}"/>
    <cellStyle name="Normal 2 4 5 3 4 3 2" xfId="13976" xr:uid="{CDDEC0CF-1D23-4C3D-944F-9C357A62EC36}"/>
    <cellStyle name="Normal 2 4 5 3 4 3 3" xfId="22423" xr:uid="{CCA49813-8F86-4DCD-AC71-F73D59A2C1AD}"/>
    <cellStyle name="Normal 2 4 5 3 4 3 4" xfId="30870" xr:uid="{8BFFC743-E2B5-45A4-965D-B25AB2C4464E}"/>
    <cellStyle name="Normal 2 4 5 3 4 4" xfId="9758" xr:uid="{9C40BD0F-A444-45AC-85C6-6EA168B22DDF}"/>
    <cellStyle name="Normal 2 4 5 3 4 5" xfId="18206" xr:uid="{E11BCB3A-3DD7-4995-BE24-48EE654B36C0}"/>
    <cellStyle name="Normal 2 4 5 3 4 6" xfId="26653" xr:uid="{723648EA-8E04-4D30-93AA-E8E2E2C7B14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44CB65A4-0263-4E59-8C01-F39B5A8A0813}"/>
    <cellStyle name="Normal 2 4 5 3 5 2 2 3" xfId="24981" xr:uid="{972FDACB-E8AC-4E78-8045-5FB2CB682AF0}"/>
    <cellStyle name="Normal 2 4 5 3 5 2 2 4" xfId="33428" xr:uid="{7F170BE2-72D2-46F5-9789-F655C506C77D}"/>
    <cellStyle name="Normal 2 4 5 3 5 2 3" xfId="12316" xr:uid="{DA4FB3CD-9236-4A9D-A230-992AD735DE47}"/>
    <cellStyle name="Normal 2 4 5 3 5 2 4" xfId="20764" xr:uid="{EC8DD043-F885-42DF-8213-2ABBB356FCE1}"/>
    <cellStyle name="Normal 2 4 5 3 5 2 5" xfId="29211" xr:uid="{4A407F04-5AD4-456E-8D6C-D8CB8A766606}"/>
    <cellStyle name="Normal 2 4 5 3 5 3" xfId="5939" xr:uid="{00000000-0005-0000-0000-0000A6100000}"/>
    <cellStyle name="Normal 2 4 5 3 5 3 2" xfId="14389" xr:uid="{61767056-1599-43F4-B159-E1C96ABF519F}"/>
    <cellStyle name="Normal 2 4 5 3 5 3 3" xfId="22836" xr:uid="{ADD66FB7-C2B5-4B17-A5AD-03E422E11BA3}"/>
    <cellStyle name="Normal 2 4 5 3 5 3 4" xfId="31283" xr:uid="{1636FC26-DC42-4643-9BF6-BEAFE33DEDE6}"/>
    <cellStyle name="Normal 2 4 5 3 5 4" xfId="10171" xr:uid="{28E5ECBE-32B3-4E02-800B-388BE5B62D2C}"/>
    <cellStyle name="Normal 2 4 5 3 5 5" xfId="18619" xr:uid="{82743A1F-E69D-4124-AF78-4C73D796927D}"/>
    <cellStyle name="Normal 2 4 5 3 5 6" xfId="27066" xr:uid="{BF3E0173-D5E8-41E7-8B79-2AA170809972}"/>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9F8CD11D-A748-4AA3-837F-50294850F6EE}"/>
    <cellStyle name="Normal 2 4 5 3 6 2 2 3" xfId="25394" xr:uid="{1A313A94-53CC-4042-9A17-160709A776C8}"/>
    <cellStyle name="Normal 2 4 5 3 6 2 2 4" xfId="33841" xr:uid="{D9DBE61B-6E27-420F-B5AC-B5D2BCD73F0C}"/>
    <cellStyle name="Normal 2 4 5 3 6 2 3" xfId="12729" xr:uid="{AD0BA063-6579-4EE8-A2AE-91DE160B0068}"/>
    <cellStyle name="Normal 2 4 5 3 6 2 4" xfId="21177" xr:uid="{991F1CE7-E944-4B81-8E79-CF2DBFD08861}"/>
    <cellStyle name="Normal 2 4 5 3 6 2 5" xfId="29624" xr:uid="{617A98D1-7DA5-4906-A0C4-6EE856217151}"/>
    <cellStyle name="Normal 2 4 5 3 6 3" xfId="6352" xr:uid="{00000000-0005-0000-0000-0000AA100000}"/>
    <cellStyle name="Normal 2 4 5 3 6 3 2" xfId="14802" xr:uid="{FF8A4562-0AD4-45C6-B581-7BA5F571A4AA}"/>
    <cellStyle name="Normal 2 4 5 3 6 3 3" xfId="23249" xr:uid="{5C9384EE-EF45-4A27-89B5-E97460DEFC47}"/>
    <cellStyle name="Normal 2 4 5 3 6 3 4" xfId="31696" xr:uid="{54DC3094-9602-498C-90DD-7AF515D93660}"/>
    <cellStyle name="Normal 2 4 5 3 6 4" xfId="10584" xr:uid="{DD55239A-3228-483A-A0E6-D37841BA99DD}"/>
    <cellStyle name="Normal 2 4 5 3 6 5" xfId="19032" xr:uid="{507CA30A-2419-4C2B-B7DB-DD8B3998CF6B}"/>
    <cellStyle name="Normal 2 4 5 3 6 6" xfId="27479" xr:uid="{2B890139-6144-4A91-9E93-560539A9BF79}"/>
    <cellStyle name="Normal 2 4 5 3 7" xfId="2482" xr:uid="{00000000-0005-0000-0000-0000AB100000}"/>
    <cellStyle name="Normal 2 4 5 3 7 2" xfId="6765" xr:uid="{00000000-0005-0000-0000-0000AC100000}"/>
    <cellStyle name="Normal 2 4 5 3 7 2 2" xfId="15215" xr:uid="{EBFE7132-8D68-41AF-B640-E3B81648F9EC}"/>
    <cellStyle name="Normal 2 4 5 3 7 2 3" xfId="23662" xr:uid="{E1F36B13-122B-4D23-BA62-4CB39ECE732B}"/>
    <cellStyle name="Normal 2 4 5 3 7 2 4" xfId="32109" xr:uid="{B2658C9A-794F-4183-8492-A546B9E31927}"/>
    <cellStyle name="Normal 2 4 5 3 7 3" xfId="10997" xr:uid="{2FD97B0D-BD81-4CA6-A90E-2578990AA238}"/>
    <cellStyle name="Normal 2 4 5 3 7 4" xfId="19445" xr:uid="{530A56E9-FF0A-4B87-9F3A-AD16C40B8B49}"/>
    <cellStyle name="Normal 2 4 5 3 7 5" xfId="27892" xr:uid="{963C33B8-6553-4DF8-9A78-0A1650374A03}"/>
    <cellStyle name="Normal 2 4 5 3 8" xfId="4699" xr:uid="{00000000-0005-0000-0000-0000AD100000}"/>
    <cellStyle name="Normal 2 4 5 3 8 2" xfId="13149" xr:uid="{F49EC577-A914-4A63-9C8E-F2D0C8675D3B}"/>
    <cellStyle name="Normal 2 4 5 3 8 3" xfId="21596" xr:uid="{33D2C29A-48E6-4035-8FB3-500F2A6A130A}"/>
    <cellStyle name="Normal 2 4 5 3 8 4" xfId="30043" xr:uid="{B17F6504-584B-49A0-8B9D-57C7550DB500}"/>
    <cellStyle name="Normal 2 4 5 3 9" xfId="8931" xr:uid="{C243BDF4-0A18-48A7-A827-9CE098A21E32}"/>
    <cellStyle name="Normal 2 4 5 4" xfId="310" xr:uid="{00000000-0005-0000-0000-0000AE100000}"/>
    <cellStyle name="Normal 2 4 5 4 10" xfId="25828" xr:uid="{ADEA2B17-9A30-4209-9456-9A6FCEBB622E}"/>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0517F889-E8B9-4A46-A53D-A3B20EF1A03B}"/>
    <cellStyle name="Normal 2 4 5 4 2 2 2 3" xfId="24157" xr:uid="{3AE73039-40A8-4EE5-A85B-A50C625B3686}"/>
    <cellStyle name="Normal 2 4 5 4 2 2 2 4" xfId="32604" xr:uid="{86FF4E37-643E-4ED2-93BD-FF61D41D3A8B}"/>
    <cellStyle name="Normal 2 4 5 4 2 2 3" xfId="11492" xr:uid="{7FEDEAB5-9403-4F63-BA52-87F41EAA0AD2}"/>
    <cellStyle name="Normal 2 4 5 4 2 2 4" xfId="19940" xr:uid="{5CDEB4D8-BB72-4B52-9A4B-49EB41B88AA3}"/>
    <cellStyle name="Normal 2 4 5 4 2 2 5" xfId="28387" xr:uid="{84627551-EB0E-4205-B4CF-CDD3B89951D6}"/>
    <cellStyle name="Normal 2 4 5 4 2 3" xfId="5115" xr:uid="{00000000-0005-0000-0000-0000B2100000}"/>
    <cellStyle name="Normal 2 4 5 4 2 3 2" xfId="13565" xr:uid="{FA18185D-C230-4392-86E0-B3815CFEDB50}"/>
    <cellStyle name="Normal 2 4 5 4 2 3 3" xfId="22012" xr:uid="{3DC93A67-1D9B-4B9A-A7AF-AFD92AA93B5B}"/>
    <cellStyle name="Normal 2 4 5 4 2 3 4" xfId="30459" xr:uid="{FBF56EF7-D137-4E4C-8EED-3DB7CFBCC8D2}"/>
    <cellStyle name="Normal 2 4 5 4 2 4" xfId="9347" xr:uid="{D3BDDE28-2998-4485-B991-DBBAD6C5EC9F}"/>
    <cellStyle name="Normal 2 4 5 4 2 5" xfId="17795" xr:uid="{B18A95B7-2BFC-4429-95C9-F732890A9633}"/>
    <cellStyle name="Normal 2 4 5 4 2 6" xfId="26242" xr:uid="{9C489CA9-54B9-475D-AA8E-3D735CCEF58B}"/>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9C4EB9CD-A7FD-4710-B377-A53E70CDFC8E}"/>
    <cellStyle name="Normal 2 4 5 4 3 2 2 3" xfId="24570" xr:uid="{E78D2265-E10C-472A-9489-66190529B20A}"/>
    <cellStyle name="Normal 2 4 5 4 3 2 2 4" xfId="33017" xr:uid="{3B74B7E8-8544-4738-B901-5F6496404E0F}"/>
    <cellStyle name="Normal 2 4 5 4 3 2 3" xfId="11905" xr:uid="{9FB4DB35-A044-46D4-95D3-1C1C21A82747}"/>
    <cellStyle name="Normal 2 4 5 4 3 2 4" xfId="20353" xr:uid="{2A0020F6-FED7-4C19-9CA9-49F769ED8856}"/>
    <cellStyle name="Normal 2 4 5 4 3 2 5" xfId="28800" xr:uid="{14E375DE-5880-4DBF-AA18-0BCE6F354E38}"/>
    <cellStyle name="Normal 2 4 5 4 3 3" xfId="5528" xr:uid="{00000000-0005-0000-0000-0000B6100000}"/>
    <cellStyle name="Normal 2 4 5 4 3 3 2" xfId="13978" xr:uid="{0860CB31-59FC-4668-8663-C185E6BE238D}"/>
    <cellStyle name="Normal 2 4 5 4 3 3 3" xfId="22425" xr:uid="{26BD191B-D333-4CB6-9149-EFB922B6C2CA}"/>
    <cellStyle name="Normal 2 4 5 4 3 3 4" xfId="30872" xr:uid="{47E324C2-878A-4D2C-A501-7B51917D454C}"/>
    <cellStyle name="Normal 2 4 5 4 3 4" xfId="9760" xr:uid="{8B20ED25-78FA-4F83-9F19-542E049A67A1}"/>
    <cellStyle name="Normal 2 4 5 4 3 5" xfId="18208" xr:uid="{AB4A0074-FD99-4FC9-B2BA-8A004B838040}"/>
    <cellStyle name="Normal 2 4 5 4 3 6" xfId="26655" xr:uid="{D3BC5750-A619-429A-9554-C51811D0612B}"/>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52B721EE-91B0-4C53-840A-C0C98BB183CE}"/>
    <cellStyle name="Normal 2 4 5 4 4 2 2 3" xfId="24983" xr:uid="{C5C533EE-03BC-42D6-8480-7DC6A23B0C8B}"/>
    <cellStyle name="Normal 2 4 5 4 4 2 2 4" xfId="33430" xr:uid="{5C36722B-DCF0-4EBB-8A86-B2C0BC1D7049}"/>
    <cellStyle name="Normal 2 4 5 4 4 2 3" xfId="12318" xr:uid="{EFDCDC8E-0C97-4EAB-9280-BF41BCB00154}"/>
    <cellStyle name="Normal 2 4 5 4 4 2 4" xfId="20766" xr:uid="{58DC5FAD-68F1-4A88-9C72-B1F8A26451C6}"/>
    <cellStyle name="Normal 2 4 5 4 4 2 5" xfId="29213" xr:uid="{D3190AD6-5EB7-4294-930A-4E8F63444F55}"/>
    <cellStyle name="Normal 2 4 5 4 4 3" xfId="5941" xr:uid="{00000000-0005-0000-0000-0000BA100000}"/>
    <cellStyle name="Normal 2 4 5 4 4 3 2" xfId="14391" xr:uid="{BB1A20ED-3151-4A8C-B9FA-9364A8D3B8AD}"/>
    <cellStyle name="Normal 2 4 5 4 4 3 3" xfId="22838" xr:uid="{89EBC0F0-93C4-4A2D-A1EF-6F90A6F425FC}"/>
    <cellStyle name="Normal 2 4 5 4 4 3 4" xfId="31285" xr:uid="{D7ABEAEE-B5E6-437C-865E-A1183D995EB3}"/>
    <cellStyle name="Normal 2 4 5 4 4 4" xfId="10173" xr:uid="{B2204BDA-F3AA-457B-88C8-0B623E279C95}"/>
    <cellStyle name="Normal 2 4 5 4 4 5" xfId="18621" xr:uid="{9A902356-A4F0-4641-8A2F-A3FEE5EA75E4}"/>
    <cellStyle name="Normal 2 4 5 4 4 6" xfId="27068" xr:uid="{B76BB7A3-635B-4374-B267-CCA2710B5B41}"/>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32AA41FC-11D4-419C-BEA1-C916E5E3ACA6}"/>
    <cellStyle name="Normal 2 4 5 4 5 2 2 3" xfId="25396" xr:uid="{6E3ACEF2-2552-4755-A07B-11AF976031FD}"/>
    <cellStyle name="Normal 2 4 5 4 5 2 2 4" xfId="33843" xr:uid="{96E8AAF4-B0E9-4616-9B27-0D60626C76F8}"/>
    <cellStyle name="Normal 2 4 5 4 5 2 3" xfId="12731" xr:uid="{0AE7D6F0-AE96-4F5B-8C3A-1D2E45C4B30B}"/>
    <cellStyle name="Normal 2 4 5 4 5 2 4" xfId="21179" xr:uid="{6A1D5375-E3C4-479F-9AE3-5EFD40B8F8DF}"/>
    <cellStyle name="Normal 2 4 5 4 5 2 5" xfId="29626" xr:uid="{A7AA5E37-BEBB-46BC-9887-83F7183F3AFE}"/>
    <cellStyle name="Normal 2 4 5 4 5 3" xfId="6354" xr:uid="{00000000-0005-0000-0000-0000BE100000}"/>
    <cellStyle name="Normal 2 4 5 4 5 3 2" xfId="14804" xr:uid="{C3726154-1EBA-4433-A4AE-79DF65BAC76C}"/>
    <cellStyle name="Normal 2 4 5 4 5 3 3" xfId="23251" xr:uid="{E36FD839-F44D-4E23-A127-89FBC839BA10}"/>
    <cellStyle name="Normal 2 4 5 4 5 3 4" xfId="31698" xr:uid="{BE80D47B-47B0-46BB-BFBF-7204498C93BA}"/>
    <cellStyle name="Normal 2 4 5 4 5 4" xfId="10586" xr:uid="{5B404524-A4D4-4BFA-AAEE-5759B54B7B68}"/>
    <cellStyle name="Normal 2 4 5 4 5 5" xfId="19034" xr:uid="{7B3C9496-964D-44E6-AD77-F8686B01B92D}"/>
    <cellStyle name="Normal 2 4 5 4 5 6" xfId="27481" xr:uid="{6F8F0634-450E-49F0-939C-09C1FF12D4BA}"/>
    <cellStyle name="Normal 2 4 5 4 6" xfId="2484" xr:uid="{00000000-0005-0000-0000-0000BF100000}"/>
    <cellStyle name="Normal 2 4 5 4 6 2" xfId="6767" xr:uid="{00000000-0005-0000-0000-0000C0100000}"/>
    <cellStyle name="Normal 2 4 5 4 6 2 2" xfId="15217" xr:uid="{6A4358BC-1ED3-43BD-9EBF-D2A6F34C1EEB}"/>
    <cellStyle name="Normal 2 4 5 4 6 2 3" xfId="23664" xr:uid="{8C351E40-3A82-47ED-92BD-F90292249163}"/>
    <cellStyle name="Normal 2 4 5 4 6 2 4" xfId="32111" xr:uid="{2701E96C-AEAB-40F2-B944-18EEFBC89592}"/>
    <cellStyle name="Normal 2 4 5 4 6 3" xfId="10999" xr:uid="{1B28B474-8B56-4C60-A7FD-523A10B912B7}"/>
    <cellStyle name="Normal 2 4 5 4 6 4" xfId="19447" xr:uid="{C6948E2D-633D-4B4D-9A20-4FE06F5EAB84}"/>
    <cellStyle name="Normal 2 4 5 4 6 5" xfId="27894" xr:uid="{D19F2819-10FF-4794-AF9B-873598DBA3D7}"/>
    <cellStyle name="Normal 2 4 5 4 7" xfId="4701" xr:uid="{00000000-0005-0000-0000-0000C1100000}"/>
    <cellStyle name="Normal 2 4 5 4 7 2" xfId="13151" xr:uid="{45159679-605E-455B-82A0-2093B9B88E5C}"/>
    <cellStyle name="Normal 2 4 5 4 7 3" xfId="21598" xr:uid="{3555403E-D983-4DEE-BF06-27D5A2EA3B18}"/>
    <cellStyle name="Normal 2 4 5 4 7 4" xfId="30045" xr:uid="{863C9D9B-D396-41AC-BBC6-9D33103A443B}"/>
    <cellStyle name="Normal 2 4 5 4 8" xfId="8933" xr:uid="{ED378288-D4B1-4506-B5C0-6A875C6DDB73}"/>
    <cellStyle name="Normal 2 4 5 4 9" xfId="17381" xr:uid="{D7C4A845-E804-470C-905D-62410EABB32B}"/>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D5C3EE2E-13B3-4368-A508-1B11765B6977}"/>
    <cellStyle name="Normal 2 4 5 5 2 2 3" xfId="24150" xr:uid="{18176D50-FFFA-4823-9A92-389F4825DFF2}"/>
    <cellStyle name="Normal 2 4 5 5 2 2 4" xfId="32597" xr:uid="{2D445A31-94FE-4868-AC74-7D423B89E90E}"/>
    <cellStyle name="Normal 2 4 5 5 2 3" xfId="11485" xr:uid="{918FB4C4-2213-4B73-9AFC-4F68BB159EA0}"/>
    <cellStyle name="Normal 2 4 5 5 2 4" xfId="19933" xr:uid="{2F4F2CC2-8499-45AA-8F06-62E951A78609}"/>
    <cellStyle name="Normal 2 4 5 5 2 5" xfId="28380" xr:uid="{C04BD336-903C-4E38-80A1-3C0CE14C9BCC}"/>
    <cellStyle name="Normal 2 4 5 5 3" xfId="5108" xr:uid="{00000000-0005-0000-0000-0000C5100000}"/>
    <cellStyle name="Normal 2 4 5 5 3 2" xfId="13558" xr:uid="{2886D2F3-29C3-4179-A6BD-DF3BB6EB8E98}"/>
    <cellStyle name="Normal 2 4 5 5 3 3" xfId="22005" xr:uid="{DF60F28A-3942-4230-9547-D6E1082DF40A}"/>
    <cellStyle name="Normal 2 4 5 5 3 4" xfId="30452" xr:uid="{443E66BC-F932-4247-93A3-7F706DFD7432}"/>
    <cellStyle name="Normal 2 4 5 5 4" xfId="9340" xr:uid="{FCD6F1FF-802A-42F8-9488-6FD43870EE1A}"/>
    <cellStyle name="Normal 2 4 5 5 5" xfId="17788" xr:uid="{C4E8B0DA-5BDD-4FBC-A369-ED230567C443}"/>
    <cellStyle name="Normal 2 4 5 5 6" xfId="26235" xr:uid="{23D0FD93-80BB-4388-9B27-743218A0C8FA}"/>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62526857-3D59-4C33-8C14-7B941AA0B36B}"/>
    <cellStyle name="Normal 2 4 5 6 2 2 3" xfId="24563" xr:uid="{81C29E7A-0656-46BD-A0E3-D2F67BEA702E}"/>
    <cellStyle name="Normal 2 4 5 6 2 2 4" xfId="33010" xr:uid="{C325749E-264C-4BDB-9A4C-8333526E70F2}"/>
    <cellStyle name="Normal 2 4 5 6 2 3" xfId="11898" xr:uid="{68594C16-5846-43BC-8BBA-81ECB892591A}"/>
    <cellStyle name="Normal 2 4 5 6 2 4" xfId="20346" xr:uid="{CF55B9C5-95EE-4E17-910D-7557856D6C59}"/>
    <cellStyle name="Normal 2 4 5 6 2 5" xfId="28793" xr:uid="{0B422409-599D-44ED-B66C-F9435BAFE626}"/>
    <cellStyle name="Normal 2 4 5 6 3" xfId="5521" xr:uid="{00000000-0005-0000-0000-0000C9100000}"/>
    <cellStyle name="Normal 2 4 5 6 3 2" xfId="13971" xr:uid="{94A9757D-523E-4444-B005-0FD18CA0BC24}"/>
    <cellStyle name="Normal 2 4 5 6 3 3" xfId="22418" xr:uid="{AC39275F-3DCF-4970-90D7-88A0634A9C74}"/>
    <cellStyle name="Normal 2 4 5 6 3 4" xfId="30865" xr:uid="{469908F4-C1BE-4A60-A3E6-7C1DE1245B9D}"/>
    <cellStyle name="Normal 2 4 5 6 4" xfId="9753" xr:uid="{AF7194C4-70D8-4A0F-8EE1-8E6263CED8D8}"/>
    <cellStyle name="Normal 2 4 5 6 5" xfId="18201" xr:uid="{548FC562-1074-4321-B536-526DDBDB0B5F}"/>
    <cellStyle name="Normal 2 4 5 6 6" xfId="26648" xr:uid="{513E5F07-D012-4470-AD06-BCDC8A15DB46}"/>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771CF47E-6E8C-4E8B-AEDB-13407F5BDF95}"/>
    <cellStyle name="Normal 2 4 5 7 2 2 3" xfId="24976" xr:uid="{DEA12C86-6338-40C8-A36C-A826CC27CBAD}"/>
    <cellStyle name="Normal 2 4 5 7 2 2 4" xfId="33423" xr:uid="{75395D88-EF57-4706-92D1-BD8A08689F35}"/>
    <cellStyle name="Normal 2 4 5 7 2 3" xfId="12311" xr:uid="{91E9FC51-76EE-4098-AD9F-AF00A5B88B6C}"/>
    <cellStyle name="Normal 2 4 5 7 2 4" xfId="20759" xr:uid="{274B9FD6-8F0B-4A64-901A-01A95D47C2BB}"/>
    <cellStyle name="Normal 2 4 5 7 2 5" xfId="29206" xr:uid="{455BE1EA-6FE4-4213-8BFE-30D4F39AE675}"/>
    <cellStyle name="Normal 2 4 5 7 3" xfId="5934" xr:uid="{00000000-0005-0000-0000-0000CD100000}"/>
    <cellStyle name="Normal 2 4 5 7 3 2" xfId="14384" xr:uid="{3DE5A625-0302-40C4-9243-F6F08B5AD2CA}"/>
    <cellStyle name="Normal 2 4 5 7 3 3" xfId="22831" xr:uid="{FC3EE395-9ABA-4405-81F5-E0DF6706B567}"/>
    <cellStyle name="Normal 2 4 5 7 3 4" xfId="31278" xr:uid="{FB927BD1-52A1-4C44-B851-8805633A368A}"/>
    <cellStyle name="Normal 2 4 5 7 4" xfId="10166" xr:uid="{41FC2C4C-9A21-42E1-B96E-A32AD5F29512}"/>
    <cellStyle name="Normal 2 4 5 7 5" xfId="18614" xr:uid="{077230B1-C78E-4661-BAFF-A00883D0BC40}"/>
    <cellStyle name="Normal 2 4 5 7 6" xfId="27061" xr:uid="{8DA4D0E8-011C-422C-9556-8A604E94F8A0}"/>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21D242F4-D9DC-434F-883D-F503BFBF99F6}"/>
    <cellStyle name="Normal 2 4 5 8 2 2 3" xfId="25389" xr:uid="{61BCE348-A6B3-42FC-8860-70E46B211464}"/>
    <cellStyle name="Normal 2 4 5 8 2 2 4" xfId="33836" xr:uid="{F7525284-92FD-4CC0-B95E-477A1D332740}"/>
    <cellStyle name="Normal 2 4 5 8 2 3" xfId="12724" xr:uid="{48323173-9CB3-48AC-8F15-98DCB5910A40}"/>
    <cellStyle name="Normal 2 4 5 8 2 4" xfId="21172" xr:uid="{76644345-4820-4499-A7FD-0CAB31F7BEB1}"/>
    <cellStyle name="Normal 2 4 5 8 2 5" xfId="29619" xr:uid="{EC28EC28-8685-431D-AB37-A570231A7E94}"/>
    <cellStyle name="Normal 2 4 5 8 3" xfId="6347" xr:uid="{00000000-0005-0000-0000-0000D1100000}"/>
    <cellStyle name="Normal 2 4 5 8 3 2" xfId="14797" xr:uid="{9D5F7F66-7DE4-4A3B-833E-4B902AFDCA1D}"/>
    <cellStyle name="Normal 2 4 5 8 3 3" xfId="23244" xr:uid="{D354160F-225B-4DE3-8E84-9BF83BE3B281}"/>
    <cellStyle name="Normal 2 4 5 8 3 4" xfId="31691" xr:uid="{5752F51E-BDDB-4EB5-BFC7-08F34872ED35}"/>
    <cellStyle name="Normal 2 4 5 8 4" xfId="10579" xr:uid="{3FD9862C-2144-4D69-B4AA-E3255CB9C506}"/>
    <cellStyle name="Normal 2 4 5 8 5" xfId="19027" xr:uid="{0CC7D31C-FB38-41C8-BB1E-4BA06404A1AF}"/>
    <cellStyle name="Normal 2 4 5 8 6" xfId="27474" xr:uid="{02EF2ED2-1D35-4301-BC35-F854C952A3ED}"/>
    <cellStyle name="Normal 2 4 5 9" xfId="2477" xr:uid="{00000000-0005-0000-0000-0000D2100000}"/>
    <cellStyle name="Normal 2 4 5 9 2" xfId="6760" xr:uid="{00000000-0005-0000-0000-0000D3100000}"/>
    <cellStyle name="Normal 2 4 5 9 2 2" xfId="15210" xr:uid="{DA57B2C5-7968-49C4-9DA9-DEA55513F25E}"/>
    <cellStyle name="Normal 2 4 5 9 2 3" xfId="23657" xr:uid="{767AEE84-FCAB-4481-B258-A61BA86A0D07}"/>
    <cellStyle name="Normal 2 4 5 9 2 4" xfId="32104" xr:uid="{EAAC458F-E2F1-455F-97A7-44C699475721}"/>
    <cellStyle name="Normal 2 4 5 9 3" xfId="10992" xr:uid="{56C463F8-E783-4D47-8E73-ADCDBC1FB16E}"/>
    <cellStyle name="Normal 2 4 5 9 4" xfId="19440" xr:uid="{5ACB72EE-7181-4DAC-8F1C-4DDA23023942}"/>
    <cellStyle name="Normal 2 4 5 9 5" xfId="27887" xr:uid="{BE0A67B1-F2CB-4171-AEAF-9589A72F6255}"/>
    <cellStyle name="Normal 2 4 6" xfId="311" xr:uid="{00000000-0005-0000-0000-0000D4100000}"/>
    <cellStyle name="Normal 2 4 7" xfId="312" xr:uid="{00000000-0005-0000-0000-0000D5100000}"/>
    <cellStyle name="Normal 2 4 7 10" xfId="17382" xr:uid="{0F736524-FBDD-4903-A682-28746F487D42}"/>
    <cellStyle name="Normal 2 4 7 11" xfId="25829" xr:uid="{341F87E9-BC7E-4873-BA9D-83D4D6E58750}"/>
    <cellStyle name="Normal 2 4 7 2" xfId="313" xr:uid="{00000000-0005-0000-0000-0000D6100000}"/>
    <cellStyle name="Normal 2 4 7 2 10" xfId="25830" xr:uid="{9E9A5FF1-0725-40BE-BE26-943D5DF7FE5A}"/>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503BCCC7-835B-41FB-AEF1-3870698C3200}"/>
    <cellStyle name="Normal 2 4 7 2 2 2 2 3" xfId="24159" xr:uid="{6E037CCE-7770-4E87-B071-59B4BE80B6D8}"/>
    <cellStyle name="Normal 2 4 7 2 2 2 2 4" xfId="32606" xr:uid="{97C1059A-F16E-4E6F-9CB7-E76DB733C7BF}"/>
    <cellStyle name="Normal 2 4 7 2 2 2 3" xfId="11494" xr:uid="{F5FCE981-2164-4FAD-8DC6-3210539AAAB9}"/>
    <cellStyle name="Normal 2 4 7 2 2 2 4" xfId="19942" xr:uid="{092272B4-54E7-423F-9628-0D717DC8AF4B}"/>
    <cellStyle name="Normal 2 4 7 2 2 2 5" xfId="28389" xr:uid="{9E33D054-B598-4AC2-90B6-C08CD9EB39F0}"/>
    <cellStyle name="Normal 2 4 7 2 2 3" xfId="5117" xr:uid="{00000000-0005-0000-0000-0000DA100000}"/>
    <cellStyle name="Normal 2 4 7 2 2 3 2" xfId="13567" xr:uid="{E8D9108E-8DA5-434A-9035-A36AAF8803B5}"/>
    <cellStyle name="Normal 2 4 7 2 2 3 3" xfId="22014" xr:uid="{C38660E2-36D4-40A9-A8A5-79F9A23F5CA9}"/>
    <cellStyle name="Normal 2 4 7 2 2 3 4" xfId="30461" xr:uid="{1DE1B993-9B91-46B8-AD1F-64B2677E3E90}"/>
    <cellStyle name="Normal 2 4 7 2 2 4" xfId="9349" xr:uid="{E545026A-9393-40ED-ACDA-F842BF08EE15}"/>
    <cellStyle name="Normal 2 4 7 2 2 5" xfId="17797" xr:uid="{5F745D5A-1015-4772-BD96-2C80321DF384}"/>
    <cellStyle name="Normal 2 4 7 2 2 6" xfId="26244" xr:uid="{3E691286-57AF-48B0-81AC-380F6410EEC0}"/>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4A2C1BF2-2CDD-40C6-8CDA-2B983AFBC93C}"/>
    <cellStyle name="Normal 2 4 7 2 3 2 2 3" xfId="24572" xr:uid="{30F784F8-E70C-45E3-B5F9-31BEE5410EDC}"/>
    <cellStyle name="Normal 2 4 7 2 3 2 2 4" xfId="33019" xr:uid="{0A31FB1C-5B0D-4CD9-B318-D1985B0223C3}"/>
    <cellStyle name="Normal 2 4 7 2 3 2 3" xfId="11907" xr:uid="{6DD43697-B067-451C-8514-9E8A4F7A0DA4}"/>
    <cellStyle name="Normal 2 4 7 2 3 2 4" xfId="20355" xr:uid="{F1DA9538-1C7F-44D5-BA39-CBF1E98A3F8B}"/>
    <cellStyle name="Normal 2 4 7 2 3 2 5" xfId="28802" xr:uid="{4FDBD62A-0363-42DA-9202-3B24A78CF028}"/>
    <cellStyle name="Normal 2 4 7 2 3 3" xfId="5530" xr:uid="{00000000-0005-0000-0000-0000DE100000}"/>
    <cellStyle name="Normal 2 4 7 2 3 3 2" xfId="13980" xr:uid="{AEE67ED8-59D7-4A02-884B-251D80AF7E10}"/>
    <cellStyle name="Normal 2 4 7 2 3 3 3" xfId="22427" xr:uid="{D35ACA36-FDEF-454D-8080-35C8B21442CB}"/>
    <cellStyle name="Normal 2 4 7 2 3 3 4" xfId="30874" xr:uid="{D386DFF4-CD0A-4B3A-AA2D-AA031AE8F5C1}"/>
    <cellStyle name="Normal 2 4 7 2 3 4" xfId="9762" xr:uid="{4F66E45E-EA22-4948-B8E7-D5EEAED257E9}"/>
    <cellStyle name="Normal 2 4 7 2 3 5" xfId="18210" xr:uid="{5CAAC13D-CDB8-4FBE-B431-0FCBA332A910}"/>
    <cellStyle name="Normal 2 4 7 2 3 6" xfId="26657" xr:uid="{29DFAC95-BA84-4B20-8ED0-BAD9C406243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B1E0B813-E7F1-429D-9CF6-0682A2CE73A6}"/>
    <cellStyle name="Normal 2 4 7 2 4 2 2 3" xfId="24985" xr:uid="{F77E12E7-0648-4C39-B699-C1E0758D7FFF}"/>
    <cellStyle name="Normal 2 4 7 2 4 2 2 4" xfId="33432" xr:uid="{099307B1-9DF1-4D49-B633-777358652BF4}"/>
    <cellStyle name="Normal 2 4 7 2 4 2 3" xfId="12320" xr:uid="{FAA81E9F-3F65-4A49-8A85-A36B9A73DE7F}"/>
    <cellStyle name="Normal 2 4 7 2 4 2 4" xfId="20768" xr:uid="{D7C7EBF5-BF91-41B7-857B-40F98C0303BC}"/>
    <cellStyle name="Normal 2 4 7 2 4 2 5" xfId="29215" xr:uid="{8154909C-5F0B-4E48-AEBD-0E15174D8683}"/>
    <cellStyle name="Normal 2 4 7 2 4 3" xfId="5943" xr:uid="{00000000-0005-0000-0000-0000E2100000}"/>
    <cellStyle name="Normal 2 4 7 2 4 3 2" xfId="14393" xr:uid="{2104FC49-72D4-4D24-8151-4FD577FC1702}"/>
    <cellStyle name="Normal 2 4 7 2 4 3 3" xfId="22840" xr:uid="{85373B45-4F0B-4D52-A145-85032F1A48BB}"/>
    <cellStyle name="Normal 2 4 7 2 4 3 4" xfId="31287" xr:uid="{EDF8F197-3AC4-4198-8D19-4C63B3222F5E}"/>
    <cellStyle name="Normal 2 4 7 2 4 4" xfId="10175" xr:uid="{52EEF29B-F84D-4893-AF04-7E996C56D233}"/>
    <cellStyle name="Normal 2 4 7 2 4 5" xfId="18623" xr:uid="{39F2889A-4A2F-4F24-851F-238A8DDBF706}"/>
    <cellStyle name="Normal 2 4 7 2 4 6" xfId="27070" xr:uid="{78378A1C-6730-4D40-BACA-2C7D2759D4B3}"/>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A69ECCFC-EDDC-4800-B5A1-912AEF5CF322}"/>
    <cellStyle name="Normal 2 4 7 2 5 2 2 3" xfId="25398" xr:uid="{543993DA-17E6-4264-8E2E-568B77C8B1AB}"/>
    <cellStyle name="Normal 2 4 7 2 5 2 2 4" xfId="33845" xr:uid="{E236166C-8212-4757-9F01-200801B0BDA4}"/>
    <cellStyle name="Normal 2 4 7 2 5 2 3" xfId="12733" xr:uid="{95ADE49E-527E-492D-A5F8-6B6658F4A33E}"/>
    <cellStyle name="Normal 2 4 7 2 5 2 4" xfId="21181" xr:uid="{C799445B-3D4E-49F0-B11C-02E412EABA78}"/>
    <cellStyle name="Normal 2 4 7 2 5 2 5" xfId="29628" xr:uid="{AC7B8288-9997-4C83-AAF0-088D1A677EA6}"/>
    <cellStyle name="Normal 2 4 7 2 5 3" xfId="6356" xr:uid="{00000000-0005-0000-0000-0000E6100000}"/>
    <cellStyle name="Normal 2 4 7 2 5 3 2" xfId="14806" xr:uid="{129A0345-F52D-40E5-A058-3677459B0DB9}"/>
    <cellStyle name="Normal 2 4 7 2 5 3 3" xfId="23253" xr:uid="{20E6E7CE-8206-4424-922A-69C3020FE5EE}"/>
    <cellStyle name="Normal 2 4 7 2 5 3 4" xfId="31700" xr:uid="{EDD94371-0B27-4616-AF02-410CF30C3EDD}"/>
    <cellStyle name="Normal 2 4 7 2 5 4" xfId="10588" xr:uid="{A65065A4-37B4-460A-83A4-CBB664F3E36A}"/>
    <cellStyle name="Normal 2 4 7 2 5 5" xfId="19036" xr:uid="{F5197795-48CB-44E9-B205-0AD632444301}"/>
    <cellStyle name="Normal 2 4 7 2 5 6" xfId="27483" xr:uid="{A82DB4BB-736E-435D-9F2F-F344F63DF966}"/>
    <cellStyle name="Normal 2 4 7 2 6" xfId="2486" xr:uid="{00000000-0005-0000-0000-0000E7100000}"/>
    <cellStyle name="Normal 2 4 7 2 6 2" xfId="6769" xr:uid="{00000000-0005-0000-0000-0000E8100000}"/>
    <cellStyle name="Normal 2 4 7 2 6 2 2" xfId="15219" xr:uid="{DB13FD5B-9CAC-4778-A72F-6E8D2B86C497}"/>
    <cellStyle name="Normal 2 4 7 2 6 2 3" xfId="23666" xr:uid="{1968D9B4-BE78-4BF1-8477-310FAEBAB576}"/>
    <cellStyle name="Normal 2 4 7 2 6 2 4" xfId="32113" xr:uid="{056238AE-746B-4137-BFEC-E7A0988E3C07}"/>
    <cellStyle name="Normal 2 4 7 2 6 3" xfId="11001" xr:uid="{11475886-E77A-4D36-B009-825172A1840E}"/>
    <cellStyle name="Normal 2 4 7 2 6 4" xfId="19449" xr:uid="{5E7F42A6-F27D-4E76-BAA8-34D0824C6210}"/>
    <cellStyle name="Normal 2 4 7 2 6 5" xfId="27896" xr:uid="{33233709-889D-48B1-A2C2-BA00F491625A}"/>
    <cellStyle name="Normal 2 4 7 2 7" xfId="4703" xr:uid="{00000000-0005-0000-0000-0000E9100000}"/>
    <cellStyle name="Normal 2 4 7 2 7 2" xfId="13153" xr:uid="{A74FC693-9B4B-48C9-83AF-040DAA77B9CE}"/>
    <cellStyle name="Normal 2 4 7 2 7 3" xfId="21600" xr:uid="{A1E9DCE1-C4BB-4502-A100-BA95F1006FE2}"/>
    <cellStyle name="Normal 2 4 7 2 7 4" xfId="30047" xr:uid="{E0D0381C-A864-40FF-A0D6-A58958FDAD23}"/>
    <cellStyle name="Normal 2 4 7 2 8" xfId="8935" xr:uid="{DBA2DF09-EDAC-438D-9B68-5488F74954FC}"/>
    <cellStyle name="Normal 2 4 7 2 9" xfId="17383" xr:uid="{96E45F12-C00F-442D-A98E-4230DC8CDCB9}"/>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949C72C9-47C8-4BEB-842B-D026C5A68D8D}"/>
    <cellStyle name="Normal 2 4 7 3 2 2 3" xfId="24158" xr:uid="{086B5E38-B3C8-4470-8504-037950F847AB}"/>
    <cellStyle name="Normal 2 4 7 3 2 2 4" xfId="32605" xr:uid="{FA3905A3-2B2A-455C-B7CB-F4A96FC6EA20}"/>
    <cellStyle name="Normal 2 4 7 3 2 3" xfId="11493" xr:uid="{D05F6EF5-DB29-483D-919E-BDB2381AD6FE}"/>
    <cellStyle name="Normal 2 4 7 3 2 4" xfId="19941" xr:uid="{FF5F7C9D-BF43-400E-84D9-E94FED09AFEA}"/>
    <cellStyle name="Normal 2 4 7 3 2 5" xfId="28388" xr:uid="{82A1D285-04B4-4EC5-891E-56433A030C90}"/>
    <cellStyle name="Normal 2 4 7 3 3" xfId="5116" xr:uid="{00000000-0005-0000-0000-0000ED100000}"/>
    <cellStyle name="Normal 2 4 7 3 3 2" xfId="13566" xr:uid="{5478DA27-AF1C-4728-A1FA-6DFCE85D04AC}"/>
    <cellStyle name="Normal 2 4 7 3 3 3" xfId="22013" xr:uid="{A3A86A0D-CBBB-4895-AB30-0F960C950BC5}"/>
    <cellStyle name="Normal 2 4 7 3 3 4" xfId="30460" xr:uid="{A4E01183-696B-49C3-9D4B-43F5924412BA}"/>
    <cellStyle name="Normal 2 4 7 3 4" xfId="9348" xr:uid="{1DC4E38A-712D-4E81-BF7F-DC710202A1BF}"/>
    <cellStyle name="Normal 2 4 7 3 5" xfId="17796" xr:uid="{C7AC6660-4879-482F-9EDD-4919C9BB17F9}"/>
    <cellStyle name="Normal 2 4 7 3 6" xfId="26243" xr:uid="{3F6386B1-CAEA-40C7-97AD-B22B7D2A090A}"/>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14F0DC95-F398-4CDF-98C4-86CF212767EB}"/>
    <cellStyle name="Normal 2 4 7 4 2 2 3" xfId="24571" xr:uid="{4CB87648-21CF-47BC-9323-B7E691546968}"/>
    <cellStyle name="Normal 2 4 7 4 2 2 4" xfId="33018" xr:uid="{69647E73-9687-4A6C-9D7A-12132AC4B3A7}"/>
    <cellStyle name="Normal 2 4 7 4 2 3" xfId="11906" xr:uid="{1BF72D1D-27C1-4E5C-908A-CF29ABFC45F4}"/>
    <cellStyle name="Normal 2 4 7 4 2 4" xfId="20354" xr:uid="{76054F22-7747-4BAC-8CF5-68E7AD558A52}"/>
    <cellStyle name="Normal 2 4 7 4 2 5" xfId="28801" xr:uid="{58EDFA86-C385-42C0-BCC3-4B76A62EF820}"/>
    <cellStyle name="Normal 2 4 7 4 3" xfId="5529" xr:uid="{00000000-0005-0000-0000-0000F1100000}"/>
    <cellStyle name="Normal 2 4 7 4 3 2" xfId="13979" xr:uid="{B89F61AD-748C-4607-A388-3E1FA130607F}"/>
    <cellStyle name="Normal 2 4 7 4 3 3" xfId="22426" xr:uid="{57465A26-13FD-4E29-8344-A6ECEDD7A793}"/>
    <cellStyle name="Normal 2 4 7 4 3 4" xfId="30873" xr:uid="{6D92E163-60CB-4A60-9AAE-6EFD8063CE83}"/>
    <cellStyle name="Normal 2 4 7 4 4" xfId="9761" xr:uid="{CD92D278-1A66-490B-9323-CF123C8D2913}"/>
    <cellStyle name="Normal 2 4 7 4 5" xfId="18209" xr:uid="{B7E7E8BD-3CEB-4412-90ED-E70F2D9753DF}"/>
    <cellStyle name="Normal 2 4 7 4 6" xfId="26656" xr:uid="{376825DE-2A15-4961-AD9E-965F573C32D5}"/>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A3DDDC78-DEA0-47AF-B23F-AE836EF35597}"/>
    <cellStyle name="Normal 2 4 7 5 2 2 3" xfId="24984" xr:uid="{32EC1E7D-FFF9-4330-8BDF-94239A92EACB}"/>
    <cellStyle name="Normal 2 4 7 5 2 2 4" xfId="33431" xr:uid="{02E38EDF-5E60-4C7E-9DFD-24A0959BABC5}"/>
    <cellStyle name="Normal 2 4 7 5 2 3" xfId="12319" xr:uid="{FE257F80-3CDA-4AAB-BBC6-A8CFA6A452B8}"/>
    <cellStyle name="Normal 2 4 7 5 2 4" xfId="20767" xr:uid="{C739C65E-0DD1-4C5D-A811-47AEAA8DA196}"/>
    <cellStyle name="Normal 2 4 7 5 2 5" xfId="29214" xr:uid="{B35A9CDD-311D-4CDA-A91C-AEB0928816C2}"/>
    <cellStyle name="Normal 2 4 7 5 3" xfId="5942" xr:uid="{00000000-0005-0000-0000-0000F5100000}"/>
    <cellStyle name="Normal 2 4 7 5 3 2" xfId="14392" xr:uid="{C4149F17-67B0-4335-A100-851C63DF413B}"/>
    <cellStyle name="Normal 2 4 7 5 3 3" xfId="22839" xr:uid="{7374E54D-CF22-4A7A-9C7D-8D61B161C94D}"/>
    <cellStyle name="Normal 2 4 7 5 3 4" xfId="31286" xr:uid="{2FE2958C-A312-4655-9B17-E491656233DC}"/>
    <cellStyle name="Normal 2 4 7 5 4" xfId="10174" xr:uid="{A929FF0C-B2BC-47AF-B43A-ED5FCE102A91}"/>
    <cellStyle name="Normal 2 4 7 5 5" xfId="18622" xr:uid="{86699074-3FB7-4926-95FD-77A315D4B9D0}"/>
    <cellStyle name="Normal 2 4 7 5 6" xfId="27069" xr:uid="{941EB23F-DFC5-4011-89D1-84B8029A590F}"/>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6847D71C-F847-414D-A0CA-9A195F4DE709}"/>
    <cellStyle name="Normal 2 4 7 6 2 2 3" xfId="25397" xr:uid="{F4EF02D3-DF10-43CF-80E9-17AB8783E636}"/>
    <cellStyle name="Normal 2 4 7 6 2 2 4" xfId="33844" xr:uid="{C2891C5A-25E5-4D32-9F7A-7311A528915B}"/>
    <cellStyle name="Normal 2 4 7 6 2 3" xfId="12732" xr:uid="{1736434A-DBAD-4047-89A3-26F1253983A2}"/>
    <cellStyle name="Normal 2 4 7 6 2 4" xfId="21180" xr:uid="{43B3845D-E0EA-49D0-8ACB-DECFDA7DD2FF}"/>
    <cellStyle name="Normal 2 4 7 6 2 5" xfId="29627" xr:uid="{0A50A2FE-B631-475D-8F7F-18EF586D546D}"/>
    <cellStyle name="Normal 2 4 7 6 3" xfId="6355" xr:uid="{00000000-0005-0000-0000-0000F9100000}"/>
    <cellStyle name="Normal 2 4 7 6 3 2" xfId="14805" xr:uid="{FCE31D6E-5F70-4052-95B1-4E649A12B605}"/>
    <cellStyle name="Normal 2 4 7 6 3 3" xfId="23252" xr:uid="{5CD1A95D-B51D-4F98-8E18-B9D0FC496C8E}"/>
    <cellStyle name="Normal 2 4 7 6 3 4" xfId="31699" xr:uid="{75212648-14D9-443E-8C29-AE4E65500CF5}"/>
    <cellStyle name="Normal 2 4 7 6 4" xfId="10587" xr:uid="{60A66492-C482-434C-87D1-180016A4A125}"/>
    <cellStyle name="Normal 2 4 7 6 5" xfId="19035" xr:uid="{28EC0DBA-67DD-4C2B-A2CC-46ED75A6A3C0}"/>
    <cellStyle name="Normal 2 4 7 6 6" xfId="27482" xr:uid="{BB4231DA-AC49-4609-9382-6AF69134C247}"/>
    <cellStyle name="Normal 2 4 7 7" xfId="2485" xr:uid="{00000000-0005-0000-0000-0000FA100000}"/>
    <cellStyle name="Normal 2 4 7 7 2" xfId="6768" xr:uid="{00000000-0005-0000-0000-0000FB100000}"/>
    <cellStyle name="Normal 2 4 7 7 2 2" xfId="15218" xr:uid="{04B4C7AB-158A-4CE4-96F4-A95D817DC007}"/>
    <cellStyle name="Normal 2 4 7 7 2 3" xfId="23665" xr:uid="{FFDAD0A5-FA13-4583-A0E2-6FEC15BC2ADA}"/>
    <cellStyle name="Normal 2 4 7 7 2 4" xfId="32112" xr:uid="{8B3024F8-49D4-449E-A727-7ADECE0E6AB7}"/>
    <cellStyle name="Normal 2 4 7 7 3" xfId="11000" xr:uid="{842F2279-B9E7-4819-B861-5A7D72B9ED7B}"/>
    <cellStyle name="Normal 2 4 7 7 4" xfId="19448" xr:uid="{38455AD6-ED67-4311-9CDC-C8783D2A2F06}"/>
    <cellStyle name="Normal 2 4 7 7 5" xfId="27895" xr:uid="{E6545BEA-F353-4A1E-82F1-0A54221623F1}"/>
    <cellStyle name="Normal 2 4 7 8" xfId="4702" xr:uid="{00000000-0005-0000-0000-0000FC100000}"/>
    <cellStyle name="Normal 2 4 7 8 2" xfId="13152" xr:uid="{794BE48E-5290-4FC5-8B28-73A1AAE1978A}"/>
    <cellStyle name="Normal 2 4 7 8 3" xfId="21599" xr:uid="{EF3C8BB8-F020-4854-8334-E71B54AEB1DF}"/>
    <cellStyle name="Normal 2 4 7 8 4" xfId="30046" xr:uid="{F8623D99-3CCA-4829-A305-C5EDE63EE7B4}"/>
    <cellStyle name="Normal 2 4 7 9" xfId="8934" xr:uid="{B5E53E7D-2754-4AFF-9A6F-91F4D3451E81}"/>
    <cellStyle name="Normal 2 4 8" xfId="314" xr:uid="{00000000-0005-0000-0000-0000FD100000}"/>
    <cellStyle name="Normal 2 4 8 10" xfId="25831" xr:uid="{5BB7732A-1BAA-48ED-B097-10F5234FE52B}"/>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3E47D74C-E2FF-4B01-B3D2-0F232CCF9FD2}"/>
    <cellStyle name="Normal 2 4 8 2 2 2 3" xfId="24160" xr:uid="{426B99DF-F683-42E1-8D44-9FF664707168}"/>
    <cellStyle name="Normal 2 4 8 2 2 2 4" xfId="32607" xr:uid="{C351C821-C236-42A6-B2B2-5A0F5EDE5481}"/>
    <cellStyle name="Normal 2 4 8 2 2 3" xfId="11495" xr:uid="{825C5137-DC9F-4A48-8B49-CAEB2FEABFEE}"/>
    <cellStyle name="Normal 2 4 8 2 2 4" xfId="19943" xr:uid="{B70730F7-61DB-4C6F-94C9-51828931B9B0}"/>
    <cellStyle name="Normal 2 4 8 2 2 5" xfId="28390" xr:uid="{054F6D38-7BAA-4882-8B26-7C91B1FAE118}"/>
    <cellStyle name="Normal 2 4 8 2 3" xfId="5118" xr:uid="{00000000-0005-0000-0000-000001110000}"/>
    <cellStyle name="Normal 2 4 8 2 3 2" xfId="13568" xr:uid="{D38A9F26-79C9-4F9B-B0BD-46E8C0882477}"/>
    <cellStyle name="Normal 2 4 8 2 3 3" xfId="22015" xr:uid="{13B7239B-D06B-4801-A85B-415B8112357C}"/>
    <cellStyle name="Normal 2 4 8 2 3 4" xfId="30462" xr:uid="{6C2E6F9E-D856-4C3D-A1CF-96C83B3D5AF6}"/>
    <cellStyle name="Normal 2 4 8 2 4" xfId="9350" xr:uid="{83A67CC8-A290-4C16-A267-DAB484A4ABE7}"/>
    <cellStyle name="Normal 2 4 8 2 5" xfId="17798" xr:uid="{F5F7F81B-65EB-4384-ADFD-5B64347F34DE}"/>
    <cellStyle name="Normal 2 4 8 2 6" xfId="26245" xr:uid="{A7054A7D-C227-4610-84E5-85BF602F61AE}"/>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1FCCEE86-40A6-4D21-97F0-67FBB73B4EEC}"/>
    <cellStyle name="Normal 2 4 8 3 2 2 3" xfId="24573" xr:uid="{4AB3BA5A-4E92-4EB9-B3EF-CD6937B59D26}"/>
    <cellStyle name="Normal 2 4 8 3 2 2 4" xfId="33020" xr:uid="{68739112-04A7-4685-B629-782F7DA8EB15}"/>
    <cellStyle name="Normal 2 4 8 3 2 3" xfId="11908" xr:uid="{2602127E-CE30-4CFB-BC13-9525279333B7}"/>
    <cellStyle name="Normal 2 4 8 3 2 4" xfId="20356" xr:uid="{C6DBD065-3F04-479B-8612-AB7BE9417B9D}"/>
    <cellStyle name="Normal 2 4 8 3 2 5" xfId="28803" xr:uid="{A0BEF0D6-1F91-4E5E-825A-80793045963C}"/>
    <cellStyle name="Normal 2 4 8 3 3" xfId="5531" xr:uid="{00000000-0005-0000-0000-000005110000}"/>
    <cellStyle name="Normal 2 4 8 3 3 2" xfId="13981" xr:uid="{E1E44B48-2FDC-498C-9EEA-00A0389D326C}"/>
    <cellStyle name="Normal 2 4 8 3 3 3" xfId="22428" xr:uid="{2C212E96-CEAD-4C68-8F96-ADAD1440EEF5}"/>
    <cellStyle name="Normal 2 4 8 3 3 4" xfId="30875" xr:uid="{7A87D350-A225-4F09-88FF-07592CBF2150}"/>
    <cellStyle name="Normal 2 4 8 3 4" xfId="9763" xr:uid="{A579B3D5-C30F-416D-9812-B69C0F4434CF}"/>
    <cellStyle name="Normal 2 4 8 3 5" xfId="18211" xr:uid="{C9820431-48AA-4710-8E13-E002808C87B8}"/>
    <cellStyle name="Normal 2 4 8 3 6" xfId="26658" xr:uid="{7D38B0CD-BF8A-469A-AAE4-6C9869E918DF}"/>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6F7CA472-75AD-4C48-B68E-3CF8E297C14D}"/>
    <cellStyle name="Normal 2 4 8 4 2 2 3" xfId="24986" xr:uid="{C7C309B6-1D2D-4B00-A7FF-C6E9E692B69C}"/>
    <cellStyle name="Normal 2 4 8 4 2 2 4" xfId="33433" xr:uid="{C7304CE3-D966-49A9-B16D-922FBF2ED471}"/>
    <cellStyle name="Normal 2 4 8 4 2 3" xfId="12321" xr:uid="{299315E5-55CE-4735-92D0-3F53223DC74B}"/>
    <cellStyle name="Normal 2 4 8 4 2 4" xfId="20769" xr:uid="{749679D0-E7DB-4819-BB8B-9F1CEAB35CB0}"/>
    <cellStyle name="Normal 2 4 8 4 2 5" xfId="29216" xr:uid="{7CC79724-8221-407A-B5BB-960BC0074C3E}"/>
    <cellStyle name="Normal 2 4 8 4 3" xfId="5944" xr:uid="{00000000-0005-0000-0000-000009110000}"/>
    <cellStyle name="Normal 2 4 8 4 3 2" xfId="14394" xr:uid="{E7860D72-F298-4285-9A8E-1A5AF74A587D}"/>
    <cellStyle name="Normal 2 4 8 4 3 3" xfId="22841" xr:uid="{C48BABB1-CD82-45B5-9388-0C5C757B20A5}"/>
    <cellStyle name="Normal 2 4 8 4 3 4" xfId="31288" xr:uid="{065FD88F-E04B-4427-A034-78D3D204B4A8}"/>
    <cellStyle name="Normal 2 4 8 4 4" xfId="10176" xr:uid="{2E96D83C-53BD-4B32-8EE8-F07E602DC088}"/>
    <cellStyle name="Normal 2 4 8 4 5" xfId="18624" xr:uid="{6B8E5A29-C7B7-4E7F-BF29-012F4FBC0AED}"/>
    <cellStyle name="Normal 2 4 8 4 6" xfId="27071" xr:uid="{D15542EE-C9FE-4AD5-8762-D2D857158A6E}"/>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3F75A170-B42D-4BD0-8CC8-3BF83E066C70}"/>
    <cellStyle name="Normal 2 4 8 5 2 2 3" xfId="25399" xr:uid="{A6DF99C3-59B2-47B7-95CB-41657F35AA4F}"/>
    <cellStyle name="Normal 2 4 8 5 2 2 4" xfId="33846" xr:uid="{C578CE07-DA38-4171-B97A-C211247D3C11}"/>
    <cellStyle name="Normal 2 4 8 5 2 3" xfId="12734" xr:uid="{8EBEAD89-DE6F-4C99-B741-96E4E418B8E2}"/>
    <cellStyle name="Normal 2 4 8 5 2 4" xfId="21182" xr:uid="{FEB7AC5E-C58E-472D-8DB8-48F626235E96}"/>
    <cellStyle name="Normal 2 4 8 5 2 5" xfId="29629" xr:uid="{D597A663-6681-43C9-A980-75477FA8CCB7}"/>
    <cellStyle name="Normal 2 4 8 5 3" xfId="6357" xr:uid="{00000000-0005-0000-0000-00000D110000}"/>
    <cellStyle name="Normal 2 4 8 5 3 2" xfId="14807" xr:uid="{2722622C-57BC-4925-8EC2-A5B4888B708F}"/>
    <cellStyle name="Normal 2 4 8 5 3 3" xfId="23254" xr:uid="{E4B7DF92-80A9-44B9-BA51-DE61DA4A50B4}"/>
    <cellStyle name="Normal 2 4 8 5 3 4" xfId="31701" xr:uid="{EC215571-79D7-4187-AD8B-B82037D72B73}"/>
    <cellStyle name="Normal 2 4 8 5 4" xfId="10589" xr:uid="{505C4F2E-1956-48EC-9DC2-5CB160618D50}"/>
    <cellStyle name="Normal 2 4 8 5 5" xfId="19037" xr:uid="{E4BD23B8-6A5B-426E-AB98-B5A8ACB77853}"/>
    <cellStyle name="Normal 2 4 8 5 6" xfId="27484" xr:uid="{03B58955-32F0-417F-8452-9E138680B6E7}"/>
    <cellStyle name="Normal 2 4 8 6" xfId="2487" xr:uid="{00000000-0005-0000-0000-00000E110000}"/>
    <cellStyle name="Normal 2 4 8 6 2" xfId="6770" xr:uid="{00000000-0005-0000-0000-00000F110000}"/>
    <cellStyle name="Normal 2 4 8 6 2 2" xfId="15220" xr:uid="{72FFCAF9-CB16-4C77-8D04-CD842DFE0115}"/>
    <cellStyle name="Normal 2 4 8 6 2 3" xfId="23667" xr:uid="{9F58BA4E-B458-4102-89F1-0C86090A65A3}"/>
    <cellStyle name="Normal 2 4 8 6 2 4" xfId="32114" xr:uid="{AC0BD565-41CD-4CE6-A7AF-7BB9FC3DC827}"/>
    <cellStyle name="Normal 2 4 8 6 3" xfId="11002" xr:uid="{05B89947-8C76-4092-A82B-B70520652524}"/>
    <cellStyle name="Normal 2 4 8 6 4" xfId="19450" xr:uid="{EF144DB0-6FEB-46B4-807C-A4B3DE68D4D1}"/>
    <cellStyle name="Normal 2 4 8 6 5" xfId="27897" xr:uid="{0CF5D5C5-58B6-4F9A-83AE-33514A8FC365}"/>
    <cellStyle name="Normal 2 4 8 7" xfId="4704" xr:uid="{00000000-0005-0000-0000-000010110000}"/>
    <cellStyle name="Normal 2 4 8 7 2" xfId="13154" xr:uid="{FE68EDB6-CA48-4EF2-812A-585BC2F73007}"/>
    <cellStyle name="Normal 2 4 8 7 3" xfId="21601" xr:uid="{21E328BF-642F-4763-AC79-5DCEC19CCD37}"/>
    <cellStyle name="Normal 2 4 8 7 4" xfId="30048" xr:uid="{BB4E1A9D-9089-44AB-A927-F9D23B83B570}"/>
    <cellStyle name="Normal 2 4 8 8" xfId="8936" xr:uid="{58F0F19A-A86D-4920-93FF-1EB08FCBEDFD}"/>
    <cellStyle name="Normal 2 4 8 9" xfId="17384" xr:uid="{F94F6FAA-7A8D-454C-B956-31B710E07A27}"/>
    <cellStyle name="Normal 2 5" xfId="315" xr:uid="{00000000-0005-0000-0000-000011110000}"/>
    <cellStyle name="Normal 2 5 10" xfId="4705" xr:uid="{00000000-0005-0000-0000-000012110000}"/>
    <cellStyle name="Normal 2 5 10 2" xfId="13155" xr:uid="{9D6D3F5A-96D6-48F9-9142-980D269247C7}"/>
    <cellStyle name="Normal 2 5 10 3" xfId="21602" xr:uid="{A6AD91C5-8439-419C-B696-38530A9210E9}"/>
    <cellStyle name="Normal 2 5 10 4" xfId="30049" xr:uid="{F8A500A1-BA25-4CD6-A449-BCEA8D462D37}"/>
    <cellStyle name="Normal 2 5 11" xfId="8937" xr:uid="{FFE41051-A07B-45C2-AA21-2F3DEE0283AC}"/>
    <cellStyle name="Normal 2 5 12" xfId="17385" xr:uid="{5CABC466-C6C8-4ACE-A0A1-57ED06940F02}"/>
    <cellStyle name="Normal 2 5 13" xfId="25832" xr:uid="{E7A1E446-9979-4295-95B3-51CDA0708EE6}"/>
    <cellStyle name="Normal 2 5 2" xfId="316" xr:uid="{00000000-0005-0000-0000-000013110000}"/>
    <cellStyle name="Normal 2 5 3" xfId="317" xr:uid="{00000000-0005-0000-0000-000014110000}"/>
    <cellStyle name="Normal 2 5 4" xfId="318" xr:uid="{00000000-0005-0000-0000-000015110000}"/>
    <cellStyle name="Normal 2 5 4 10" xfId="8938" xr:uid="{7BC95182-550E-4DA4-B8EC-2F4CB29654CC}"/>
    <cellStyle name="Normal 2 5 4 11" xfId="17386" xr:uid="{6295FD60-07CF-4A13-8649-C5B92949BABE}"/>
    <cellStyle name="Normal 2 5 4 12" xfId="25833" xr:uid="{811638FB-6999-4DCB-8DB1-E952F97B5B42}"/>
    <cellStyle name="Normal 2 5 4 2" xfId="319" xr:uid="{00000000-0005-0000-0000-000016110000}"/>
    <cellStyle name="Normal 2 5 4 2 10" xfId="17387" xr:uid="{316A02A9-5CEF-42FD-8FAE-400919016E8C}"/>
    <cellStyle name="Normal 2 5 4 2 11" xfId="25834" xr:uid="{ACD39BD5-FD36-48BF-8DA4-B1CC7A986099}"/>
    <cellStyle name="Normal 2 5 4 2 2" xfId="320" xr:uid="{00000000-0005-0000-0000-000017110000}"/>
    <cellStyle name="Normal 2 5 4 2 2 10" xfId="25835" xr:uid="{21B4B028-DB1D-49F3-A3ED-9655E40D61A4}"/>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FC9073C9-5656-4779-8904-1491BCB47374}"/>
    <cellStyle name="Normal 2 5 4 2 2 2 2 2 3" xfId="24164" xr:uid="{C33F1FD2-00EF-4C8D-995A-84D17F9B7E03}"/>
    <cellStyle name="Normal 2 5 4 2 2 2 2 2 4" xfId="32611" xr:uid="{DD05AD3E-16A5-43AC-9F10-44633DABFAEE}"/>
    <cellStyle name="Normal 2 5 4 2 2 2 2 3" xfId="11499" xr:uid="{5A80191D-91F3-4862-AE38-466BF1AC9537}"/>
    <cellStyle name="Normal 2 5 4 2 2 2 2 4" xfId="19947" xr:uid="{FCFADBBC-5FC5-4461-B17D-CEFF9B0057DB}"/>
    <cellStyle name="Normal 2 5 4 2 2 2 2 5" xfId="28394" xr:uid="{757E0F34-5DC0-4827-8ABC-8020FE5422CE}"/>
    <cellStyle name="Normal 2 5 4 2 2 2 3" xfId="5122" xr:uid="{00000000-0005-0000-0000-00001B110000}"/>
    <cellStyle name="Normal 2 5 4 2 2 2 3 2" xfId="13572" xr:uid="{1A24A720-6CE7-4270-8618-B6E58F6F3F09}"/>
    <cellStyle name="Normal 2 5 4 2 2 2 3 3" xfId="22019" xr:uid="{CCD28A2C-12CF-47F5-84EB-F07CF4D09F3C}"/>
    <cellStyle name="Normal 2 5 4 2 2 2 3 4" xfId="30466" xr:uid="{877C74F0-1D0B-4241-AE6B-FB0D1FB3B237}"/>
    <cellStyle name="Normal 2 5 4 2 2 2 4" xfId="9354" xr:uid="{80C6DDC5-96AD-4E5A-90B7-29C7FA07DEDB}"/>
    <cellStyle name="Normal 2 5 4 2 2 2 5" xfId="17802" xr:uid="{4C62D5A0-F585-4514-B459-CEE754CD2FEE}"/>
    <cellStyle name="Normal 2 5 4 2 2 2 6" xfId="26249" xr:uid="{E3917ACB-D0FA-4C91-BA08-9A9C17CF99B5}"/>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C2B20894-3AA3-431F-9501-3841B60120A9}"/>
    <cellStyle name="Normal 2 5 4 2 2 3 2 2 3" xfId="24577" xr:uid="{9006F8CB-7D4E-4135-A025-3CAC3B7F2763}"/>
    <cellStyle name="Normal 2 5 4 2 2 3 2 2 4" xfId="33024" xr:uid="{DF709A86-51F7-40B6-8C92-85B56106E77C}"/>
    <cellStyle name="Normal 2 5 4 2 2 3 2 3" xfId="11912" xr:uid="{B090B78A-B32B-4D7E-BB3E-E86B3E0674FE}"/>
    <cellStyle name="Normal 2 5 4 2 2 3 2 4" xfId="20360" xr:uid="{6A52CD3C-9570-4A60-94B3-388B5C7128DB}"/>
    <cellStyle name="Normal 2 5 4 2 2 3 2 5" xfId="28807" xr:uid="{58BCBFA8-A9D4-4CAD-B4E1-CB32AB84FA6D}"/>
    <cellStyle name="Normal 2 5 4 2 2 3 3" xfId="5535" xr:uid="{00000000-0005-0000-0000-00001F110000}"/>
    <cellStyle name="Normal 2 5 4 2 2 3 3 2" xfId="13985" xr:uid="{434782C2-660F-4564-ACF8-85CAD31D758E}"/>
    <cellStyle name="Normal 2 5 4 2 2 3 3 3" xfId="22432" xr:uid="{88414688-47CB-41C3-B3F1-20120B06DBE0}"/>
    <cellStyle name="Normal 2 5 4 2 2 3 3 4" xfId="30879" xr:uid="{3BCE5ED0-9680-40FF-A921-74E8D01E0E52}"/>
    <cellStyle name="Normal 2 5 4 2 2 3 4" xfId="9767" xr:uid="{FA044E5D-0C16-47D0-B9D7-3DF62930FAF7}"/>
    <cellStyle name="Normal 2 5 4 2 2 3 5" xfId="18215" xr:uid="{FC71DC51-8564-4EF1-8912-375A3B13A230}"/>
    <cellStyle name="Normal 2 5 4 2 2 3 6" xfId="26662" xr:uid="{5FCB729C-1C29-48B1-8204-B518A84CBCA4}"/>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5A96AB0D-2329-4816-AC77-AC8CECB6F44C}"/>
    <cellStyle name="Normal 2 5 4 2 2 4 2 2 3" xfId="24990" xr:uid="{4C784B66-1976-4458-80A8-77D9BE60E1F9}"/>
    <cellStyle name="Normal 2 5 4 2 2 4 2 2 4" xfId="33437" xr:uid="{D967B5E9-5367-43ED-BFD4-3D5B89B5D887}"/>
    <cellStyle name="Normal 2 5 4 2 2 4 2 3" xfId="12325" xr:uid="{627429D1-146C-47A3-83F3-E21BA2BD177F}"/>
    <cellStyle name="Normal 2 5 4 2 2 4 2 4" xfId="20773" xr:uid="{D68EC7E8-D1FE-487A-82A3-43A65399E5A3}"/>
    <cellStyle name="Normal 2 5 4 2 2 4 2 5" xfId="29220" xr:uid="{29524C20-7A51-4C0F-9889-31FF05FFCBC3}"/>
    <cellStyle name="Normal 2 5 4 2 2 4 3" xfId="5948" xr:uid="{00000000-0005-0000-0000-000023110000}"/>
    <cellStyle name="Normal 2 5 4 2 2 4 3 2" xfId="14398" xr:uid="{4652F1E7-5EB2-445D-A254-99664CF6B099}"/>
    <cellStyle name="Normal 2 5 4 2 2 4 3 3" xfId="22845" xr:uid="{712810BB-34C8-43D4-9B60-75FF3FE4D8AE}"/>
    <cellStyle name="Normal 2 5 4 2 2 4 3 4" xfId="31292" xr:uid="{3B886C16-C4BD-4A11-B610-E0FB1E7CFFAE}"/>
    <cellStyle name="Normal 2 5 4 2 2 4 4" xfId="10180" xr:uid="{A438D302-3060-48D4-B6CB-D76E199E9441}"/>
    <cellStyle name="Normal 2 5 4 2 2 4 5" xfId="18628" xr:uid="{50050F58-FEB6-4962-BEAF-EABB7DEBB8E0}"/>
    <cellStyle name="Normal 2 5 4 2 2 4 6" xfId="27075" xr:uid="{E0D8CB84-B81F-4939-B69F-E4B4249B021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18ABBBC4-9085-48AA-927F-8D7A7CC61815}"/>
    <cellStyle name="Normal 2 5 4 2 2 5 2 2 3" xfId="25403" xr:uid="{5B776E76-24BB-4BBA-935D-A04801BC8014}"/>
    <cellStyle name="Normal 2 5 4 2 2 5 2 2 4" xfId="33850" xr:uid="{F421B304-4688-4E9C-812D-EDFED95C95F4}"/>
    <cellStyle name="Normal 2 5 4 2 2 5 2 3" xfId="12738" xr:uid="{B03CC471-AF1F-46BE-B4A4-1C9383F37305}"/>
    <cellStyle name="Normal 2 5 4 2 2 5 2 4" xfId="21186" xr:uid="{21DDDC94-CACC-4402-BE50-9B6316064559}"/>
    <cellStyle name="Normal 2 5 4 2 2 5 2 5" xfId="29633" xr:uid="{BF965C6D-C494-4D4A-B7C4-E0134C90A0BA}"/>
    <cellStyle name="Normal 2 5 4 2 2 5 3" xfId="6361" xr:uid="{00000000-0005-0000-0000-000027110000}"/>
    <cellStyle name="Normal 2 5 4 2 2 5 3 2" xfId="14811" xr:uid="{C0F57318-CE00-4862-8D17-DEBFE4350D5B}"/>
    <cellStyle name="Normal 2 5 4 2 2 5 3 3" xfId="23258" xr:uid="{80F0739E-9E5E-4379-AA81-77B088A77972}"/>
    <cellStyle name="Normal 2 5 4 2 2 5 3 4" xfId="31705" xr:uid="{2D489AE0-2C17-4154-A3D3-AE4DD7A4A5E4}"/>
    <cellStyle name="Normal 2 5 4 2 2 5 4" xfId="10593" xr:uid="{648D2488-9DB4-46E5-9CE1-27945CCD97D4}"/>
    <cellStyle name="Normal 2 5 4 2 2 5 5" xfId="19041" xr:uid="{A478339A-7C41-497E-BD09-F9333E6F0B62}"/>
    <cellStyle name="Normal 2 5 4 2 2 5 6" xfId="27488" xr:uid="{F7098DA9-85E9-4DEC-B8CC-59FF297FBD99}"/>
    <cellStyle name="Normal 2 5 4 2 2 6" xfId="2491" xr:uid="{00000000-0005-0000-0000-000028110000}"/>
    <cellStyle name="Normal 2 5 4 2 2 6 2" xfId="6774" xr:uid="{00000000-0005-0000-0000-000029110000}"/>
    <cellStyle name="Normal 2 5 4 2 2 6 2 2" xfId="15224" xr:uid="{7D3800AE-EFED-4AC0-AD52-A6D3FB4E6B06}"/>
    <cellStyle name="Normal 2 5 4 2 2 6 2 3" xfId="23671" xr:uid="{FAD2B3DD-DAF1-48FF-A0A3-CAE696E92E66}"/>
    <cellStyle name="Normal 2 5 4 2 2 6 2 4" xfId="32118" xr:uid="{70F3CEE0-90FB-46BA-BD31-331181945EAF}"/>
    <cellStyle name="Normal 2 5 4 2 2 6 3" xfId="11006" xr:uid="{ECF8F56E-5066-4D8B-9A8A-94F5D0797F2F}"/>
    <cellStyle name="Normal 2 5 4 2 2 6 4" xfId="19454" xr:uid="{95F22888-8A08-48B3-A7AA-276356AA2D5E}"/>
    <cellStyle name="Normal 2 5 4 2 2 6 5" xfId="27901" xr:uid="{BE70E578-6290-4E3E-9040-BCAB9B993F6D}"/>
    <cellStyle name="Normal 2 5 4 2 2 7" xfId="4708" xr:uid="{00000000-0005-0000-0000-00002A110000}"/>
    <cellStyle name="Normal 2 5 4 2 2 7 2" xfId="13158" xr:uid="{B2B0CF76-8B6D-4C7B-A29D-2B1B0FFF3E16}"/>
    <cellStyle name="Normal 2 5 4 2 2 7 3" xfId="21605" xr:uid="{B7AB25F5-2687-408D-9B0E-39CF50CCCAAB}"/>
    <cellStyle name="Normal 2 5 4 2 2 7 4" xfId="30052" xr:uid="{5E1B11A0-94F3-4EE9-AF1C-E220991CE251}"/>
    <cellStyle name="Normal 2 5 4 2 2 8" xfId="8940" xr:uid="{A9AFDB0B-8441-4A81-863D-6A80351DD2C1}"/>
    <cellStyle name="Normal 2 5 4 2 2 9" xfId="17388" xr:uid="{C35F0D53-A7D4-45ED-9C64-55BD98710BB5}"/>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CE848D68-A742-4A32-A614-B73DE6382DBA}"/>
    <cellStyle name="Normal 2 5 4 2 3 2 2 3" xfId="24163" xr:uid="{11A56A5E-79A8-4B4C-8B64-8DC105D36EC5}"/>
    <cellStyle name="Normal 2 5 4 2 3 2 2 4" xfId="32610" xr:uid="{E911BB0D-5021-48C1-95B2-7A71E9B5BD71}"/>
    <cellStyle name="Normal 2 5 4 2 3 2 3" xfId="11498" xr:uid="{5491F88F-22C0-43A4-85A0-368A07A45F01}"/>
    <cellStyle name="Normal 2 5 4 2 3 2 4" xfId="19946" xr:uid="{D636CA74-1887-42CD-B84A-79B621B1E662}"/>
    <cellStyle name="Normal 2 5 4 2 3 2 5" xfId="28393" xr:uid="{1E516275-0EBD-4416-85BC-FD6A1F3810FF}"/>
    <cellStyle name="Normal 2 5 4 2 3 3" xfId="5121" xr:uid="{00000000-0005-0000-0000-00002E110000}"/>
    <cellStyle name="Normal 2 5 4 2 3 3 2" xfId="13571" xr:uid="{14AC939B-E5CA-4061-9EA3-A9A58D5121A1}"/>
    <cellStyle name="Normal 2 5 4 2 3 3 3" xfId="22018" xr:uid="{1D12762B-A3D7-4004-ABB4-62D972D0470C}"/>
    <cellStyle name="Normal 2 5 4 2 3 3 4" xfId="30465" xr:uid="{FDB7EAF0-F05F-40DC-8C81-B9FC3C897CE2}"/>
    <cellStyle name="Normal 2 5 4 2 3 4" xfId="9353" xr:uid="{004BCB9A-6792-4257-8CCF-DA3764D5AF3C}"/>
    <cellStyle name="Normal 2 5 4 2 3 5" xfId="17801" xr:uid="{7BD46F4F-2B62-4BBF-B0C7-F032CBEA14A4}"/>
    <cellStyle name="Normal 2 5 4 2 3 6" xfId="26248" xr:uid="{B8231CE6-F8BC-48B0-B3A9-26D3B1B0AC63}"/>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0385CF34-9ADC-4D66-81EA-B7A4CC293EBA}"/>
    <cellStyle name="Normal 2 5 4 2 4 2 2 3" xfId="24576" xr:uid="{54D9EF02-46F8-460F-B19F-F39FF5A3F0CC}"/>
    <cellStyle name="Normal 2 5 4 2 4 2 2 4" xfId="33023" xr:uid="{A558B9BC-6EE9-4748-8CA7-332233673725}"/>
    <cellStyle name="Normal 2 5 4 2 4 2 3" xfId="11911" xr:uid="{49041D69-D2FF-4979-88AC-AAE33453EB13}"/>
    <cellStyle name="Normal 2 5 4 2 4 2 4" xfId="20359" xr:uid="{DAA9A4ED-BD3A-464F-BAE6-CE8B47E7AB86}"/>
    <cellStyle name="Normal 2 5 4 2 4 2 5" xfId="28806" xr:uid="{C2B997C0-E6F6-4DC6-B210-2D373252BBE0}"/>
    <cellStyle name="Normal 2 5 4 2 4 3" xfId="5534" xr:uid="{00000000-0005-0000-0000-000032110000}"/>
    <cellStyle name="Normal 2 5 4 2 4 3 2" xfId="13984" xr:uid="{D27C8B0B-5EA0-4ED0-87DC-D16742583EF2}"/>
    <cellStyle name="Normal 2 5 4 2 4 3 3" xfId="22431" xr:uid="{3B0DD265-4DC3-4A5C-9651-64538326BCD1}"/>
    <cellStyle name="Normal 2 5 4 2 4 3 4" xfId="30878" xr:uid="{209A5AC0-AC27-4A9E-B171-79937CC5FDA5}"/>
    <cellStyle name="Normal 2 5 4 2 4 4" xfId="9766" xr:uid="{00740909-42F7-46DF-B83E-B86FE531D804}"/>
    <cellStyle name="Normal 2 5 4 2 4 5" xfId="18214" xr:uid="{3A4D6A58-ED9C-48CC-B2BD-D66D0A7BA777}"/>
    <cellStyle name="Normal 2 5 4 2 4 6" xfId="26661" xr:uid="{706D33E8-E6FE-4FE5-B0E0-1C649A177CB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65F24578-9B96-46AD-A451-B368BC478E4E}"/>
    <cellStyle name="Normal 2 5 4 2 5 2 2 3" xfId="24989" xr:uid="{391528EF-B673-43F3-ACB6-DF158C8A55BB}"/>
    <cellStyle name="Normal 2 5 4 2 5 2 2 4" xfId="33436" xr:uid="{4B8C8144-612F-470E-B9CB-C0AD12D16818}"/>
    <cellStyle name="Normal 2 5 4 2 5 2 3" xfId="12324" xr:uid="{918A8A8F-03BA-43F9-84DB-31382A34C114}"/>
    <cellStyle name="Normal 2 5 4 2 5 2 4" xfId="20772" xr:uid="{8B574335-17D9-4F13-BA5C-055AAA4DC493}"/>
    <cellStyle name="Normal 2 5 4 2 5 2 5" xfId="29219" xr:uid="{AAF10510-9B80-4A3B-9782-2880F3EE1115}"/>
    <cellStyle name="Normal 2 5 4 2 5 3" xfId="5947" xr:uid="{00000000-0005-0000-0000-000036110000}"/>
    <cellStyle name="Normal 2 5 4 2 5 3 2" xfId="14397" xr:uid="{9D897457-A401-46AC-B760-10A311C6440E}"/>
    <cellStyle name="Normal 2 5 4 2 5 3 3" xfId="22844" xr:uid="{22471315-5AED-48CB-A0C6-BD6C66DF376C}"/>
    <cellStyle name="Normal 2 5 4 2 5 3 4" xfId="31291" xr:uid="{FABA5FC8-A2F8-413F-8AC3-3EB6CD046239}"/>
    <cellStyle name="Normal 2 5 4 2 5 4" xfId="10179" xr:uid="{3C8DBC88-78B8-4677-AE87-DE95CB81264F}"/>
    <cellStyle name="Normal 2 5 4 2 5 5" xfId="18627" xr:uid="{39C04C71-BAB3-4DDF-AE44-5AF26182AE72}"/>
    <cellStyle name="Normal 2 5 4 2 5 6" xfId="27074" xr:uid="{41B606A1-FE19-4041-A064-7CFC75E01E57}"/>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0D221DC0-1010-47E1-993A-7575573968C0}"/>
    <cellStyle name="Normal 2 5 4 2 6 2 2 3" xfId="25402" xr:uid="{8C763E8D-402E-4790-B22F-F39832F0BA53}"/>
    <cellStyle name="Normal 2 5 4 2 6 2 2 4" xfId="33849" xr:uid="{48E2B574-D36B-441D-8F31-146980140A67}"/>
    <cellStyle name="Normal 2 5 4 2 6 2 3" xfId="12737" xr:uid="{C64E1C8D-F530-4C0E-A8CA-3C0650477005}"/>
    <cellStyle name="Normal 2 5 4 2 6 2 4" xfId="21185" xr:uid="{84F1D728-A3AF-4C83-84CF-8CC56073FC87}"/>
    <cellStyle name="Normal 2 5 4 2 6 2 5" xfId="29632" xr:uid="{1CD02467-03F2-4C40-8525-A5100AD503A7}"/>
    <cellStyle name="Normal 2 5 4 2 6 3" xfId="6360" xr:uid="{00000000-0005-0000-0000-00003A110000}"/>
    <cellStyle name="Normal 2 5 4 2 6 3 2" xfId="14810" xr:uid="{E6802437-CDF4-4241-ACE8-40E2DD68C2AC}"/>
    <cellStyle name="Normal 2 5 4 2 6 3 3" xfId="23257" xr:uid="{A29C1876-86F7-40C0-8573-9101683D01D2}"/>
    <cellStyle name="Normal 2 5 4 2 6 3 4" xfId="31704" xr:uid="{8ECE6457-665E-4785-A5B7-4909D44F168A}"/>
    <cellStyle name="Normal 2 5 4 2 6 4" xfId="10592" xr:uid="{C6AC7A74-3E1E-476C-8450-9330F6DA8B9C}"/>
    <cellStyle name="Normal 2 5 4 2 6 5" xfId="19040" xr:uid="{DC042446-6883-486F-9FF2-861C96885100}"/>
    <cellStyle name="Normal 2 5 4 2 6 6" xfId="27487" xr:uid="{E290D19A-9599-4118-A14A-3278FDEA54EA}"/>
    <cellStyle name="Normal 2 5 4 2 7" xfId="2490" xr:uid="{00000000-0005-0000-0000-00003B110000}"/>
    <cellStyle name="Normal 2 5 4 2 7 2" xfId="6773" xr:uid="{00000000-0005-0000-0000-00003C110000}"/>
    <cellStyle name="Normal 2 5 4 2 7 2 2" xfId="15223" xr:uid="{4B00ABC3-89BD-4213-B38C-D4DB1B376AA7}"/>
    <cellStyle name="Normal 2 5 4 2 7 2 3" xfId="23670" xr:uid="{F7EF8832-D17F-4248-9AC4-F7F00607A02B}"/>
    <cellStyle name="Normal 2 5 4 2 7 2 4" xfId="32117" xr:uid="{DCA472CF-B194-4687-A93C-21EA4B58D43C}"/>
    <cellStyle name="Normal 2 5 4 2 7 3" xfId="11005" xr:uid="{9EAFC67C-11C6-4BA9-93E8-8B32121C3BD0}"/>
    <cellStyle name="Normal 2 5 4 2 7 4" xfId="19453" xr:uid="{6B777A10-7322-455D-A19B-8774BDD05283}"/>
    <cellStyle name="Normal 2 5 4 2 7 5" xfId="27900" xr:uid="{17BCEA82-117F-4E4D-9CDA-34EC91924571}"/>
    <cellStyle name="Normal 2 5 4 2 8" xfId="4707" xr:uid="{00000000-0005-0000-0000-00003D110000}"/>
    <cellStyle name="Normal 2 5 4 2 8 2" xfId="13157" xr:uid="{931033E2-FC50-40DA-8A96-5F45B657E3A3}"/>
    <cellStyle name="Normal 2 5 4 2 8 3" xfId="21604" xr:uid="{86A7147C-9E4B-444B-A763-4522EA2BD03C}"/>
    <cellStyle name="Normal 2 5 4 2 8 4" xfId="30051" xr:uid="{1AC682FE-A198-4030-BC93-B930FF3C8940}"/>
    <cellStyle name="Normal 2 5 4 2 9" xfId="8939" xr:uid="{2BC4B6B1-19A9-455A-B7E1-6E72952E1A34}"/>
    <cellStyle name="Normal 2 5 4 3" xfId="321" xr:uid="{00000000-0005-0000-0000-00003E110000}"/>
    <cellStyle name="Normal 2 5 4 3 10" xfId="25836" xr:uid="{75858588-1358-4486-BFFC-BA4B12A862B6}"/>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FA4580BB-8D1D-404A-A1BF-A64B77E9A6F8}"/>
    <cellStyle name="Normal 2 5 4 3 2 2 2 3" xfId="24165" xr:uid="{BECB02BA-5898-47A7-848F-48725E03436D}"/>
    <cellStyle name="Normal 2 5 4 3 2 2 2 4" xfId="32612" xr:uid="{5A8D63F1-4F2E-4A89-9DD0-B969743F77A6}"/>
    <cellStyle name="Normal 2 5 4 3 2 2 3" xfId="11500" xr:uid="{9C014D0A-71CE-4BC3-AECC-C5959B019F0D}"/>
    <cellStyle name="Normal 2 5 4 3 2 2 4" xfId="19948" xr:uid="{7B75945D-D032-4A66-85C5-C87B25BDB440}"/>
    <cellStyle name="Normal 2 5 4 3 2 2 5" xfId="28395" xr:uid="{9C166745-79CE-4C3B-9F8D-76936C214E5F}"/>
    <cellStyle name="Normal 2 5 4 3 2 3" xfId="5123" xr:uid="{00000000-0005-0000-0000-000042110000}"/>
    <cellStyle name="Normal 2 5 4 3 2 3 2" xfId="13573" xr:uid="{AD717900-44DC-4651-8BA1-FAD505F79298}"/>
    <cellStyle name="Normal 2 5 4 3 2 3 3" xfId="22020" xr:uid="{0E90260D-2BD3-4C68-8A99-974E2FF3A192}"/>
    <cellStyle name="Normal 2 5 4 3 2 3 4" xfId="30467" xr:uid="{5C29A067-F749-42E0-92E9-93833C052538}"/>
    <cellStyle name="Normal 2 5 4 3 2 4" xfId="9355" xr:uid="{9BEF3302-EC74-4148-983D-408B8BA62375}"/>
    <cellStyle name="Normal 2 5 4 3 2 5" xfId="17803" xr:uid="{CF4B24F4-C005-43DB-AF81-16DA4CFB1B7F}"/>
    <cellStyle name="Normal 2 5 4 3 2 6" xfId="26250" xr:uid="{8B4E608F-3A22-49AB-8FD6-B4CAD81E648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5683C837-1BB2-4C6C-8822-3A36733AB5C8}"/>
    <cellStyle name="Normal 2 5 4 3 3 2 2 3" xfId="24578" xr:uid="{11945967-546B-45A5-AEC5-EBA4468B01CB}"/>
    <cellStyle name="Normal 2 5 4 3 3 2 2 4" xfId="33025" xr:uid="{963B9734-BEDF-4717-8F4B-97EF74620486}"/>
    <cellStyle name="Normal 2 5 4 3 3 2 3" xfId="11913" xr:uid="{EE3A5E43-5CB9-41C0-BBF5-3CC34DAE0204}"/>
    <cellStyle name="Normal 2 5 4 3 3 2 4" xfId="20361" xr:uid="{AB7FE8D3-CF9A-47DD-A0AF-0F5FFB7FA223}"/>
    <cellStyle name="Normal 2 5 4 3 3 2 5" xfId="28808" xr:uid="{93F9EA31-1708-488E-9FA0-43E92137F933}"/>
    <cellStyle name="Normal 2 5 4 3 3 3" xfId="5536" xr:uid="{00000000-0005-0000-0000-000046110000}"/>
    <cellStyle name="Normal 2 5 4 3 3 3 2" xfId="13986" xr:uid="{500423CA-B494-44ED-9353-E194AD3EF3C5}"/>
    <cellStyle name="Normal 2 5 4 3 3 3 3" xfId="22433" xr:uid="{A2651B28-FB65-4FDD-B58E-617C28546EEE}"/>
    <cellStyle name="Normal 2 5 4 3 3 3 4" xfId="30880" xr:uid="{A0BFE604-9D2C-42AF-96A6-62243E09CDEB}"/>
    <cellStyle name="Normal 2 5 4 3 3 4" xfId="9768" xr:uid="{24D98FF9-C7C7-4FCF-A282-A67B01732488}"/>
    <cellStyle name="Normal 2 5 4 3 3 5" xfId="18216" xr:uid="{C542D32A-0702-4BBF-BDB8-9FCA89A34712}"/>
    <cellStyle name="Normal 2 5 4 3 3 6" xfId="26663" xr:uid="{B2377388-FAA6-46A1-A862-00E57FBBD37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7D2D5650-6823-4CEC-98B1-A69C9006F8B0}"/>
    <cellStyle name="Normal 2 5 4 3 4 2 2 3" xfId="24991" xr:uid="{4E7F3919-7D62-401E-95D6-0976F491D440}"/>
    <cellStyle name="Normal 2 5 4 3 4 2 2 4" xfId="33438" xr:uid="{906D8F60-3F42-43DA-8090-AEAF5A5CB2D7}"/>
    <cellStyle name="Normal 2 5 4 3 4 2 3" xfId="12326" xr:uid="{96846C86-51DC-4186-8550-D240F1B523F5}"/>
    <cellStyle name="Normal 2 5 4 3 4 2 4" xfId="20774" xr:uid="{66BF8511-AA52-4834-9FB2-F23D45F7BFF0}"/>
    <cellStyle name="Normal 2 5 4 3 4 2 5" xfId="29221" xr:uid="{949396DD-93CB-469B-A834-319ABD30941B}"/>
    <cellStyle name="Normal 2 5 4 3 4 3" xfId="5949" xr:uid="{00000000-0005-0000-0000-00004A110000}"/>
    <cellStyle name="Normal 2 5 4 3 4 3 2" xfId="14399" xr:uid="{0FA20137-F4B1-42CB-BB16-E2D454E4973A}"/>
    <cellStyle name="Normal 2 5 4 3 4 3 3" xfId="22846" xr:uid="{433FE947-6FF8-4200-8C9F-F2B5C2119291}"/>
    <cellStyle name="Normal 2 5 4 3 4 3 4" xfId="31293" xr:uid="{4AA66469-4C32-4C6A-9536-56DB9D406F89}"/>
    <cellStyle name="Normal 2 5 4 3 4 4" xfId="10181" xr:uid="{2D45976C-2E63-439C-977D-35540A3BC414}"/>
    <cellStyle name="Normal 2 5 4 3 4 5" xfId="18629" xr:uid="{D0A036ED-2449-4E6D-941F-9351A1C54C1C}"/>
    <cellStyle name="Normal 2 5 4 3 4 6" xfId="27076" xr:uid="{1BEB503F-66F6-47B7-8F20-FE6EAC54AF37}"/>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44D3F468-E3E6-4F9B-B7BB-09AADE84E4D0}"/>
    <cellStyle name="Normal 2 5 4 3 5 2 2 3" xfId="25404" xr:uid="{C5C07076-7BD0-46F9-B516-CC9BF2725AB7}"/>
    <cellStyle name="Normal 2 5 4 3 5 2 2 4" xfId="33851" xr:uid="{B2291C7C-5C0B-4310-BDEC-F6A33F3F9FFB}"/>
    <cellStyle name="Normal 2 5 4 3 5 2 3" xfId="12739" xr:uid="{F81A0EE6-6CD8-4C0C-94F1-F96EF462E815}"/>
    <cellStyle name="Normal 2 5 4 3 5 2 4" xfId="21187" xr:uid="{E1CDE676-66AE-48D1-8629-CC16AD4CECD3}"/>
    <cellStyle name="Normal 2 5 4 3 5 2 5" xfId="29634" xr:uid="{E485ABE3-0A62-49D8-A97B-DDD487C852EA}"/>
    <cellStyle name="Normal 2 5 4 3 5 3" xfId="6362" xr:uid="{00000000-0005-0000-0000-00004E110000}"/>
    <cellStyle name="Normal 2 5 4 3 5 3 2" xfId="14812" xr:uid="{269F686D-B733-4DD8-B9FF-746808FFE4D5}"/>
    <cellStyle name="Normal 2 5 4 3 5 3 3" xfId="23259" xr:uid="{AB8A5266-E6E5-4E32-A98E-83C358B978CD}"/>
    <cellStyle name="Normal 2 5 4 3 5 3 4" xfId="31706" xr:uid="{C293CCF5-3A10-4B19-9294-63B66C6DDBC5}"/>
    <cellStyle name="Normal 2 5 4 3 5 4" xfId="10594" xr:uid="{094C24DA-1648-491C-B6C8-96CF80352D00}"/>
    <cellStyle name="Normal 2 5 4 3 5 5" xfId="19042" xr:uid="{56725B13-8B26-4230-8003-AA8C67D80167}"/>
    <cellStyle name="Normal 2 5 4 3 5 6" xfId="27489" xr:uid="{6C07F5E3-B5AC-41D2-A872-718769CED9E4}"/>
    <cellStyle name="Normal 2 5 4 3 6" xfId="2492" xr:uid="{00000000-0005-0000-0000-00004F110000}"/>
    <cellStyle name="Normal 2 5 4 3 6 2" xfId="6775" xr:uid="{00000000-0005-0000-0000-000050110000}"/>
    <cellStyle name="Normal 2 5 4 3 6 2 2" xfId="15225" xr:uid="{716FE6F8-A9CC-4899-82E3-E03F2CC984F7}"/>
    <cellStyle name="Normal 2 5 4 3 6 2 3" xfId="23672" xr:uid="{4C08ACBF-B0CE-4669-8585-21B2E3B658BF}"/>
    <cellStyle name="Normal 2 5 4 3 6 2 4" xfId="32119" xr:uid="{B1DE0407-ECA5-4074-989C-383319CB47BB}"/>
    <cellStyle name="Normal 2 5 4 3 6 3" xfId="11007" xr:uid="{6E261D0D-0E7A-4592-AB3D-DD79C597460C}"/>
    <cellStyle name="Normal 2 5 4 3 6 4" xfId="19455" xr:uid="{292C934B-C2B5-4223-AA78-6906E429DFA6}"/>
    <cellStyle name="Normal 2 5 4 3 6 5" xfId="27902" xr:uid="{4CBCE123-F0B7-4706-9A68-05389A1A6559}"/>
    <cellStyle name="Normal 2 5 4 3 7" xfId="4709" xr:uid="{00000000-0005-0000-0000-000051110000}"/>
    <cellStyle name="Normal 2 5 4 3 7 2" xfId="13159" xr:uid="{3EECAEEB-97EA-4FD2-B26A-6EEB09F0C624}"/>
    <cellStyle name="Normal 2 5 4 3 7 3" xfId="21606" xr:uid="{FE83E581-8E00-4A0B-8D56-2834BA3E966A}"/>
    <cellStyle name="Normal 2 5 4 3 7 4" xfId="30053" xr:uid="{FDB56407-ECB7-4F42-BAF1-27CA24F3A47B}"/>
    <cellStyle name="Normal 2 5 4 3 8" xfId="8941" xr:uid="{8E18C3FF-3933-4D8F-81F6-448D9AB7FA9D}"/>
    <cellStyle name="Normal 2 5 4 3 9" xfId="17389" xr:uid="{D5E06213-EBC3-483F-8632-832D24E291E7}"/>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BE7D059F-9F9A-4DC7-AEA0-7A8F9E8678B7}"/>
    <cellStyle name="Normal 2 5 4 4 2 2 3" xfId="24162" xr:uid="{C68D0DA0-051F-43C2-AC05-C8675661E72B}"/>
    <cellStyle name="Normal 2 5 4 4 2 2 4" xfId="32609" xr:uid="{61ED785C-7325-492A-8414-BBBCCF78A250}"/>
    <cellStyle name="Normal 2 5 4 4 2 3" xfId="11497" xr:uid="{591B8064-CBDF-4C43-8378-FC09876769D1}"/>
    <cellStyle name="Normal 2 5 4 4 2 4" xfId="19945" xr:uid="{70B54179-90A4-40AE-8382-26764DD88724}"/>
    <cellStyle name="Normal 2 5 4 4 2 5" xfId="28392" xr:uid="{ECF718E6-D8A6-4B63-8852-AA95C5EDCEA4}"/>
    <cellStyle name="Normal 2 5 4 4 3" xfId="5120" xr:uid="{00000000-0005-0000-0000-000055110000}"/>
    <cellStyle name="Normal 2 5 4 4 3 2" xfId="13570" xr:uid="{5774966C-253C-45BD-8AD2-0F994E2F1BF4}"/>
    <cellStyle name="Normal 2 5 4 4 3 3" xfId="22017" xr:uid="{EACF511C-9D05-40BD-AA40-390E38EDCBAA}"/>
    <cellStyle name="Normal 2 5 4 4 3 4" xfId="30464" xr:uid="{0E0A3DF2-D487-477F-9CA2-1E2997F40766}"/>
    <cellStyle name="Normal 2 5 4 4 4" xfId="9352" xr:uid="{4EACDF03-7FBE-4F2B-8B11-286AB890B206}"/>
    <cellStyle name="Normal 2 5 4 4 5" xfId="17800" xr:uid="{9683C13D-3753-4F27-8427-4FB0E9C781B4}"/>
    <cellStyle name="Normal 2 5 4 4 6" xfId="26247" xr:uid="{48B9262B-AC47-485D-BE09-1CF03F429203}"/>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E746E091-4E95-4EC7-950D-E889C38914CE}"/>
    <cellStyle name="Normal 2 5 4 5 2 2 3" xfId="24575" xr:uid="{1AC011A6-E08E-40CD-A29A-12AC294A9D86}"/>
    <cellStyle name="Normal 2 5 4 5 2 2 4" xfId="33022" xr:uid="{FCB09DD4-DA2E-4F2A-A996-78D0D7558FCC}"/>
    <cellStyle name="Normal 2 5 4 5 2 3" xfId="11910" xr:uid="{849654CA-EA7C-49FF-A32B-189802C07B99}"/>
    <cellStyle name="Normal 2 5 4 5 2 4" xfId="20358" xr:uid="{68A0F195-3975-4872-86FE-C6136B9151FD}"/>
    <cellStyle name="Normal 2 5 4 5 2 5" xfId="28805" xr:uid="{3B11D1BC-B564-45BA-8861-A83E516C7589}"/>
    <cellStyle name="Normal 2 5 4 5 3" xfId="5533" xr:uid="{00000000-0005-0000-0000-000059110000}"/>
    <cellStyle name="Normal 2 5 4 5 3 2" xfId="13983" xr:uid="{D7535F50-CEF7-472B-BF90-08F7C91B5F52}"/>
    <cellStyle name="Normal 2 5 4 5 3 3" xfId="22430" xr:uid="{AD7C27F2-828C-475B-B03F-EE5F2E70E63D}"/>
    <cellStyle name="Normal 2 5 4 5 3 4" xfId="30877" xr:uid="{BE4AE1C9-7F34-4003-B81C-ED56EE718E28}"/>
    <cellStyle name="Normal 2 5 4 5 4" xfId="9765" xr:uid="{081CAAF9-0D72-4732-ABE3-604D5071A104}"/>
    <cellStyle name="Normal 2 5 4 5 5" xfId="18213" xr:uid="{4A6CF835-362C-4EB5-B250-E2FEF2F5C7A6}"/>
    <cellStyle name="Normal 2 5 4 5 6" xfId="26660" xr:uid="{6EDE82F5-9C9A-45A1-B656-FE06DD2F2F2D}"/>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496885B8-D7A6-4FA4-A537-6EB19B3D120E}"/>
    <cellStyle name="Normal 2 5 4 6 2 2 3" xfId="24988" xr:uid="{C2C52F5B-1B16-4C87-8F91-C2D72EA9FB68}"/>
    <cellStyle name="Normal 2 5 4 6 2 2 4" xfId="33435" xr:uid="{1A443886-2D9B-4C9D-B620-3C44E77DE4AC}"/>
    <cellStyle name="Normal 2 5 4 6 2 3" xfId="12323" xr:uid="{35892EC0-A51C-4093-874F-B651D0C5D7D4}"/>
    <cellStyle name="Normal 2 5 4 6 2 4" xfId="20771" xr:uid="{995C65F1-18D5-4E84-A322-2DFC987E71DC}"/>
    <cellStyle name="Normal 2 5 4 6 2 5" xfId="29218" xr:uid="{9272F9A8-4BC1-46BC-9291-1B7E1678D838}"/>
    <cellStyle name="Normal 2 5 4 6 3" xfId="5946" xr:uid="{00000000-0005-0000-0000-00005D110000}"/>
    <cellStyle name="Normal 2 5 4 6 3 2" xfId="14396" xr:uid="{FAABAE8F-3600-4665-B490-F11A0FA5CA36}"/>
    <cellStyle name="Normal 2 5 4 6 3 3" xfId="22843" xr:uid="{EAF8C8D8-AA0F-4524-B2B9-D5E22D786EF5}"/>
    <cellStyle name="Normal 2 5 4 6 3 4" xfId="31290" xr:uid="{F117964D-5A6F-4B5B-9296-88DFFE4B25DD}"/>
    <cellStyle name="Normal 2 5 4 6 4" xfId="10178" xr:uid="{990C1AD5-C3D4-48BF-90C1-F6B293F9C027}"/>
    <cellStyle name="Normal 2 5 4 6 5" xfId="18626" xr:uid="{EB802D49-1989-450E-A50E-2679FE3C37CE}"/>
    <cellStyle name="Normal 2 5 4 6 6" xfId="27073" xr:uid="{C3DBD15D-B6E1-49BE-B8FA-68A6E9649DD3}"/>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9C4D32D2-E3A2-4DBB-A096-14EF229B8A4F}"/>
    <cellStyle name="Normal 2 5 4 7 2 2 3" xfId="25401" xr:uid="{B44BD32A-B23C-4681-8C46-667C70E65A0F}"/>
    <cellStyle name="Normal 2 5 4 7 2 2 4" xfId="33848" xr:uid="{2EDF5708-4879-412B-81B2-D86083AC00C6}"/>
    <cellStyle name="Normal 2 5 4 7 2 3" xfId="12736" xr:uid="{AB88AC94-76C4-4D3E-B3A2-E23AB4E29744}"/>
    <cellStyle name="Normal 2 5 4 7 2 4" xfId="21184" xr:uid="{FC013EFF-9B91-46AD-BCA5-B6E9EBDB2888}"/>
    <cellStyle name="Normal 2 5 4 7 2 5" xfId="29631" xr:uid="{0C6AC4C2-6393-441F-B307-678D71BC9774}"/>
    <cellStyle name="Normal 2 5 4 7 3" xfId="6359" xr:uid="{00000000-0005-0000-0000-000061110000}"/>
    <cellStyle name="Normal 2 5 4 7 3 2" xfId="14809" xr:uid="{014F887D-7624-4C3C-988E-61ED7FDC545F}"/>
    <cellStyle name="Normal 2 5 4 7 3 3" xfId="23256" xr:uid="{66C906D8-4C7C-45D9-8225-0FC4E2D28F57}"/>
    <cellStyle name="Normal 2 5 4 7 3 4" xfId="31703" xr:uid="{764118FF-4A58-4B71-BBBD-F4FA60BCCC81}"/>
    <cellStyle name="Normal 2 5 4 7 4" xfId="10591" xr:uid="{461D6FEC-08F6-44F7-8034-2F0A9832C0EB}"/>
    <cellStyle name="Normal 2 5 4 7 5" xfId="19039" xr:uid="{144B7D3F-2B08-4F44-83A2-0B8547BCF491}"/>
    <cellStyle name="Normal 2 5 4 7 6" xfId="27486" xr:uid="{017D4D4E-8BA4-40AC-84BA-434C3C177294}"/>
    <cellStyle name="Normal 2 5 4 8" xfId="2489" xr:uid="{00000000-0005-0000-0000-000062110000}"/>
    <cellStyle name="Normal 2 5 4 8 2" xfId="6772" xr:uid="{00000000-0005-0000-0000-000063110000}"/>
    <cellStyle name="Normal 2 5 4 8 2 2" xfId="15222" xr:uid="{7F1A6249-921F-4F65-AF4E-DB1D140898C5}"/>
    <cellStyle name="Normal 2 5 4 8 2 3" xfId="23669" xr:uid="{F6EB8965-A801-4B28-8F09-F3847375A5EA}"/>
    <cellStyle name="Normal 2 5 4 8 2 4" xfId="32116" xr:uid="{16F417E6-BD90-4AE6-97A0-9286E61FD7B6}"/>
    <cellStyle name="Normal 2 5 4 8 3" xfId="11004" xr:uid="{2777E986-990A-48E9-B6E3-EB78ED526F0F}"/>
    <cellStyle name="Normal 2 5 4 8 4" xfId="19452" xr:uid="{D07F7744-3942-4BB5-B539-40B788DBC50B}"/>
    <cellStyle name="Normal 2 5 4 8 5" xfId="27899" xr:uid="{370FE3EA-097D-45B9-B398-B4D5F1FB6FB8}"/>
    <cellStyle name="Normal 2 5 4 9" xfId="4706" xr:uid="{00000000-0005-0000-0000-000064110000}"/>
    <cellStyle name="Normal 2 5 4 9 2" xfId="13156" xr:uid="{1AB3FD2B-5A8E-4F57-8DD1-BAA79B1B6893}"/>
    <cellStyle name="Normal 2 5 4 9 3" xfId="21603" xr:uid="{17F9E73D-AF17-4A91-8FA2-0A1E482AB727}"/>
    <cellStyle name="Normal 2 5 4 9 4" xfId="30050" xr:uid="{93F91C6E-8EC2-4936-B3B8-7B03471BF47C}"/>
    <cellStyle name="Normal 2 5 5" xfId="803" xr:uid="{00000000-0005-0000-0000-000065110000}"/>
    <cellStyle name="Normal 2 5 5 2" xfId="3042" xr:uid="{00000000-0005-0000-0000-000066110000}"/>
    <cellStyle name="Normal 2 5 5 2 2" xfId="7264" xr:uid="{00000000-0005-0000-0000-000067110000}"/>
    <cellStyle name="Normal 2 5 5 2 2 2" xfId="15714" xr:uid="{669030B3-B9B4-4CC7-A965-6B182AE69F49}"/>
    <cellStyle name="Normal 2 5 5 2 2 3" xfId="24161" xr:uid="{A5C52B66-292B-4484-876E-4E2393A843D0}"/>
    <cellStyle name="Normal 2 5 5 2 2 4" xfId="32608" xr:uid="{7EF223F4-CC7B-421F-8F76-D31457103F7D}"/>
    <cellStyle name="Normal 2 5 5 2 3" xfId="11496" xr:uid="{59C8E604-8FCE-44EF-A2E7-DE4D46C66BB4}"/>
    <cellStyle name="Normal 2 5 5 2 4" xfId="19944" xr:uid="{00D119BA-8BC8-48CD-817B-BB894C8D5903}"/>
    <cellStyle name="Normal 2 5 5 2 5" xfId="28391" xr:uid="{7B2DCD79-0A07-49E7-B8F0-7A40FDC95016}"/>
    <cellStyle name="Normal 2 5 5 3" xfId="5119" xr:uid="{00000000-0005-0000-0000-000068110000}"/>
    <cellStyle name="Normal 2 5 5 3 2" xfId="13569" xr:uid="{21DD6548-5D30-4186-A2FB-9A77F94DA97E}"/>
    <cellStyle name="Normal 2 5 5 3 3" xfId="22016" xr:uid="{A86681F8-F451-4110-8B18-11447B42DF42}"/>
    <cellStyle name="Normal 2 5 5 3 4" xfId="30463" xr:uid="{8410CDB3-900D-4F0F-9580-A93030F1F2F2}"/>
    <cellStyle name="Normal 2 5 5 4" xfId="9351" xr:uid="{74FCC4F3-C641-4515-9677-1B969972E64E}"/>
    <cellStyle name="Normal 2 5 5 5" xfId="17799" xr:uid="{731A767D-2666-429E-9067-987308C6BB14}"/>
    <cellStyle name="Normal 2 5 5 6" xfId="26246" xr:uid="{D17355A0-6325-4B16-8798-2E5971FC50F8}"/>
    <cellStyle name="Normal 2 5 6" xfId="1225" xr:uid="{00000000-0005-0000-0000-000069110000}"/>
    <cellStyle name="Normal 2 5 6 2" xfId="3455" xr:uid="{00000000-0005-0000-0000-00006A110000}"/>
    <cellStyle name="Normal 2 5 6 2 2" xfId="7677" xr:uid="{00000000-0005-0000-0000-00006B110000}"/>
    <cellStyle name="Normal 2 5 6 2 2 2" xfId="16127" xr:uid="{D1A5C0A9-0096-40C4-A160-69A05FDDC700}"/>
    <cellStyle name="Normal 2 5 6 2 2 3" xfId="24574" xr:uid="{024CC948-D721-42B5-A3CA-5BA030D39841}"/>
    <cellStyle name="Normal 2 5 6 2 2 4" xfId="33021" xr:uid="{87D7778E-477B-4B64-9460-D3839CD4519F}"/>
    <cellStyle name="Normal 2 5 6 2 3" xfId="11909" xr:uid="{1E4152BD-1D19-4571-BBCC-1A8E1265A35A}"/>
    <cellStyle name="Normal 2 5 6 2 4" xfId="20357" xr:uid="{1E6D5AE3-E1BB-4598-808F-A73BE19FE173}"/>
    <cellStyle name="Normal 2 5 6 2 5" xfId="28804" xr:uid="{1FB36035-E854-4898-82E1-686380D083E3}"/>
    <cellStyle name="Normal 2 5 6 3" xfId="5532" xr:uid="{00000000-0005-0000-0000-00006C110000}"/>
    <cellStyle name="Normal 2 5 6 3 2" xfId="13982" xr:uid="{684ACA9F-7E81-4AF2-A267-262F9B51876C}"/>
    <cellStyle name="Normal 2 5 6 3 3" xfId="22429" xr:uid="{2B52AA71-4301-4617-8CDA-107DFA005357}"/>
    <cellStyle name="Normal 2 5 6 3 4" xfId="30876" xr:uid="{A01DB126-63BD-4750-B329-F13568F54E14}"/>
    <cellStyle name="Normal 2 5 6 4" xfId="9764" xr:uid="{235E9F93-BEB8-4B12-BA89-DFE54BE5B0A6}"/>
    <cellStyle name="Normal 2 5 6 5" xfId="18212" xr:uid="{6215947C-50CC-4D3C-9DCE-C62B49DC6342}"/>
    <cellStyle name="Normal 2 5 6 6" xfId="26659" xr:uid="{C9C3C356-C53D-4423-AB52-07C680E50542}"/>
    <cellStyle name="Normal 2 5 7" xfId="1638" xr:uid="{00000000-0005-0000-0000-00006D110000}"/>
    <cellStyle name="Normal 2 5 7 2" xfId="3868" xr:uid="{00000000-0005-0000-0000-00006E110000}"/>
    <cellStyle name="Normal 2 5 7 2 2" xfId="8090" xr:uid="{00000000-0005-0000-0000-00006F110000}"/>
    <cellStyle name="Normal 2 5 7 2 2 2" xfId="16540" xr:uid="{0CA1B02E-D0EA-488C-B79B-5F16B8F7D361}"/>
    <cellStyle name="Normal 2 5 7 2 2 3" xfId="24987" xr:uid="{71F01115-C3ED-44CC-83B4-C51F9CB07EB2}"/>
    <cellStyle name="Normal 2 5 7 2 2 4" xfId="33434" xr:uid="{CBD7078A-B2D0-4DCE-800A-5576864DF0AC}"/>
    <cellStyle name="Normal 2 5 7 2 3" xfId="12322" xr:uid="{449AF08E-12BC-4D3E-B640-48104C9E23E2}"/>
    <cellStyle name="Normal 2 5 7 2 4" xfId="20770" xr:uid="{3A59CCF4-23A8-4773-BEF4-3FB7D0314595}"/>
    <cellStyle name="Normal 2 5 7 2 5" xfId="29217" xr:uid="{1273AF8F-E223-412F-A808-DDABC1A9B8DD}"/>
    <cellStyle name="Normal 2 5 7 3" xfId="5945" xr:uid="{00000000-0005-0000-0000-000070110000}"/>
    <cellStyle name="Normal 2 5 7 3 2" xfId="14395" xr:uid="{6CA3CFBD-2ABC-467E-A105-1B975196B42D}"/>
    <cellStyle name="Normal 2 5 7 3 3" xfId="22842" xr:uid="{88E89378-1B88-4F73-90F7-EB0956A9050A}"/>
    <cellStyle name="Normal 2 5 7 3 4" xfId="31289" xr:uid="{D9ECD270-3908-4EC7-BC84-D4C119FD51D8}"/>
    <cellStyle name="Normal 2 5 7 4" xfId="10177" xr:uid="{AF1A03CB-FEBC-463D-A0F2-CF8FE6A7A6A0}"/>
    <cellStyle name="Normal 2 5 7 5" xfId="18625" xr:uid="{5EEA4FBB-B13C-477D-884B-44B81D14DE3B}"/>
    <cellStyle name="Normal 2 5 7 6" xfId="27072" xr:uid="{03567CF9-6E3C-440C-BA86-89D332BA2DEB}"/>
    <cellStyle name="Normal 2 5 8" xfId="2052" xr:uid="{00000000-0005-0000-0000-000071110000}"/>
    <cellStyle name="Normal 2 5 8 2" xfId="4281" xr:uid="{00000000-0005-0000-0000-000072110000}"/>
    <cellStyle name="Normal 2 5 8 2 2" xfId="8503" xr:uid="{00000000-0005-0000-0000-000073110000}"/>
    <cellStyle name="Normal 2 5 8 2 2 2" xfId="16953" xr:uid="{217E3653-D64D-48B0-A421-9C83B43714B0}"/>
    <cellStyle name="Normal 2 5 8 2 2 3" xfId="25400" xr:uid="{734AB6B8-8C98-4572-B36A-869A8CDB9EE5}"/>
    <cellStyle name="Normal 2 5 8 2 2 4" xfId="33847" xr:uid="{586C4C3B-E789-41E4-B638-F3046B1C1F6B}"/>
    <cellStyle name="Normal 2 5 8 2 3" xfId="12735" xr:uid="{7E151809-2441-4124-AA7E-5385E9ADBD61}"/>
    <cellStyle name="Normal 2 5 8 2 4" xfId="21183" xr:uid="{AE5D08AF-E109-4584-9DC0-132641324CFE}"/>
    <cellStyle name="Normal 2 5 8 2 5" xfId="29630" xr:uid="{35202618-951E-40C3-9EA6-B926AD1D22F3}"/>
    <cellStyle name="Normal 2 5 8 3" xfId="6358" xr:uid="{00000000-0005-0000-0000-000074110000}"/>
    <cellStyle name="Normal 2 5 8 3 2" xfId="14808" xr:uid="{0BC76D17-FD97-42B3-9DDB-898412FEBE36}"/>
    <cellStyle name="Normal 2 5 8 3 3" xfId="23255" xr:uid="{A5FA784D-7AFA-49AC-9A10-C1AA3DAABBB8}"/>
    <cellStyle name="Normal 2 5 8 3 4" xfId="31702" xr:uid="{217F661D-B2F5-4EC2-9E4C-0595B29E6D43}"/>
    <cellStyle name="Normal 2 5 8 4" xfId="10590" xr:uid="{C5346EF4-9921-454E-8A76-0BA4D6078E38}"/>
    <cellStyle name="Normal 2 5 8 5" xfId="19038" xr:uid="{5902EE0C-D631-4D51-8133-64985C8DD817}"/>
    <cellStyle name="Normal 2 5 8 6" xfId="27485" xr:uid="{C74ED241-FE70-49E5-96B0-48054FCD5A9A}"/>
    <cellStyle name="Normal 2 5 9" xfId="2488" xr:uid="{00000000-0005-0000-0000-000075110000}"/>
    <cellStyle name="Normal 2 5 9 2" xfId="6771" xr:uid="{00000000-0005-0000-0000-000076110000}"/>
    <cellStyle name="Normal 2 5 9 2 2" xfId="15221" xr:uid="{EE8ED05B-A54A-4FEF-AC2C-191C950459EE}"/>
    <cellStyle name="Normal 2 5 9 2 3" xfId="23668" xr:uid="{A50AD48F-D8F2-493B-B4D4-F36C0A140756}"/>
    <cellStyle name="Normal 2 5 9 2 4" xfId="32115" xr:uid="{A5EE4D85-FF51-4A3C-8D26-6CFF6BB109A3}"/>
    <cellStyle name="Normal 2 5 9 3" xfId="11003" xr:uid="{0C12507A-E207-4A11-8467-8C39E3C26005}"/>
    <cellStyle name="Normal 2 5 9 4" xfId="19451" xr:uid="{9097496D-E7C4-401B-B632-B28946F38261}"/>
    <cellStyle name="Normal 2 5 9 5" xfId="27898" xr:uid="{1B65DBD7-402B-429A-BEA2-4F4EAE003E8F}"/>
    <cellStyle name="Normal 2 6" xfId="322" xr:uid="{00000000-0005-0000-0000-000077110000}"/>
    <cellStyle name="Normal 2 7" xfId="769" xr:uid="{00000000-0005-0000-0000-000078110000}"/>
    <cellStyle name="Normal 2 8" xfId="4495" xr:uid="{00000000-0005-0000-0000-000079110000}"/>
    <cellStyle name="Normal 2 8 2" xfId="12947" xr:uid="{A4D757C6-5226-4A82-957F-70B6FBD2C958}"/>
    <cellStyle name="Normal 3" xfId="323" xr:uid="{00000000-0005-0000-0000-00007A110000}"/>
    <cellStyle name="Normal 3 2" xfId="324" xr:uid="{00000000-0005-0000-0000-00007B110000}"/>
    <cellStyle name="Normal 3 2 10" xfId="8942" xr:uid="{AEB66F68-F898-45DF-9C76-6BEC859756EF}"/>
    <cellStyle name="Normal 3 2 11" xfId="17390" xr:uid="{262470D8-4C5D-44A1-B941-45B9B634D36F}"/>
    <cellStyle name="Normal 3 2 12" xfId="25837" xr:uid="{389357CF-0AB9-4319-B5FD-02280C5C76B4}"/>
    <cellStyle name="Normal 3 2 2" xfId="325" xr:uid="{00000000-0005-0000-0000-00007C110000}"/>
    <cellStyle name="Normal 3 2 2 2" xfId="810" xr:uid="{00000000-0005-0000-0000-00007D110000}"/>
    <cellStyle name="Normal 3 2 3" xfId="326" xr:uid="{00000000-0005-0000-0000-00007E110000}"/>
    <cellStyle name="Normal 3 2 3 10" xfId="8943" xr:uid="{BB106D50-3C4B-4E45-AA2B-8DB234A1A02B}"/>
    <cellStyle name="Normal 3 2 3 11" xfId="17391" xr:uid="{52EBFBAD-A164-4F62-BD1A-71FF5C548D37}"/>
    <cellStyle name="Normal 3 2 3 12" xfId="25838" xr:uid="{08D223FF-DEC4-407C-A433-2DB1DF52B2D7}"/>
    <cellStyle name="Normal 3 2 3 2" xfId="327" xr:uid="{00000000-0005-0000-0000-00007F110000}"/>
    <cellStyle name="Normal 3 2 3 2 10" xfId="17392" xr:uid="{D4F7490D-87B4-4F15-882C-1E198B74090B}"/>
    <cellStyle name="Normal 3 2 3 2 11" xfId="25839" xr:uid="{A9E21076-ADFA-43B4-997D-F29D1703EEC8}"/>
    <cellStyle name="Normal 3 2 3 2 2" xfId="328" xr:uid="{00000000-0005-0000-0000-000080110000}"/>
    <cellStyle name="Normal 3 2 3 2 2 10" xfId="25840" xr:uid="{A53F3943-45DD-46A6-99B0-19D2D7861EF8}"/>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79B4B9AE-483A-40CF-8159-9AE93BFC2366}"/>
    <cellStyle name="Normal 3 2 3 2 2 2 2 2 3" xfId="24169" xr:uid="{3AFFC786-2491-4AEB-991B-84BAD5D2AAEF}"/>
    <cellStyle name="Normal 3 2 3 2 2 2 2 2 4" xfId="32616" xr:uid="{5E367324-41CA-410F-B34C-EC5273142FAE}"/>
    <cellStyle name="Normal 3 2 3 2 2 2 2 3" xfId="11504" xr:uid="{1A9C6F7E-1DAF-4AB2-AA7B-2451957F8CD4}"/>
    <cellStyle name="Normal 3 2 3 2 2 2 2 4" xfId="19952" xr:uid="{23D9FD9A-8839-4ACF-8B33-350A54BFAB90}"/>
    <cellStyle name="Normal 3 2 3 2 2 2 2 5" xfId="28399" xr:uid="{EF42C9EB-633F-4D9E-ACE0-45F29F42498A}"/>
    <cellStyle name="Normal 3 2 3 2 2 2 3" xfId="5127" xr:uid="{00000000-0005-0000-0000-000084110000}"/>
    <cellStyle name="Normal 3 2 3 2 2 2 3 2" xfId="13577" xr:uid="{4CC80DBC-6B9E-4BBF-A50A-8DE47F4E8877}"/>
    <cellStyle name="Normal 3 2 3 2 2 2 3 3" xfId="22024" xr:uid="{A5CAB282-A3CF-4971-A051-694EAF33C254}"/>
    <cellStyle name="Normal 3 2 3 2 2 2 3 4" xfId="30471" xr:uid="{0FF40B08-B8EA-42B9-9D72-3666C1CEEF10}"/>
    <cellStyle name="Normal 3 2 3 2 2 2 4" xfId="9359" xr:uid="{E66C987B-ACA3-4FD7-9271-E3CF599DA3E5}"/>
    <cellStyle name="Normal 3 2 3 2 2 2 5" xfId="17807" xr:uid="{DE1A31D4-6FDD-4A4A-850D-71B78C939D20}"/>
    <cellStyle name="Normal 3 2 3 2 2 2 6" xfId="26254" xr:uid="{00081A1B-2544-4BAA-B2F3-D031F56391EE}"/>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0AE60C0A-9A06-4233-A880-F8925DB1D5B0}"/>
    <cellStyle name="Normal 3 2 3 2 2 3 2 2 3" xfId="24582" xr:uid="{02B01E9D-C450-429F-9B93-58B24E6E5535}"/>
    <cellStyle name="Normal 3 2 3 2 2 3 2 2 4" xfId="33029" xr:uid="{25C99ED9-AE52-4F1B-BCDB-A371DB59C01F}"/>
    <cellStyle name="Normal 3 2 3 2 2 3 2 3" xfId="11917" xr:uid="{BAFFF5DB-DE76-4DC2-A3E1-A711D27A6F68}"/>
    <cellStyle name="Normal 3 2 3 2 2 3 2 4" xfId="20365" xr:uid="{9AA234AB-34DB-4451-80AB-30B0716D9602}"/>
    <cellStyle name="Normal 3 2 3 2 2 3 2 5" xfId="28812" xr:uid="{8E62ADCF-3E85-49EA-9A55-B9E2C8579922}"/>
    <cellStyle name="Normal 3 2 3 2 2 3 3" xfId="5540" xr:uid="{00000000-0005-0000-0000-000088110000}"/>
    <cellStyle name="Normal 3 2 3 2 2 3 3 2" xfId="13990" xr:uid="{39539D66-2BB2-42A7-9FCB-337CEA04DB79}"/>
    <cellStyle name="Normal 3 2 3 2 2 3 3 3" xfId="22437" xr:uid="{342EFC54-1CA4-45D3-82DB-0EF83A9DB63C}"/>
    <cellStyle name="Normal 3 2 3 2 2 3 3 4" xfId="30884" xr:uid="{2EF3B333-7A3A-43E6-8095-A9B6CDC40589}"/>
    <cellStyle name="Normal 3 2 3 2 2 3 4" xfId="9772" xr:uid="{D2727D3F-0EA1-45E0-9267-0F4829A6345F}"/>
    <cellStyle name="Normal 3 2 3 2 2 3 5" xfId="18220" xr:uid="{4C97924D-F8F6-43B2-8CE7-E293B26C0A15}"/>
    <cellStyle name="Normal 3 2 3 2 2 3 6" xfId="26667" xr:uid="{2F70608C-9BCB-432C-B8DD-C65FB9A70B4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16C9B958-F9F9-4FA2-9A7F-F6957D9CE003}"/>
    <cellStyle name="Normal 3 2 3 2 2 4 2 2 3" xfId="24995" xr:uid="{C6E3C2DC-DC1A-4268-9E63-CFD89329F3E1}"/>
    <cellStyle name="Normal 3 2 3 2 2 4 2 2 4" xfId="33442" xr:uid="{C2DD936A-111A-4BAF-9CA2-151475DA88CC}"/>
    <cellStyle name="Normal 3 2 3 2 2 4 2 3" xfId="12330" xr:uid="{53EDB556-71E3-42A1-B4DE-1EAF58ECBE88}"/>
    <cellStyle name="Normal 3 2 3 2 2 4 2 4" xfId="20778" xr:uid="{936406B2-1E42-4FFD-B0C6-9AD6CEA87B10}"/>
    <cellStyle name="Normal 3 2 3 2 2 4 2 5" xfId="29225" xr:uid="{879F0F2C-CB61-498B-B877-8446022C6233}"/>
    <cellStyle name="Normal 3 2 3 2 2 4 3" xfId="5953" xr:uid="{00000000-0005-0000-0000-00008C110000}"/>
    <cellStyle name="Normal 3 2 3 2 2 4 3 2" xfId="14403" xr:uid="{A88EA396-FC47-481D-A577-571B3550BDD9}"/>
    <cellStyle name="Normal 3 2 3 2 2 4 3 3" xfId="22850" xr:uid="{9363E10A-B9CF-4B26-B63A-0DF03197C3F1}"/>
    <cellStyle name="Normal 3 2 3 2 2 4 3 4" xfId="31297" xr:uid="{1BD3AE3F-97D3-4906-8075-3B2DA9FF693F}"/>
    <cellStyle name="Normal 3 2 3 2 2 4 4" xfId="10185" xr:uid="{C7D2BC7E-4D54-41F0-8679-2BD42AC5FAA1}"/>
    <cellStyle name="Normal 3 2 3 2 2 4 5" xfId="18633" xr:uid="{9736B8E5-4885-40A0-8618-36CC261084D1}"/>
    <cellStyle name="Normal 3 2 3 2 2 4 6" xfId="27080" xr:uid="{2929CCAB-1F4E-4845-A0B5-BF59997AAB96}"/>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DB3250DF-6929-4E83-92BC-2B05B92971E5}"/>
    <cellStyle name="Normal 3 2 3 2 2 5 2 2 3" xfId="25408" xr:uid="{6614B36E-9C44-4162-9CAD-D683BE5B07F3}"/>
    <cellStyle name="Normal 3 2 3 2 2 5 2 2 4" xfId="33855" xr:uid="{0C482130-15D7-41A5-BF44-F5F7FC842283}"/>
    <cellStyle name="Normal 3 2 3 2 2 5 2 3" xfId="12743" xr:uid="{EEAA97CE-FA4B-45D6-B80F-08244E8EC66A}"/>
    <cellStyle name="Normal 3 2 3 2 2 5 2 4" xfId="21191" xr:uid="{C0933FFE-BC4F-4B6F-AFE0-2F97BC1ACF2F}"/>
    <cellStyle name="Normal 3 2 3 2 2 5 2 5" xfId="29638" xr:uid="{2BEAD50D-1A5D-49CC-99EE-879C2212A883}"/>
    <cellStyle name="Normal 3 2 3 2 2 5 3" xfId="6366" xr:uid="{00000000-0005-0000-0000-000090110000}"/>
    <cellStyle name="Normal 3 2 3 2 2 5 3 2" xfId="14816" xr:uid="{4F32A970-78FB-4EE9-85FF-14F685757723}"/>
    <cellStyle name="Normal 3 2 3 2 2 5 3 3" xfId="23263" xr:uid="{5D8B1CA1-30C2-4D19-8AD4-65EC3957FA9F}"/>
    <cellStyle name="Normal 3 2 3 2 2 5 3 4" xfId="31710" xr:uid="{10D2AFC8-B899-463E-8BC5-3EDF402D8DB3}"/>
    <cellStyle name="Normal 3 2 3 2 2 5 4" xfId="10598" xr:uid="{BA13793F-DDEC-4C34-A043-25B89691E105}"/>
    <cellStyle name="Normal 3 2 3 2 2 5 5" xfId="19046" xr:uid="{FB12A668-32A5-4DC8-BD0F-616B605E89DC}"/>
    <cellStyle name="Normal 3 2 3 2 2 5 6" xfId="27493" xr:uid="{4EF5630C-02F5-48B8-BAD5-5F4C3EC05BD4}"/>
    <cellStyle name="Normal 3 2 3 2 2 6" xfId="2496" xr:uid="{00000000-0005-0000-0000-000091110000}"/>
    <cellStyle name="Normal 3 2 3 2 2 6 2" xfId="6779" xr:uid="{00000000-0005-0000-0000-000092110000}"/>
    <cellStyle name="Normal 3 2 3 2 2 6 2 2" xfId="15229" xr:uid="{23D5F721-85C6-4286-9C6E-E0FC4B04CE23}"/>
    <cellStyle name="Normal 3 2 3 2 2 6 2 3" xfId="23676" xr:uid="{A4231B89-C5AF-450D-BBD7-EF479E439679}"/>
    <cellStyle name="Normal 3 2 3 2 2 6 2 4" xfId="32123" xr:uid="{A5FDE6E0-D11D-443C-BAAA-0C0B41C7A587}"/>
    <cellStyle name="Normal 3 2 3 2 2 6 3" xfId="11011" xr:uid="{D6DF6438-340F-40B1-87E2-6B8333151877}"/>
    <cellStyle name="Normal 3 2 3 2 2 6 4" xfId="19459" xr:uid="{A2118300-0D8B-404D-97C8-672278D5A3B0}"/>
    <cellStyle name="Normal 3 2 3 2 2 6 5" xfId="27906" xr:uid="{64A14298-59CE-4440-90B2-9396D4E42F7A}"/>
    <cellStyle name="Normal 3 2 3 2 2 7" xfId="4713" xr:uid="{00000000-0005-0000-0000-000093110000}"/>
    <cellStyle name="Normal 3 2 3 2 2 7 2" xfId="13163" xr:uid="{AF07F280-4466-465D-8CC2-4DC3D5CC0958}"/>
    <cellStyle name="Normal 3 2 3 2 2 7 3" xfId="21610" xr:uid="{A75537AB-F636-43A3-9014-16803B9F5E92}"/>
    <cellStyle name="Normal 3 2 3 2 2 7 4" xfId="30057" xr:uid="{B43D96BB-D25B-47F7-B4BB-57487815C2A6}"/>
    <cellStyle name="Normal 3 2 3 2 2 8" xfId="8945" xr:uid="{6CA872CB-E089-43D6-BAC0-EDC26035BCE2}"/>
    <cellStyle name="Normal 3 2 3 2 2 9" xfId="17393" xr:uid="{C2D7C88C-75CA-40C7-A066-1BDA7910B66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28F44A7F-0FA9-4CC6-B2B0-DF0F61ADAD71}"/>
    <cellStyle name="Normal 3 2 3 2 3 2 2 3" xfId="24168" xr:uid="{6A25D637-09BB-41D1-A98E-B59A38EC1673}"/>
    <cellStyle name="Normal 3 2 3 2 3 2 2 4" xfId="32615" xr:uid="{AEA00B39-5D93-463B-A114-105DC3C7BF97}"/>
    <cellStyle name="Normal 3 2 3 2 3 2 3" xfId="11503" xr:uid="{39DB9B06-FAA1-4AA1-95F5-9B9B8214D71A}"/>
    <cellStyle name="Normal 3 2 3 2 3 2 4" xfId="19951" xr:uid="{2D41CC31-66EF-49E1-A425-2505D6653B42}"/>
    <cellStyle name="Normal 3 2 3 2 3 2 5" xfId="28398" xr:uid="{413FEECC-222D-42F1-93A9-6221C77D7F22}"/>
    <cellStyle name="Normal 3 2 3 2 3 3" xfId="5126" xr:uid="{00000000-0005-0000-0000-000097110000}"/>
    <cellStyle name="Normal 3 2 3 2 3 3 2" xfId="13576" xr:uid="{89E01006-F8F6-4E35-91F5-3085A03F30C0}"/>
    <cellStyle name="Normal 3 2 3 2 3 3 3" xfId="22023" xr:uid="{0A5EFA14-1B9A-46F0-B35B-048F2607CAFE}"/>
    <cellStyle name="Normal 3 2 3 2 3 3 4" xfId="30470" xr:uid="{DCFB7AD6-F58D-4C3D-8C94-2CAF9FCFB248}"/>
    <cellStyle name="Normal 3 2 3 2 3 4" xfId="9358" xr:uid="{F003BC99-4EC7-4416-8711-CD404AE7205A}"/>
    <cellStyle name="Normal 3 2 3 2 3 5" xfId="17806" xr:uid="{652D9A5A-34AF-4210-AA13-774031F0E8D1}"/>
    <cellStyle name="Normal 3 2 3 2 3 6" xfId="26253" xr:uid="{70767737-1757-4175-B5AD-CA3FB23C71A8}"/>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85FB226B-C163-4D1A-8C80-FF86E4CF4E9E}"/>
    <cellStyle name="Normal 3 2 3 2 4 2 2 3" xfId="24581" xr:uid="{4640A70C-6BBC-4272-8F0B-A88D26FD77E3}"/>
    <cellStyle name="Normal 3 2 3 2 4 2 2 4" xfId="33028" xr:uid="{ECC0749D-7B68-460C-9FD0-C471868FEACB}"/>
    <cellStyle name="Normal 3 2 3 2 4 2 3" xfId="11916" xr:uid="{7B91D4C0-D6FE-4B21-8334-0DAA012F6904}"/>
    <cellStyle name="Normal 3 2 3 2 4 2 4" xfId="20364" xr:uid="{18635161-592E-4690-BF2A-C960A82799FE}"/>
    <cellStyle name="Normal 3 2 3 2 4 2 5" xfId="28811" xr:uid="{B4582D6D-C2B5-4116-A0C1-A1625102778E}"/>
    <cellStyle name="Normal 3 2 3 2 4 3" xfId="5539" xr:uid="{00000000-0005-0000-0000-00009B110000}"/>
    <cellStyle name="Normal 3 2 3 2 4 3 2" xfId="13989" xr:uid="{E3DFA396-9723-4909-ADEE-7361794E82B7}"/>
    <cellStyle name="Normal 3 2 3 2 4 3 3" xfId="22436" xr:uid="{EA98F854-7C62-4D59-A543-2B4BF4796669}"/>
    <cellStyle name="Normal 3 2 3 2 4 3 4" xfId="30883" xr:uid="{57F6D7D1-E420-4822-BCC5-6DA457112130}"/>
    <cellStyle name="Normal 3 2 3 2 4 4" xfId="9771" xr:uid="{7F810850-658F-4CA6-A104-CBB75D31F499}"/>
    <cellStyle name="Normal 3 2 3 2 4 5" xfId="18219" xr:uid="{E8888FEB-AFC0-4F13-ADF5-5F8F2FE8538C}"/>
    <cellStyle name="Normal 3 2 3 2 4 6" xfId="26666" xr:uid="{0C5D7850-3B9D-425B-B9BC-1371C8E1096B}"/>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0CB403C4-A459-4A0C-B8D6-2C392EC18635}"/>
    <cellStyle name="Normal 3 2 3 2 5 2 2 3" xfId="24994" xr:uid="{A575C60E-9BFA-448E-975C-DBDF11FED384}"/>
    <cellStyle name="Normal 3 2 3 2 5 2 2 4" xfId="33441" xr:uid="{88913153-51D7-4A40-95FD-822552FCA76B}"/>
    <cellStyle name="Normal 3 2 3 2 5 2 3" xfId="12329" xr:uid="{2E684B89-62A2-4275-8BB5-3BD6EED77F6E}"/>
    <cellStyle name="Normal 3 2 3 2 5 2 4" xfId="20777" xr:uid="{CCDFFEBF-C5B8-457B-BC6F-5C23FECF98D1}"/>
    <cellStyle name="Normal 3 2 3 2 5 2 5" xfId="29224" xr:uid="{0444532E-89C6-4C89-A0CB-C711C66AACCF}"/>
    <cellStyle name="Normal 3 2 3 2 5 3" xfId="5952" xr:uid="{00000000-0005-0000-0000-00009F110000}"/>
    <cellStyle name="Normal 3 2 3 2 5 3 2" xfId="14402" xr:uid="{2CC01EF6-A87C-4659-AA05-F066A3423548}"/>
    <cellStyle name="Normal 3 2 3 2 5 3 3" xfId="22849" xr:uid="{58081786-ACB8-47DD-B1B9-F20DF8A7C316}"/>
    <cellStyle name="Normal 3 2 3 2 5 3 4" xfId="31296" xr:uid="{037F7C01-31BA-408C-A268-EDA22514993B}"/>
    <cellStyle name="Normal 3 2 3 2 5 4" xfId="10184" xr:uid="{5163A97E-4F9E-4AAC-986B-34511E096A16}"/>
    <cellStyle name="Normal 3 2 3 2 5 5" xfId="18632" xr:uid="{E42BFC00-DEE2-460D-B3A9-DEF064FD1FD9}"/>
    <cellStyle name="Normal 3 2 3 2 5 6" xfId="27079" xr:uid="{E7C4A3D2-86E5-441A-84F6-B81A4B6A1FC5}"/>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92D56A21-1930-4EB0-A19A-F90C57F3A5D3}"/>
    <cellStyle name="Normal 3 2 3 2 6 2 2 3" xfId="25407" xr:uid="{4A5672FE-7433-4D39-9A53-2D2298CF27F6}"/>
    <cellStyle name="Normal 3 2 3 2 6 2 2 4" xfId="33854" xr:uid="{C195B30B-AC98-4E41-9618-0286946F3E9D}"/>
    <cellStyle name="Normal 3 2 3 2 6 2 3" xfId="12742" xr:uid="{42FD14C8-C0FD-4029-80CF-0E3A270201D7}"/>
    <cellStyle name="Normal 3 2 3 2 6 2 4" xfId="21190" xr:uid="{556EE837-01CA-4B28-A6B7-673E3E32421F}"/>
    <cellStyle name="Normal 3 2 3 2 6 2 5" xfId="29637" xr:uid="{06D4C5D8-AB3C-4816-81F7-9CF42E99A417}"/>
    <cellStyle name="Normal 3 2 3 2 6 3" xfId="6365" xr:uid="{00000000-0005-0000-0000-0000A3110000}"/>
    <cellStyle name="Normal 3 2 3 2 6 3 2" xfId="14815" xr:uid="{C0F341FE-D23C-44CD-BD07-A52D496F6018}"/>
    <cellStyle name="Normal 3 2 3 2 6 3 3" xfId="23262" xr:uid="{B8A11DC6-4CC5-489B-8ED2-BE6B575C5162}"/>
    <cellStyle name="Normal 3 2 3 2 6 3 4" xfId="31709" xr:uid="{570D15A1-838C-4924-9178-04DCAB5CDE7C}"/>
    <cellStyle name="Normal 3 2 3 2 6 4" xfId="10597" xr:uid="{B7321762-2637-40A2-8971-9BA08C373C95}"/>
    <cellStyle name="Normal 3 2 3 2 6 5" xfId="19045" xr:uid="{EE653152-F5EC-485C-A842-7B425F5DD0A0}"/>
    <cellStyle name="Normal 3 2 3 2 6 6" xfId="27492" xr:uid="{0498D1C9-4DE5-4FCA-910E-A3489F0F80ED}"/>
    <cellStyle name="Normal 3 2 3 2 7" xfId="2495" xr:uid="{00000000-0005-0000-0000-0000A4110000}"/>
    <cellStyle name="Normal 3 2 3 2 7 2" xfId="6778" xr:uid="{00000000-0005-0000-0000-0000A5110000}"/>
    <cellStyle name="Normal 3 2 3 2 7 2 2" xfId="15228" xr:uid="{C8F017D2-05E3-46E8-8F71-7B7B45095F17}"/>
    <cellStyle name="Normal 3 2 3 2 7 2 3" xfId="23675" xr:uid="{39F70039-DBBA-4D72-AE82-7E2ABADF0532}"/>
    <cellStyle name="Normal 3 2 3 2 7 2 4" xfId="32122" xr:uid="{B707E613-AA44-44AC-B8C5-974500FE2CF9}"/>
    <cellStyle name="Normal 3 2 3 2 7 3" xfId="11010" xr:uid="{6D86848A-65DC-424A-95B5-236960478FE5}"/>
    <cellStyle name="Normal 3 2 3 2 7 4" xfId="19458" xr:uid="{4B7FFE7D-D965-4B9D-AAFA-3F2FF33BC1A0}"/>
    <cellStyle name="Normal 3 2 3 2 7 5" xfId="27905" xr:uid="{8BC26CF0-981F-4694-8BC4-BB3614B2ACA0}"/>
    <cellStyle name="Normal 3 2 3 2 8" xfId="4712" xr:uid="{00000000-0005-0000-0000-0000A6110000}"/>
    <cellStyle name="Normal 3 2 3 2 8 2" xfId="13162" xr:uid="{D81C2A4A-A85C-4C25-890A-85362E543554}"/>
    <cellStyle name="Normal 3 2 3 2 8 3" xfId="21609" xr:uid="{610F980B-FB75-47CC-9AF8-6B6E2BA17004}"/>
    <cellStyle name="Normal 3 2 3 2 8 4" xfId="30056" xr:uid="{3028A3F1-FDEF-46BE-B18D-D8336A856BCB}"/>
    <cellStyle name="Normal 3 2 3 2 9" xfId="8944" xr:uid="{F87BBB00-DB22-4133-95D4-0C1F0A80FA4D}"/>
    <cellStyle name="Normal 3 2 3 3" xfId="329" xr:uid="{00000000-0005-0000-0000-0000A7110000}"/>
    <cellStyle name="Normal 3 2 3 3 10" xfId="25841" xr:uid="{F9174FF5-358A-4DB3-BB81-FBC561150563}"/>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AE4ACE77-B915-4030-837B-E00B8B60A930}"/>
    <cellStyle name="Normal 3 2 3 3 2 2 2 3" xfId="24170" xr:uid="{789BCE1C-CFBB-4CB3-BC60-C1BC9505DF9C}"/>
    <cellStyle name="Normal 3 2 3 3 2 2 2 4" xfId="32617" xr:uid="{2E2011DE-3AB6-49E2-8FF9-858F7FFBFD40}"/>
    <cellStyle name="Normal 3 2 3 3 2 2 3" xfId="11505" xr:uid="{7E968A14-357A-408E-A336-7BFC3BC92646}"/>
    <cellStyle name="Normal 3 2 3 3 2 2 4" xfId="19953" xr:uid="{10AF40A9-432F-4CE5-B7BD-BD05F2F2E34C}"/>
    <cellStyle name="Normal 3 2 3 3 2 2 5" xfId="28400" xr:uid="{7D2C1679-618C-40E8-83B8-24147C9939E9}"/>
    <cellStyle name="Normal 3 2 3 3 2 3" xfId="5128" xr:uid="{00000000-0005-0000-0000-0000AB110000}"/>
    <cellStyle name="Normal 3 2 3 3 2 3 2" xfId="13578" xr:uid="{ADDF641B-2810-4848-A5A1-07DF512622F8}"/>
    <cellStyle name="Normal 3 2 3 3 2 3 3" xfId="22025" xr:uid="{54A88FFF-088D-4E8A-ADA1-08803A161A4E}"/>
    <cellStyle name="Normal 3 2 3 3 2 3 4" xfId="30472" xr:uid="{D1AA710F-C9C1-4E02-8143-AF1B42DAEBB7}"/>
    <cellStyle name="Normal 3 2 3 3 2 4" xfId="9360" xr:uid="{2BB14970-5DDA-418A-AE0E-B135BF89164E}"/>
    <cellStyle name="Normal 3 2 3 3 2 5" xfId="17808" xr:uid="{16649D33-2DBF-4847-BEF7-EEBD58793090}"/>
    <cellStyle name="Normal 3 2 3 3 2 6" xfId="26255" xr:uid="{0B17168E-EFAC-4429-BD88-D751D94EFE69}"/>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42D2E6CD-D8EB-4BF9-8915-4B1EBF2D411A}"/>
    <cellStyle name="Normal 3 2 3 3 3 2 2 3" xfId="24583" xr:uid="{C0D3F58B-E147-4C6A-8117-75E1EB37AC00}"/>
    <cellStyle name="Normal 3 2 3 3 3 2 2 4" xfId="33030" xr:uid="{3C0A6C62-E95B-412C-A401-BB6B9A0980B5}"/>
    <cellStyle name="Normal 3 2 3 3 3 2 3" xfId="11918" xr:uid="{D7F4E62C-FE5C-4150-A728-30C759A7EB89}"/>
    <cellStyle name="Normal 3 2 3 3 3 2 4" xfId="20366" xr:uid="{1A9512F7-9465-43C0-A1F0-D2A72D94A23B}"/>
    <cellStyle name="Normal 3 2 3 3 3 2 5" xfId="28813" xr:uid="{0E01BA46-5599-4E5D-9ECE-861907FBF31D}"/>
    <cellStyle name="Normal 3 2 3 3 3 3" xfId="5541" xr:uid="{00000000-0005-0000-0000-0000AF110000}"/>
    <cellStyle name="Normal 3 2 3 3 3 3 2" xfId="13991" xr:uid="{0D26171D-67B5-49AE-BD50-3833F765AE72}"/>
    <cellStyle name="Normal 3 2 3 3 3 3 3" xfId="22438" xr:uid="{818C8D83-0641-4F13-AE9E-791ADB946144}"/>
    <cellStyle name="Normal 3 2 3 3 3 3 4" xfId="30885" xr:uid="{E478F8EE-EF6C-48B4-93C6-4436F9EC3BF0}"/>
    <cellStyle name="Normal 3 2 3 3 3 4" xfId="9773" xr:uid="{2628FADA-4A0C-44C0-8387-D0EF777FA812}"/>
    <cellStyle name="Normal 3 2 3 3 3 5" xfId="18221" xr:uid="{E2C19433-6B2B-483F-BE2F-6161D0149204}"/>
    <cellStyle name="Normal 3 2 3 3 3 6" xfId="26668" xr:uid="{7675C7CA-9CCB-47B4-BAC3-A87E85C17C15}"/>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EE901C88-A5FA-444C-BC51-84FB8B5CD7D2}"/>
    <cellStyle name="Normal 3 2 3 3 4 2 2 3" xfId="24996" xr:uid="{121EF9FB-5A1D-41E2-9A4E-C27DCA6D823F}"/>
    <cellStyle name="Normal 3 2 3 3 4 2 2 4" xfId="33443" xr:uid="{F972B889-E327-475B-BAF1-BAF4ED513818}"/>
    <cellStyle name="Normal 3 2 3 3 4 2 3" xfId="12331" xr:uid="{245A2E3B-1654-44ED-8D79-2F3118ED0867}"/>
    <cellStyle name="Normal 3 2 3 3 4 2 4" xfId="20779" xr:uid="{10FBA95D-0207-40EA-A43B-4578711BB2F6}"/>
    <cellStyle name="Normal 3 2 3 3 4 2 5" xfId="29226" xr:uid="{88AFD2C4-BCB3-47BE-A91B-14BC2FE5425A}"/>
    <cellStyle name="Normal 3 2 3 3 4 3" xfId="5954" xr:uid="{00000000-0005-0000-0000-0000B3110000}"/>
    <cellStyle name="Normal 3 2 3 3 4 3 2" xfId="14404" xr:uid="{B2938FBC-DF67-4B49-AE1C-D3849651420C}"/>
    <cellStyle name="Normal 3 2 3 3 4 3 3" xfId="22851" xr:uid="{D93C21B2-FB3B-4B93-AA15-3FA0C24BF991}"/>
    <cellStyle name="Normal 3 2 3 3 4 3 4" xfId="31298" xr:uid="{8176FA3E-58FE-44DC-8800-28D072A67AAA}"/>
    <cellStyle name="Normal 3 2 3 3 4 4" xfId="10186" xr:uid="{DF49DB73-A547-4669-AB7A-2E0335E80019}"/>
    <cellStyle name="Normal 3 2 3 3 4 5" xfId="18634" xr:uid="{06D15B7E-BEC5-4636-998D-97DCDC81EC4D}"/>
    <cellStyle name="Normal 3 2 3 3 4 6" xfId="27081" xr:uid="{19E6B2D9-03C8-429F-9EA5-4B6941E4F43C}"/>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0F39FA0-0223-4DFA-AB57-8DD8A498DA9D}"/>
    <cellStyle name="Normal 3 2 3 3 5 2 2 3" xfId="25409" xr:uid="{113AB464-C12D-48D9-89D6-829EFB755457}"/>
    <cellStyle name="Normal 3 2 3 3 5 2 2 4" xfId="33856" xr:uid="{D1A92743-DAD1-4C9F-9162-601DBABF7C48}"/>
    <cellStyle name="Normal 3 2 3 3 5 2 3" xfId="12744" xr:uid="{E6B27745-1DC2-41B9-A6AE-708A8A898F98}"/>
    <cellStyle name="Normal 3 2 3 3 5 2 4" xfId="21192" xr:uid="{3AAEE16A-2FA0-4A91-A86D-9853C43933CB}"/>
    <cellStyle name="Normal 3 2 3 3 5 2 5" xfId="29639" xr:uid="{2D019234-C008-4A0F-9F13-864959D82AB1}"/>
    <cellStyle name="Normal 3 2 3 3 5 3" xfId="6367" xr:uid="{00000000-0005-0000-0000-0000B7110000}"/>
    <cellStyle name="Normal 3 2 3 3 5 3 2" xfId="14817" xr:uid="{D065B849-1154-4A05-8351-05F90122A501}"/>
    <cellStyle name="Normal 3 2 3 3 5 3 3" xfId="23264" xr:uid="{13F9B45A-BD3C-4D9E-81B4-7FB29261ABC7}"/>
    <cellStyle name="Normal 3 2 3 3 5 3 4" xfId="31711" xr:uid="{FCCD567F-51D6-46DA-8CDE-5CD80B80FE33}"/>
    <cellStyle name="Normal 3 2 3 3 5 4" xfId="10599" xr:uid="{D786A9EE-8099-471B-B2C9-47C14F47E0E1}"/>
    <cellStyle name="Normal 3 2 3 3 5 5" xfId="19047" xr:uid="{5AB8E40D-45D2-49C4-A012-E3ACDA2A559A}"/>
    <cellStyle name="Normal 3 2 3 3 5 6" xfId="27494" xr:uid="{0DDA975F-67D7-4794-B10C-DF00C88E6181}"/>
    <cellStyle name="Normal 3 2 3 3 6" xfId="2497" xr:uid="{00000000-0005-0000-0000-0000B8110000}"/>
    <cellStyle name="Normal 3 2 3 3 6 2" xfId="6780" xr:uid="{00000000-0005-0000-0000-0000B9110000}"/>
    <cellStyle name="Normal 3 2 3 3 6 2 2" xfId="15230" xr:uid="{AEC1631D-ADE3-413F-85AE-0184DA18A6FA}"/>
    <cellStyle name="Normal 3 2 3 3 6 2 3" xfId="23677" xr:uid="{D006C16B-8251-46AD-86B0-72A7D49F10DD}"/>
    <cellStyle name="Normal 3 2 3 3 6 2 4" xfId="32124" xr:uid="{5111C7AA-3F7A-4DDC-A3A8-34F66FBFB764}"/>
    <cellStyle name="Normal 3 2 3 3 6 3" xfId="11012" xr:uid="{E4E16750-A5F6-480C-9117-AF56C00FAE49}"/>
    <cellStyle name="Normal 3 2 3 3 6 4" xfId="19460" xr:uid="{9DC4B0DB-8965-4FA1-8B39-3ADB04ACDCF3}"/>
    <cellStyle name="Normal 3 2 3 3 6 5" xfId="27907" xr:uid="{E00071A3-AD80-4C9E-823E-01C99344235B}"/>
    <cellStyle name="Normal 3 2 3 3 7" xfId="4714" xr:uid="{00000000-0005-0000-0000-0000BA110000}"/>
    <cellStyle name="Normal 3 2 3 3 7 2" xfId="13164" xr:uid="{B723498B-D736-4FA6-B078-C5A48775B77A}"/>
    <cellStyle name="Normal 3 2 3 3 7 3" xfId="21611" xr:uid="{962EEF6C-A670-4265-838B-BCB7BDBBF530}"/>
    <cellStyle name="Normal 3 2 3 3 7 4" xfId="30058" xr:uid="{AEAC5B47-535C-4B14-8233-FD3B21C6CCC8}"/>
    <cellStyle name="Normal 3 2 3 3 8" xfId="8946" xr:uid="{4B3E64CB-E089-4E49-8278-20C20961931C}"/>
    <cellStyle name="Normal 3 2 3 3 9" xfId="17394" xr:uid="{B7204CE1-CDBF-4299-98D6-38EC3D23B5D3}"/>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D7DE7146-7AA4-40A0-AF50-FEF8E68BF4D0}"/>
    <cellStyle name="Normal 3 2 3 4 2 2 3" xfId="24167" xr:uid="{F052554C-BE88-4EF4-A610-7E39817C2750}"/>
    <cellStyle name="Normal 3 2 3 4 2 2 4" xfId="32614" xr:uid="{57E9017E-67C2-41A6-BA9E-71718DDF03E8}"/>
    <cellStyle name="Normal 3 2 3 4 2 3" xfId="11502" xr:uid="{CBA7A8BF-FE90-4146-BEB8-1E5EEBE7D3D2}"/>
    <cellStyle name="Normal 3 2 3 4 2 4" xfId="19950" xr:uid="{E43C1F02-AA21-4D64-B161-639341457AC0}"/>
    <cellStyle name="Normal 3 2 3 4 2 5" xfId="28397" xr:uid="{DCF4872C-9AC9-410E-9654-0DC4EE1837D4}"/>
    <cellStyle name="Normal 3 2 3 4 3" xfId="5125" xr:uid="{00000000-0005-0000-0000-0000BE110000}"/>
    <cellStyle name="Normal 3 2 3 4 3 2" xfId="13575" xr:uid="{0DD19767-0D8A-48E6-8CE6-CCF7FE1AEE37}"/>
    <cellStyle name="Normal 3 2 3 4 3 3" xfId="22022" xr:uid="{BA5FF366-747C-4C4B-834E-35BA432A2887}"/>
    <cellStyle name="Normal 3 2 3 4 3 4" xfId="30469" xr:uid="{E4991548-FE66-4E61-826A-907FDEFFE06E}"/>
    <cellStyle name="Normal 3 2 3 4 4" xfId="9357" xr:uid="{7F6F99B5-B0AE-4B62-A86B-DDF5CCEA177B}"/>
    <cellStyle name="Normal 3 2 3 4 5" xfId="17805" xr:uid="{65FEA9B4-3625-40FD-ADDE-E0285FBD73A9}"/>
    <cellStyle name="Normal 3 2 3 4 6" xfId="26252" xr:uid="{141A32E2-3738-46E4-B6AE-FE907C54D65B}"/>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19873F03-D609-4F74-B5DE-581C2D0B1710}"/>
    <cellStyle name="Normal 3 2 3 5 2 2 3" xfId="24580" xr:uid="{0054225B-8383-4837-9CB9-0C57C734192A}"/>
    <cellStyle name="Normal 3 2 3 5 2 2 4" xfId="33027" xr:uid="{CC0D62A6-36E7-4C4D-8556-B2041FF57715}"/>
    <cellStyle name="Normal 3 2 3 5 2 3" xfId="11915" xr:uid="{14D1AECA-B23E-4F3F-91F9-9537588C3130}"/>
    <cellStyle name="Normal 3 2 3 5 2 4" xfId="20363" xr:uid="{3BA76EB7-83A4-487E-B9C5-C9FBB299F7DB}"/>
    <cellStyle name="Normal 3 2 3 5 2 5" xfId="28810" xr:uid="{3D71DA34-420C-477A-B3F8-03CA06023AB0}"/>
    <cellStyle name="Normal 3 2 3 5 3" xfId="5538" xr:uid="{00000000-0005-0000-0000-0000C2110000}"/>
    <cellStyle name="Normal 3 2 3 5 3 2" xfId="13988" xr:uid="{8EBA3815-C6EE-4429-A30E-399A10E84C2D}"/>
    <cellStyle name="Normal 3 2 3 5 3 3" xfId="22435" xr:uid="{A07394C8-7306-4F04-B54A-F7B0829992BA}"/>
    <cellStyle name="Normal 3 2 3 5 3 4" xfId="30882" xr:uid="{EB25F8E3-78E2-42B0-A90B-B0FC66E0D2A7}"/>
    <cellStyle name="Normal 3 2 3 5 4" xfId="9770" xr:uid="{ED2E74D9-83A2-4307-BB4F-5DE1A0EE410C}"/>
    <cellStyle name="Normal 3 2 3 5 5" xfId="18218" xr:uid="{DED89F41-2D3A-4922-9311-0B1F635160A7}"/>
    <cellStyle name="Normal 3 2 3 5 6" xfId="26665" xr:uid="{1DD3A665-35CC-46C3-8C76-18385885D03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434EE732-F1E2-4BF4-8E8A-7D65287052AD}"/>
    <cellStyle name="Normal 3 2 3 6 2 2 3" xfId="24993" xr:uid="{4B138515-43F2-4F26-A2EA-BC4BB2DD6A6C}"/>
    <cellStyle name="Normal 3 2 3 6 2 2 4" xfId="33440" xr:uid="{81030534-6179-4BB8-84AA-00632ABCDE6D}"/>
    <cellStyle name="Normal 3 2 3 6 2 3" xfId="12328" xr:uid="{1666BFBB-CF90-4F40-ADA1-39B4A374242A}"/>
    <cellStyle name="Normal 3 2 3 6 2 4" xfId="20776" xr:uid="{7A220A42-676D-48AA-BD76-071B6959F000}"/>
    <cellStyle name="Normal 3 2 3 6 2 5" xfId="29223" xr:uid="{E0D418EC-C420-4CB5-B173-5A9F08AFF7D6}"/>
    <cellStyle name="Normal 3 2 3 6 3" xfId="5951" xr:uid="{00000000-0005-0000-0000-0000C6110000}"/>
    <cellStyle name="Normal 3 2 3 6 3 2" xfId="14401" xr:uid="{3C587B11-B094-4342-8251-FA7DA07F4ACC}"/>
    <cellStyle name="Normal 3 2 3 6 3 3" xfId="22848" xr:uid="{32E4CA3D-369A-40CD-BA84-C3818085436E}"/>
    <cellStyle name="Normal 3 2 3 6 3 4" xfId="31295" xr:uid="{F57B1CEF-1A04-4503-980F-CDED38513CC0}"/>
    <cellStyle name="Normal 3 2 3 6 4" xfId="10183" xr:uid="{D1A6021D-70A1-49E6-AA1C-0B8E5C43401C}"/>
    <cellStyle name="Normal 3 2 3 6 5" xfId="18631" xr:uid="{A6B7F8E6-92E5-42D7-BA5B-FEC5FE9ACD21}"/>
    <cellStyle name="Normal 3 2 3 6 6" xfId="27078" xr:uid="{85228845-8858-433A-8DA8-06D57902D44F}"/>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E1747D77-FD91-41F1-9278-47A0BBDA0426}"/>
    <cellStyle name="Normal 3 2 3 7 2 2 3" xfId="25406" xr:uid="{74C2C629-C985-4661-BEC8-3804418EE9D8}"/>
    <cellStyle name="Normal 3 2 3 7 2 2 4" xfId="33853" xr:uid="{87E57107-2832-44B3-95CF-43AD05FB0CC9}"/>
    <cellStyle name="Normal 3 2 3 7 2 3" xfId="12741" xr:uid="{219692F3-4EDC-43C3-927F-A061515703CA}"/>
    <cellStyle name="Normal 3 2 3 7 2 4" xfId="21189" xr:uid="{4C195ECD-73D8-4D55-B41E-DF347BC7E447}"/>
    <cellStyle name="Normal 3 2 3 7 2 5" xfId="29636" xr:uid="{7304DB53-4BD8-492D-99D2-8242F22D60BD}"/>
    <cellStyle name="Normal 3 2 3 7 3" xfId="6364" xr:uid="{00000000-0005-0000-0000-0000CA110000}"/>
    <cellStyle name="Normal 3 2 3 7 3 2" xfId="14814" xr:uid="{4C43FA84-8C1A-4E43-89A3-49BBC5D11980}"/>
    <cellStyle name="Normal 3 2 3 7 3 3" xfId="23261" xr:uid="{EE0DF472-6643-4CA2-AE1F-22F690FC67BF}"/>
    <cellStyle name="Normal 3 2 3 7 3 4" xfId="31708" xr:uid="{5C330C00-5C2B-4B06-A098-1EA9C3F9C40C}"/>
    <cellStyle name="Normal 3 2 3 7 4" xfId="10596" xr:uid="{838DF14F-B907-4EC5-AF2E-CBFBA1FF9E73}"/>
    <cellStyle name="Normal 3 2 3 7 5" xfId="19044" xr:uid="{6CE4A24E-861C-4CD4-A728-DFD503D3D672}"/>
    <cellStyle name="Normal 3 2 3 7 6" xfId="27491" xr:uid="{AFA07029-78DB-4891-B507-E3B20F5C8C53}"/>
    <cellStyle name="Normal 3 2 3 8" xfId="2494" xr:uid="{00000000-0005-0000-0000-0000CB110000}"/>
    <cellStyle name="Normal 3 2 3 8 2" xfId="6777" xr:uid="{00000000-0005-0000-0000-0000CC110000}"/>
    <cellStyle name="Normal 3 2 3 8 2 2" xfId="15227" xr:uid="{2129B61B-96AD-438E-843C-E321143DB132}"/>
    <cellStyle name="Normal 3 2 3 8 2 3" xfId="23674" xr:uid="{F2D1F32B-34D4-4EA0-9503-E80A43A22EC0}"/>
    <cellStyle name="Normal 3 2 3 8 2 4" xfId="32121" xr:uid="{7A2DF026-2882-46F6-A1FF-E18A3ACAEA22}"/>
    <cellStyle name="Normal 3 2 3 8 3" xfId="11009" xr:uid="{2ED4C761-5633-4AD5-9466-220648815CCE}"/>
    <cellStyle name="Normal 3 2 3 8 4" xfId="19457" xr:uid="{473D35C3-B462-4ABC-AC59-4F37394EDE51}"/>
    <cellStyle name="Normal 3 2 3 8 5" xfId="27904" xr:uid="{BE63752F-95C7-4F0C-B9C3-4696E188FB1C}"/>
    <cellStyle name="Normal 3 2 3 9" xfId="4711" xr:uid="{00000000-0005-0000-0000-0000CD110000}"/>
    <cellStyle name="Normal 3 2 3 9 2" xfId="13161" xr:uid="{38DED8FF-8375-499B-8A88-4C1F9B35C505}"/>
    <cellStyle name="Normal 3 2 3 9 3" xfId="21608" xr:uid="{31BF4F84-8841-4DA1-B66E-5FA577150EB1}"/>
    <cellStyle name="Normal 3 2 3 9 4" xfId="30055" xr:uid="{77418591-7D16-422E-BD89-77DD21CE8D77}"/>
    <cellStyle name="Normal 3 2 4" xfId="809" xr:uid="{00000000-0005-0000-0000-0000CE110000}"/>
    <cellStyle name="Normal 3 2 4 2" xfId="3047" xr:uid="{00000000-0005-0000-0000-0000CF110000}"/>
    <cellStyle name="Normal 3 2 4 2 2" xfId="7269" xr:uid="{00000000-0005-0000-0000-0000D0110000}"/>
    <cellStyle name="Normal 3 2 4 2 2 2" xfId="15719" xr:uid="{E5B4D258-2698-43B8-9A08-32529C37F85C}"/>
    <cellStyle name="Normal 3 2 4 2 2 3" xfId="24166" xr:uid="{6263249F-7521-4150-B453-1BD08F4A73E8}"/>
    <cellStyle name="Normal 3 2 4 2 2 4" xfId="32613" xr:uid="{B29826F4-6CBC-4F01-A3D8-12052731CA59}"/>
    <cellStyle name="Normal 3 2 4 2 3" xfId="11501" xr:uid="{5BCD7C1E-D5F4-45A7-8BC1-F54715ECFF61}"/>
    <cellStyle name="Normal 3 2 4 2 4" xfId="19949" xr:uid="{8B218DB7-71D8-47E6-9D30-E481D6CBDC0E}"/>
    <cellStyle name="Normal 3 2 4 2 5" xfId="28396" xr:uid="{4FE8C7FA-7E7C-4EA8-AA47-242D767D5F5B}"/>
    <cellStyle name="Normal 3 2 4 3" xfId="5124" xr:uid="{00000000-0005-0000-0000-0000D1110000}"/>
    <cellStyle name="Normal 3 2 4 3 2" xfId="13574" xr:uid="{CC8F1305-7B1A-45EF-BB2F-A28BD1076DC6}"/>
    <cellStyle name="Normal 3 2 4 3 3" xfId="22021" xr:uid="{D5D1E2A2-E5AA-4536-872B-3D58378BC553}"/>
    <cellStyle name="Normal 3 2 4 3 4" xfId="30468" xr:uid="{386AF355-4C48-4FBA-B7F2-B3BB93492E31}"/>
    <cellStyle name="Normal 3 2 4 4" xfId="9356" xr:uid="{2240817B-87B8-4E24-BAFA-722BB7161668}"/>
    <cellStyle name="Normal 3 2 4 5" xfId="17804" xr:uid="{2557A671-5FB9-4544-B903-9C8D4D9B0CB1}"/>
    <cellStyle name="Normal 3 2 4 6" xfId="26251" xr:uid="{024E02B2-105C-4D75-98A9-E6ABE9C37166}"/>
    <cellStyle name="Normal 3 2 5" xfId="1230" xr:uid="{00000000-0005-0000-0000-0000D2110000}"/>
    <cellStyle name="Normal 3 2 5 2" xfId="3460" xr:uid="{00000000-0005-0000-0000-0000D3110000}"/>
    <cellStyle name="Normal 3 2 5 2 2" xfId="7682" xr:uid="{00000000-0005-0000-0000-0000D4110000}"/>
    <cellStyle name="Normal 3 2 5 2 2 2" xfId="16132" xr:uid="{13AD966F-7D24-4B62-B3E1-8676CC3F15EC}"/>
    <cellStyle name="Normal 3 2 5 2 2 3" xfId="24579" xr:uid="{5B374FE2-7390-4C30-B0CD-F4BD76C3D441}"/>
    <cellStyle name="Normal 3 2 5 2 2 4" xfId="33026" xr:uid="{EAE654F9-334E-473A-B37F-3FAC4E6A387C}"/>
    <cellStyle name="Normal 3 2 5 2 3" xfId="11914" xr:uid="{0D691EDC-9BB7-4D27-A30D-C59128502BB6}"/>
    <cellStyle name="Normal 3 2 5 2 4" xfId="20362" xr:uid="{DA8BD87E-F98A-48DF-BAB1-347EECD35476}"/>
    <cellStyle name="Normal 3 2 5 2 5" xfId="28809" xr:uid="{F984659A-199A-4360-B1A9-5F617FD7F8EB}"/>
    <cellStyle name="Normal 3 2 5 3" xfId="5537" xr:uid="{00000000-0005-0000-0000-0000D5110000}"/>
    <cellStyle name="Normal 3 2 5 3 2" xfId="13987" xr:uid="{36CB2165-3840-4B5B-B95F-847E469494A1}"/>
    <cellStyle name="Normal 3 2 5 3 3" xfId="22434" xr:uid="{452C7639-2FE1-4084-8AA8-5742A8DC42AF}"/>
    <cellStyle name="Normal 3 2 5 3 4" xfId="30881" xr:uid="{4FA6C077-B0A3-436E-A27F-62D11DD2D764}"/>
    <cellStyle name="Normal 3 2 5 4" xfId="9769" xr:uid="{9733A50F-D261-4236-B451-55360E8F1C11}"/>
    <cellStyle name="Normal 3 2 5 5" xfId="18217" xr:uid="{BB09CA7D-B4E6-40C0-8624-A5624CC9A3DC}"/>
    <cellStyle name="Normal 3 2 5 6" xfId="26664" xr:uid="{E2EB3D48-C871-4E58-B763-591E4DED6539}"/>
    <cellStyle name="Normal 3 2 6" xfId="1643" xr:uid="{00000000-0005-0000-0000-0000D6110000}"/>
    <cellStyle name="Normal 3 2 6 2" xfId="3873" xr:uid="{00000000-0005-0000-0000-0000D7110000}"/>
    <cellStyle name="Normal 3 2 6 2 2" xfId="8095" xr:uid="{00000000-0005-0000-0000-0000D8110000}"/>
    <cellStyle name="Normal 3 2 6 2 2 2" xfId="16545" xr:uid="{98FF8856-E35A-4E2D-A568-2067E18C4CB1}"/>
    <cellStyle name="Normal 3 2 6 2 2 3" xfId="24992" xr:uid="{1C0EE458-C6F4-4CDF-AFC7-E93B70C9F96F}"/>
    <cellStyle name="Normal 3 2 6 2 2 4" xfId="33439" xr:uid="{8EFC3DBF-F597-4ED6-85C1-71EF461CB820}"/>
    <cellStyle name="Normal 3 2 6 2 3" xfId="12327" xr:uid="{BE6F0D15-B93C-497F-8CBA-F46897457861}"/>
    <cellStyle name="Normal 3 2 6 2 4" xfId="20775" xr:uid="{EDD56FEF-9F01-46ED-A76D-76FD5D3B210D}"/>
    <cellStyle name="Normal 3 2 6 2 5" xfId="29222" xr:uid="{88883B10-424D-451D-B435-97E5047DFE12}"/>
    <cellStyle name="Normal 3 2 6 3" xfId="5950" xr:uid="{00000000-0005-0000-0000-0000D9110000}"/>
    <cellStyle name="Normal 3 2 6 3 2" xfId="14400" xr:uid="{63CB3D5D-9086-4EAC-994D-B2AB003088DB}"/>
    <cellStyle name="Normal 3 2 6 3 3" xfId="22847" xr:uid="{36140552-66E1-4D18-B40E-E12D1BCA5BE5}"/>
    <cellStyle name="Normal 3 2 6 3 4" xfId="31294" xr:uid="{7F116661-F576-4AC2-A56D-03A328678759}"/>
    <cellStyle name="Normal 3 2 6 4" xfId="10182" xr:uid="{A0B07B18-1B6E-4745-83BE-A0718C669962}"/>
    <cellStyle name="Normal 3 2 6 5" xfId="18630" xr:uid="{56D2CF25-81B0-4F83-997C-C0137B142860}"/>
    <cellStyle name="Normal 3 2 6 6" xfId="27077" xr:uid="{11FCC6A4-7EFD-4A24-ACF9-81E27859AF53}"/>
    <cellStyle name="Normal 3 2 7" xfId="2057" xr:uid="{00000000-0005-0000-0000-0000DA110000}"/>
    <cellStyle name="Normal 3 2 7 2" xfId="4286" xr:uid="{00000000-0005-0000-0000-0000DB110000}"/>
    <cellStyle name="Normal 3 2 7 2 2" xfId="8508" xr:uid="{00000000-0005-0000-0000-0000DC110000}"/>
    <cellStyle name="Normal 3 2 7 2 2 2" xfId="16958" xr:uid="{55FC531D-E5CC-4EC3-AC14-DFFD75A5A1AD}"/>
    <cellStyle name="Normal 3 2 7 2 2 3" xfId="25405" xr:uid="{51E1A29D-AE82-4984-910B-CC8C5523000B}"/>
    <cellStyle name="Normal 3 2 7 2 2 4" xfId="33852" xr:uid="{87085683-46F4-430D-8083-5F5FBBB5839F}"/>
    <cellStyle name="Normal 3 2 7 2 3" xfId="12740" xr:uid="{6A159154-57C4-497B-A76D-A9178E56E371}"/>
    <cellStyle name="Normal 3 2 7 2 4" xfId="21188" xr:uid="{0F4E4638-8122-47D7-9433-A68CFDEC618F}"/>
    <cellStyle name="Normal 3 2 7 2 5" xfId="29635" xr:uid="{F12709C8-6291-469E-A617-F840FC133BF9}"/>
    <cellStyle name="Normal 3 2 7 3" xfId="6363" xr:uid="{00000000-0005-0000-0000-0000DD110000}"/>
    <cellStyle name="Normal 3 2 7 3 2" xfId="14813" xr:uid="{63C4DC37-F2F0-44C4-AC58-D945A81A6F4B}"/>
    <cellStyle name="Normal 3 2 7 3 3" xfId="23260" xr:uid="{1A8347C1-72BA-4596-8B13-387760990505}"/>
    <cellStyle name="Normal 3 2 7 3 4" xfId="31707" xr:uid="{ABE5FE3B-AA9D-4774-8E5F-BEF2A61CBEC1}"/>
    <cellStyle name="Normal 3 2 7 4" xfId="10595" xr:uid="{B6A08422-B597-4881-8126-B5CCC27E2BBE}"/>
    <cellStyle name="Normal 3 2 7 5" xfId="19043" xr:uid="{59C25A6E-ABF3-4673-BEC1-5E5F81BB92CA}"/>
    <cellStyle name="Normal 3 2 7 6" xfId="27490" xr:uid="{C5B62744-2A95-41E1-9233-CAB125D5C636}"/>
    <cellStyle name="Normal 3 2 8" xfId="2493" xr:uid="{00000000-0005-0000-0000-0000DE110000}"/>
    <cellStyle name="Normal 3 2 8 2" xfId="6776" xr:uid="{00000000-0005-0000-0000-0000DF110000}"/>
    <cellStyle name="Normal 3 2 8 2 2" xfId="15226" xr:uid="{639C7386-9F82-4F1E-9D73-1504958A90A4}"/>
    <cellStyle name="Normal 3 2 8 2 3" xfId="23673" xr:uid="{35787B79-B4DC-4A5E-9C0D-3F408701753A}"/>
    <cellStyle name="Normal 3 2 8 2 4" xfId="32120" xr:uid="{8E7CD46F-4D21-4800-B5D5-7A4225DE9B87}"/>
    <cellStyle name="Normal 3 2 8 3" xfId="11008" xr:uid="{767665F2-6FA7-4EDC-8C11-1E35AEB26F76}"/>
    <cellStyle name="Normal 3 2 8 4" xfId="19456" xr:uid="{09622FBC-1CC3-475A-9624-DA38DDB9CBCC}"/>
    <cellStyle name="Normal 3 2 8 5" xfId="27903" xr:uid="{EA126AAB-0956-4361-A5DC-4F35E86B8AC4}"/>
    <cellStyle name="Normal 3 2 9" xfId="4710" xr:uid="{00000000-0005-0000-0000-0000E0110000}"/>
    <cellStyle name="Normal 3 2 9 2" xfId="13160" xr:uid="{B2B7EA0C-7FB7-45D8-A2FB-914983E268CA}"/>
    <cellStyle name="Normal 3 2 9 3" xfId="21607" xr:uid="{D6A63DD9-57D4-4FE7-ACCD-A38BDDE4AEBA}"/>
    <cellStyle name="Normal 3 2 9 4" xfId="30054" xr:uid="{5B97433B-1DE7-427F-9D34-1C7AAD4E9EA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3E896D9B-B9BC-49D2-9DFC-45DEF5BE2E0A}"/>
    <cellStyle name="Normal 4 11" xfId="17395" xr:uid="{4FCD6F17-9E60-462E-AC75-3FFBC94ACD31}"/>
    <cellStyle name="Normal 4 12" xfId="25842" xr:uid="{73369139-936F-48E7-87B6-B16045609FA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61189247-29DA-4495-8AC5-E8B4377EBFE1}"/>
    <cellStyle name="Normal 4 2 2 10 2 2 3" xfId="25410" xr:uid="{48AB4774-94A3-4DD5-B22A-47BD276B6BA1}"/>
    <cellStyle name="Normal 4 2 2 10 2 2 4" xfId="33857" xr:uid="{DA2BC4D4-14F6-49D9-9C8A-074E5F7F3B97}"/>
    <cellStyle name="Normal 4 2 2 10 2 3" xfId="12745" xr:uid="{241C4F1D-6E3A-42CA-A3EA-F1F6BDB8803A}"/>
    <cellStyle name="Normal 4 2 2 10 2 4" xfId="21193" xr:uid="{19F6221A-73EE-4ABE-95DB-78F854BC3C06}"/>
    <cellStyle name="Normal 4 2 2 10 2 5" xfId="29640" xr:uid="{2A9C7BC9-EAEC-4DE2-8DDC-B3CDAC70428E}"/>
    <cellStyle name="Normal 4 2 2 10 3" xfId="6368" xr:uid="{00000000-0005-0000-0000-0000ED110000}"/>
    <cellStyle name="Normal 4 2 2 10 3 2" xfId="14818" xr:uid="{FF245D13-8F19-4C5F-99E2-765856B36CB6}"/>
    <cellStyle name="Normal 4 2 2 10 3 3" xfId="23265" xr:uid="{3ECA9E12-CB0D-4FE0-8BA7-5791B8EACA32}"/>
    <cellStyle name="Normal 4 2 2 10 3 4" xfId="31712" xr:uid="{6526A97F-C3C3-4128-931E-28367B058A42}"/>
    <cellStyle name="Normal 4 2 2 10 4" xfId="10600" xr:uid="{3D3B1CA0-59EA-4868-A744-1EA315A115A4}"/>
    <cellStyle name="Normal 4 2 2 10 5" xfId="19048" xr:uid="{CE82A466-3AE1-4209-BEDF-553EDA755C41}"/>
    <cellStyle name="Normal 4 2 2 10 6" xfId="27495" xr:uid="{89437A15-5EF9-4DE5-A45D-99403D280552}"/>
    <cellStyle name="Normal 4 2 2 11" xfId="2498" xr:uid="{00000000-0005-0000-0000-0000EE110000}"/>
    <cellStyle name="Normal 4 2 2 11 2" xfId="6781" xr:uid="{00000000-0005-0000-0000-0000EF110000}"/>
    <cellStyle name="Normal 4 2 2 11 2 2" xfId="15231" xr:uid="{E415A5A6-8B2D-432A-8FA7-C3D353EDA85E}"/>
    <cellStyle name="Normal 4 2 2 11 2 3" xfId="23678" xr:uid="{747B2DAA-AEFA-4055-9F07-2E0595C1010D}"/>
    <cellStyle name="Normal 4 2 2 11 2 4" xfId="32125" xr:uid="{8A24D238-81A7-4796-B79C-366358AB1057}"/>
    <cellStyle name="Normal 4 2 2 11 3" xfId="11013" xr:uid="{A0052408-0350-42F1-B6EC-CC3D8F0082B3}"/>
    <cellStyle name="Normal 4 2 2 11 4" xfId="19461" xr:uid="{67984D8E-58A0-4556-8572-48326B03FC9A}"/>
    <cellStyle name="Normal 4 2 2 11 5" xfId="27908" xr:uid="{1FBD16BD-85EA-48CE-B7AC-F74C70F135F2}"/>
    <cellStyle name="Normal 4 2 2 12" xfId="4716" xr:uid="{00000000-0005-0000-0000-0000F0110000}"/>
    <cellStyle name="Normal 4 2 2 12 2" xfId="13166" xr:uid="{57C7E64F-6DF3-4A92-ADFD-D6E059F6E977}"/>
    <cellStyle name="Normal 4 2 2 12 3" xfId="21613" xr:uid="{0C08B663-E58A-4F9D-A464-C0E78624117A}"/>
    <cellStyle name="Normal 4 2 2 12 4" xfId="30060" xr:uid="{E597D367-A808-4F7E-9DAB-60C77D59CBCA}"/>
    <cellStyle name="Normal 4 2 2 13" xfId="8948" xr:uid="{1657883F-0855-4EC1-8249-8248C3B5336A}"/>
    <cellStyle name="Normal 4 2 2 14" xfId="17396" xr:uid="{5592426E-4F16-4D87-A48C-B36A29135BF5}"/>
    <cellStyle name="Normal 4 2 2 15" xfId="25843" xr:uid="{EC6B0761-1600-4409-A235-1829028DC180}"/>
    <cellStyle name="Normal 4 2 2 2" xfId="338" xr:uid="{00000000-0005-0000-0000-0000F1110000}"/>
    <cellStyle name="Normal 4 2 2 3" xfId="339" xr:uid="{00000000-0005-0000-0000-0000F2110000}"/>
    <cellStyle name="Normal 4 2 2 3 10" xfId="4717" xr:uid="{00000000-0005-0000-0000-0000F3110000}"/>
    <cellStyle name="Normal 4 2 2 3 10 2" xfId="13167" xr:uid="{35D4EFCC-A2DF-44A7-81E1-3F5CB3F8B9D3}"/>
    <cellStyle name="Normal 4 2 2 3 10 3" xfId="21614" xr:uid="{E13FAE08-47BF-4B20-B8E5-3412B5912A25}"/>
    <cellStyle name="Normal 4 2 2 3 10 4" xfId="30061" xr:uid="{07739AAD-3F4E-4D19-AC75-5B4AFB061F59}"/>
    <cellStyle name="Normal 4 2 2 3 11" xfId="8949" xr:uid="{EEF06B68-E64E-4032-93C6-B9752B23BBE4}"/>
    <cellStyle name="Normal 4 2 2 3 12" xfId="17397" xr:uid="{592DBBB1-A622-4586-A3A0-CF2A29561D91}"/>
    <cellStyle name="Normal 4 2 2 3 13" xfId="25844" xr:uid="{2E7CD94F-56B4-4581-895D-CE36F33ED148}"/>
    <cellStyle name="Normal 4 2 2 3 2" xfId="340" xr:uid="{00000000-0005-0000-0000-0000F4110000}"/>
    <cellStyle name="Normal 4 2 2 3 2 10" xfId="8950" xr:uid="{22D11D77-EAF4-4B50-B516-81646AD0BD75}"/>
    <cellStyle name="Normal 4 2 2 3 2 11" xfId="17398" xr:uid="{13037B94-BC55-4493-BD41-A67C85EE9978}"/>
    <cellStyle name="Normal 4 2 2 3 2 12" xfId="25845" xr:uid="{1F11E3CC-9D9F-415A-B09B-2545402AF3E4}"/>
    <cellStyle name="Normal 4 2 2 3 2 2" xfId="341" xr:uid="{00000000-0005-0000-0000-0000F5110000}"/>
    <cellStyle name="Normal 4 2 2 3 2 2 10" xfId="17399" xr:uid="{2A45C4B1-6023-4AE9-BDF8-8BB63566FE6A}"/>
    <cellStyle name="Normal 4 2 2 3 2 2 11" xfId="25846" xr:uid="{A38C2BC8-A3DB-4461-8E34-4DAFC92914EF}"/>
    <cellStyle name="Normal 4 2 2 3 2 2 2" xfId="342" xr:uid="{00000000-0005-0000-0000-0000F6110000}"/>
    <cellStyle name="Normal 4 2 2 3 2 2 2 10" xfId="25847" xr:uid="{F2F0C9ED-E50C-4375-AC70-906C96203897}"/>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5586DB86-495F-4EB6-817E-FE5BE6798E2C}"/>
    <cellStyle name="Normal 4 2 2 3 2 2 2 2 2 2 3" xfId="24175" xr:uid="{04F6A1E2-22BE-4601-B2DD-45242F911F84}"/>
    <cellStyle name="Normal 4 2 2 3 2 2 2 2 2 2 4" xfId="32622" xr:uid="{9364971C-A696-4D92-9BF2-2E34E626DBC3}"/>
    <cellStyle name="Normal 4 2 2 3 2 2 2 2 2 3" xfId="11510" xr:uid="{2097D12C-945C-4EA3-BC0B-9AA4CBF88930}"/>
    <cellStyle name="Normal 4 2 2 3 2 2 2 2 2 4" xfId="19958" xr:uid="{186CC261-9257-484F-A53D-6E61F14CFDED}"/>
    <cellStyle name="Normal 4 2 2 3 2 2 2 2 2 5" xfId="28405" xr:uid="{A79C1048-AD52-428D-8FD8-4A42B76BB05B}"/>
    <cellStyle name="Normal 4 2 2 3 2 2 2 2 3" xfId="5133" xr:uid="{00000000-0005-0000-0000-0000FA110000}"/>
    <cellStyle name="Normal 4 2 2 3 2 2 2 2 3 2" xfId="13583" xr:uid="{2586BC50-9BC0-48A4-B2BE-1B2BB6C9C8B4}"/>
    <cellStyle name="Normal 4 2 2 3 2 2 2 2 3 3" xfId="22030" xr:uid="{E2D0A8A3-1AF8-49AB-8C34-B25B995A57B1}"/>
    <cellStyle name="Normal 4 2 2 3 2 2 2 2 3 4" xfId="30477" xr:uid="{B25FEF48-6542-40EF-B45A-160B3C9272EF}"/>
    <cellStyle name="Normal 4 2 2 3 2 2 2 2 4" xfId="9365" xr:uid="{4F9E8906-B210-45AB-A19B-F57728D7BA48}"/>
    <cellStyle name="Normal 4 2 2 3 2 2 2 2 5" xfId="17813" xr:uid="{9D8F4296-57DD-4CAE-9CFF-C2B8E75D6815}"/>
    <cellStyle name="Normal 4 2 2 3 2 2 2 2 6" xfId="26260" xr:uid="{A8A6A5B9-03C4-459B-8309-41925896A12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CB01B8B7-6D82-465D-9BD5-D465A5C3417B}"/>
    <cellStyle name="Normal 4 2 2 3 2 2 2 3 2 2 3" xfId="24588" xr:uid="{27FDE22E-ADBF-46C6-9DE0-8A4BE78407C6}"/>
    <cellStyle name="Normal 4 2 2 3 2 2 2 3 2 2 4" xfId="33035" xr:uid="{18B7903B-6447-412A-9B4E-5967A7E8A3D3}"/>
    <cellStyle name="Normal 4 2 2 3 2 2 2 3 2 3" xfId="11923" xr:uid="{E6C956FF-041E-4100-8D54-D338BC5EE14E}"/>
    <cellStyle name="Normal 4 2 2 3 2 2 2 3 2 4" xfId="20371" xr:uid="{F26D4AA7-2615-43F1-832F-BD7B42148D46}"/>
    <cellStyle name="Normal 4 2 2 3 2 2 2 3 2 5" xfId="28818" xr:uid="{557E926B-F4CA-4231-BF6D-3DB9B087EF1B}"/>
    <cellStyle name="Normal 4 2 2 3 2 2 2 3 3" xfId="5546" xr:uid="{00000000-0005-0000-0000-0000FE110000}"/>
    <cellStyle name="Normal 4 2 2 3 2 2 2 3 3 2" xfId="13996" xr:uid="{0F297AEF-68F9-4520-969B-BAC9698854F6}"/>
    <cellStyle name="Normal 4 2 2 3 2 2 2 3 3 3" xfId="22443" xr:uid="{F5F51270-2BEE-47AD-ACB9-E9F225FE3A5A}"/>
    <cellStyle name="Normal 4 2 2 3 2 2 2 3 3 4" xfId="30890" xr:uid="{5CFB0CE4-E603-45AE-A997-327E7659FB9A}"/>
    <cellStyle name="Normal 4 2 2 3 2 2 2 3 4" xfId="9778" xr:uid="{327A094E-F596-4DF0-985A-32373F9DE5BB}"/>
    <cellStyle name="Normal 4 2 2 3 2 2 2 3 5" xfId="18226" xr:uid="{882CA872-F4A0-4FCC-A2A6-178B425A4CEA}"/>
    <cellStyle name="Normal 4 2 2 3 2 2 2 3 6" xfId="26673" xr:uid="{E2BC41F2-4615-4FE2-B57A-37B85F2DDF63}"/>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D0B20116-2C50-411B-AD07-5E3CC3195CBF}"/>
    <cellStyle name="Normal 4 2 2 3 2 2 2 4 2 2 3" xfId="25001" xr:uid="{B71E9A3D-4CFA-42B0-837A-179728E25953}"/>
    <cellStyle name="Normal 4 2 2 3 2 2 2 4 2 2 4" xfId="33448" xr:uid="{F67C471A-2349-428F-93CA-77204E999F2D}"/>
    <cellStyle name="Normal 4 2 2 3 2 2 2 4 2 3" xfId="12336" xr:uid="{FABAB90F-3D83-41A2-AAAD-C303AA462F23}"/>
    <cellStyle name="Normal 4 2 2 3 2 2 2 4 2 4" xfId="20784" xr:uid="{BC4A8396-6C65-4E3F-B855-47CFF3E4659C}"/>
    <cellStyle name="Normal 4 2 2 3 2 2 2 4 2 5" xfId="29231" xr:uid="{7DFBACCC-492A-4346-9CCF-D48AB6483211}"/>
    <cellStyle name="Normal 4 2 2 3 2 2 2 4 3" xfId="5959" xr:uid="{00000000-0005-0000-0000-000002120000}"/>
    <cellStyle name="Normal 4 2 2 3 2 2 2 4 3 2" xfId="14409" xr:uid="{F67AC3B5-DC21-48FF-978F-75F19D31AA3A}"/>
    <cellStyle name="Normal 4 2 2 3 2 2 2 4 3 3" xfId="22856" xr:uid="{F0851D6B-295D-437F-95B9-45CC257EC064}"/>
    <cellStyle name="Normal 4 2 2 3 2 2 2 4 3 4" xfId="31303" xr:uid="{47754FB2-023D-49E1-8136-EEC25A68DB8B}"/>
    <cellStyle name="Normal 4 2 2 3 2 2 2 4 4" xfId="10191" xr:uid="{96E5172B-D019-4789-9BB1-C1C5FDB88FA8}"/>
    <cellStyle name="Normal 4 2 2 3 2 2 2 4 5" xfId="18639" xr:uid="{5C48BC9D-8686-444C-B8DF-DB43A1055CCF}"/>
    <cellStyle name="Normal 4 2 2 3 2 2 2 4 6" xfId="27086" xr:uid="{368CD39B-3645-42DA-A9F1-781B884BAE35}"/>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53EBA048-BB51-487C-9836-E7B6D97438B2}"/>
    <cellStyle name="Normal 4 2 2 3 2 2 2 5 2 2 3" xfId="25414" xr:uid="{B7EB3281-0EA4-44EC-9A7D-4EE836F1EE4D}"/>
    <cellStyle name="Normal 4 2 2 3 2 2 2 5 2 2 4" xfId="33861" xr:uid="{169A13B6-2F05-4F86-98A3-1AC441CA174A}"/>
    <cellStyle name="Normal 4 2 2 3 2 2 2 5 2 3" xfId="12749" xr:uid="{83DD53B6-F57F-4796-AED3-6DD948273981}"/>
    <cellStyle name="Normal 4 2 2 3 2 2 2 5 2 4" xfId="21197" xr:uid="{40ABF830-2D5F-4059-A882-1F895F184C90}"/>
    <cellStyle name="Normal 4 2 2 3 2 2 2 5 2 5" xfId="29644" xr:uid="{118E53D8-2A5B-4F90-A24A-4F7ACFAB78EB}"/>
    <cellStyle name="Normal 4 2 2 3 2 2 2 5 3" xfId="6372" xr:uid="{00000000-0005-0000-0000-000006120000}"/>
    <cellStyle name="Normal 4 2 2 3 2 2 2 5 3 2" xfId="14822" xr:uid="{FF292B72-EAB0-4A96-98FD-8836A8816B8A}"/>
    <cellStyle name="Normal 4 2 2 3 2 2 2 5 3 3" xfId="23269" xr:uid="{04F1AB14-8C50-4EF2-AAA2-EDB640747E77}"/>
    <cellStyle name="Normal 4 2 2 3 2 2 2 5 3 4" xfId="31716" xr:uid="{7A9EABEF-84BA-4402-AAC9-41B1A2A9F33E}"/>
    <cellStyle name="Normal 4 2 2 3 2 2 2 5 4" xfId="10604" xr:uid="{A4DEFC3C-4919-40D2-9326-3665E8B893FC}"/>
    <cellStyle name="Normal 4 2 2 3 2 2 2 5 5" xfId="19052" xr:uid="{22595830-E0D0-4027-81B7-ED3F9A9E82F3}"/>
    <cellStyle name="Normal 4 2 2 3 2 2 2 5 6" xfId="27499" xr:uid="{12816FB3-8215-41C7-9D82-CA8045C373EC}"/>
    <cellStyle name="Normal 4 2 2 3 2 2 2 6" xfId="2502" xr:uid="{00000000-0005-0000-0000-000007120000}"/>
    <cellStyle name="Normal 4 2 2 3 2 2 2 6 2" xfId="6785" xr:uid="{00000000-0005-0000-0000-000008120000}"/>
    <cellStyle name="Normal 4 2 2 3 2 2 2 6 2 2" xfId="15235" xr:uid="{0727738D-68B5-4E25-A759-D7E167F47507}"/>
    <cellStyle name="Normal 4 2 2 3 2 2 2 6 2 3" xfId="23682" xr:uid="{21AF78C1-F940-40E3-BFA4-F37E31F03F05}"/>
    <cellStyle name="Normal 4 2 2 3 2 2 2 6 2 4" xfId="32129" xr:uid="{2DDEB47A-9DDC-4D5D-9000-D39C4495F2BF}"/>
    <cellStyle name="Normal 4 2 2 3 2 2 2 6 3" xfId="11017" xr:uid="{F3D599F7-C10E-4EB0-BAB5-1C609AA8A130}"/>
    <cellStyle name="Normal 4 2 2 3 2 2 2 6 4" xfId="19465" xr:uid="{6781ADF8-FD88-4FE2-8164-74DF04DA4E5D}"/>
    <cellStyle name="Normal 4 2 2 3 2 2 2 6 5" xfId="27912" xr:uid="{9F085890-E121-47F0-8D8F-6EE91D50E7C8}"/>
    <cellStyle name="Normal 4 2 2 3 2 2 2 7" xfId="4720" xr:uid="{00000000-0005-0000-0000-000009120000}"/>
    <cellStyle name="Normal 4 2 2 3 2 2 2 7 2" xfId="13170" xr:uid="{B354F294-FA68-471F-A264-795C4D3ACE22}"/>
    <cellStyle name="Normal 4 2 2 3 2 2 2 7 3" xfId="21617" xr:uid="{4C9F4F6D-26E4-43C1-A800-5FBA377A22B4}"/>
    <cellStyle name="Normal 4 2 2 3 2 2 2 7 4" xfId="30064" xr:uid="{C507BBE3-B4F1-4174-B069-D8F33C9F1686}"/>
    <cellStyle name="Normal 4 2 2 3 2 2 2 8" xfId="8952" xr:uid="{82F7DC4D-AEC1-4500-86D3-E739AF1370AB}"/>
    <cellStyle name="Normal 4 2 2 3 2 2 2 9" xfId="17400" xr:uid="{3D471B1C-547D-4ED7-A1D9-AB16E4C93139}"/>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4F68EDCB-0F70-423B-A3F9-5B9251F119AF}"/>
    <cellStyle name="Normal 4 2 2 3 2 2 3 2 2 3" xfId="24174" xr:uid="{24B149D6-0340-416B-91D3-8E5387CDB786}"/>
    <cellStyle name="Normal 4 2 2 3 2 2 3 2 2 4" xfId="32621" xr:uid="{8EBE3EE5-0AAB-401D-9A2F-C73D9F0C022F}"/>
    <cellStyle name="Normal 4 2 2 3 2 2 3 2 3" xfId="11509" xr:uid="{301ACA34-8C0B-4F66-90C5-AB1430984AA8}"/>
    <cellStyle name="Normal 4 2 2 3 2 2 3 2 4" xfId="19957" xr:uid="{317B5C38-819F-48E4-85B6-A22331620C01}"/>
    <cellStyle name="Normal 4 2 2 3 2 2 3 2 5" xfId="28404" xr:uid="{E606F00E-7B40-4FBF-A4E7-32FFF9862A1E}"/>
    <cellStyle name="Normal 4 2 2 3 2 2 3 3" xfId="5132" xr:uid="{00000000-0005-0000-0000-00000D120000}"/>
    <cellStyle name="Normal 4 2 2 3 2 2 3 3 2" xfId="13582" xr:uid="{475E0226-4D62-4AF2-8270-8416B952700E}"/>
    <cellStyle name="Normal 4 2 2 3 2 2 3 3 3" xfId="22029" xr:uid="{22B94CB5-41F2-4CA0-B632-D9D1D40887DA}"/>
    <cellStyle name="Normal 4 2 2 3 2 2 3 3 4" xfId="30476" xr:uid="{6AA332D1-2D0C-4E17-AB43-69705E8C9399}"/>
    <cellStyle name="Normal 4 2 2 3 2 2 3 4" xfId="9364" xr:uid="{9D4BE8CF-CCEA-44AA-932B-00535C114852}"/>
    <cellStyle name="Normal 4 2 2 3 2 2 3 5" xfId="17812" xr:uid="{AFD46E92-957F-4074-8E42-DC831CD714DA}"/>
    <cellStyle name="Normal 4 2 2 3 2 2 3 6" xfId="26259" xr:uid="{9B56D21D-0C54-49B3-8314-C8B9E926A255}"/>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7F54CBAB-C3DD-4303-9B4C-C2AB257685DE}"/>
    <cellStyle name="Normal 4 2 2 3 2 2 4 2 2 3" xfId="24587" xr:uid="{4D03A6DE-5277-4A5C-ABC1-0D200E596811}"/>
    <cellStyle name="Normal 4 2 2 3 2 2 4 2 2 4" xfId="33034" xr:uid="{1093DE7B-61BD-4F84-BC8C-3D727D91A797}"/>
    <cellStyle name="Normal 4 2 2 3 2 2 4 2 3" xfId="11922" xr:uid="{D8D8E7F9-96DB-4EDE-AED2-73C36BC579A6}"/>
    <cellStyle name="Normal 4 2 2 3 2 2 4 2 4" xfId="20370" xr:uid="{5D25838F-54F7-4F45-9448-CE575BC2B227}"/>
    <cellStyle name="Normal 4 2 2 3 2 2 4 2 5" xfId="28817" xr:uid="{A53D2CF6-AE96-4ACA-ABF7-59CE488F8B84}"/>
    <cellStyle name="Normal 4 2 2 3 2 2 4 3" xfId="5545" xr:uid="{00000000-0005-0000-0000-000011120000}"/>
    <cellStyle name="Normal 4 2 2 3 2 2 4 3 2" xfId="13995" xr:uid="{A4647EFE-6F84-4F73-8DD1-C6EC1D21776C}"/>
    <cellStyle name="Normal 4 2 2 3 2 2 4 3 3" xfId="22442" xr:uid="{CAD2AED2-188F-4518-9164-B48DFE6C7C65}"/>
    <cellStyle name="Normal 4 2 2 3 2 2 4 3 4" xfId="30889" xr:uid="{5838E422-09C9-4858-86DF-0906A01A1609}"/>
    <cellStyle name="Normal 4 2 2 3 2 2 4 4" xfId="9777" xr:uid="{AD4761C1-981A-4A15-99B3-A4A650D8B4B4}"/>
    <cellStyle name="Normal 4 2 2 3 2 2 4 5" xfId="18225" xr:uid="{C480A2E2-BC92-4BC3-A85D-D2545D58E647}"/>
    <cellStyle name="Normal 4 2 2 3 2 2 4 6" xfId="26672" xr:uid="{5DB253B9-0CAE-4356-97EF-3284E548E37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11CAE573-2CFB-4540-9E45-EAFE8ED6C9D7}"/>
    <cellStyle name="Normal 4 2 2 3 2 2 5 2 2 3" xfId="25000" xr:uid="{E938759B-BF9B-4AFC-BD8E-9B9F0A5F4A76}"/>
    <cellStyle name="Normal 4 2 2 3 2 2 5 2 2 4" xfId="33447" xr:uid="{B18FBE69-769E-4FD6-9EF0-2BC8CF04F356}"/>
    <cellStyle name="Normal 4 2 2 3 2 2 5 2 3" xfId="12335" xr:uid="{9B41F6EF-8DB7-4E8E-9123-BEAA560EC01E}"/>
    <cellStyle name="Normal 4 2 2 3 2 2 5 2 4" xfId="20783" xr:uid="{9CF175CC-75E4-4E33-92CE-45881ED7DADE}"/>
    <cellStyle name="Normal 4 2 2 3 2 2 5 2 5" xfId="29230" xr:uid="{C79C8F95-BA55-404D-B829-44ED3C8E94F9}"/>
    <cellStyle name="Normal 4 2 2 3 2 2 5 3" xfId="5958" xr:uid="{00000000-0005-0000-0000-000015120000}"/>
    <cellStyle name="Normal 4 2 2 3 2 2 5 3 2" xfId="14408" xr:uid="{EC9CBE7E-8EA8-47B1-B2FD-434D9964C832}"/>
    <cellStyle name="Normal 4 2 2 3 2 2 5 3 3" xfId="22855" xr:uid="{FEC440A4-E0FF-454F-A54D-4DCA871CC4ED}"/>
    <cellStyle name="Normal 4 2 2 3 2 2 5 3 4" xfId="31302" xr:uid="{917CB4D8-71D5-43C8-871C-5DA655533623}"/>
    <cellStyle name="Normal 4 2 2 3 2 2 5 4" xfId="10190" xr:uid="{60FBC824-391F-40C5-9158-139B44CEB24F}"/>
    <cellStyle name="Normal 4 2 2 3 2 2 5 5" xfId="18638" xr:uid="{28C9A298-46C4-447C-A837-DF768250415A}"/>
    <cellStyle name="Normal 4 2 2 3 2 2 5 6" xfId="27085" xr:uid="{A01ACE87-03BB-4410-8385-E9F57D91F836}"/>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4B2CA797-41AA-46DC-9035-66482957E46C}"/>
    <cellStyle name="Normal 4 2 2 3 2 2 6 2 2 3" xfId="25413" xr:uid="{EB6598A2-9FD5-4A90-804A-E236B4C13FDF}"/>
    <cellStyle name="Normal 4 2 2 3 2 2 6 2 2 4" xfId="33860" xr:uid="{2E1B2D56-529F-453A-8F57-5283CAF650AA}"/>
    <cellStyle name="Normal 4 2 2 3 2 2 6 2 3" xfId="12748" xr:uid="{ED43091F-6D95-4434-B9C7-1389E59A1094}"/>
    <cellStyle name="Normal 4 2 2 3 2 2 6 2 4" xfId="21196" xr:uid="{9EBF50FD-1185-44A4-97F2-339B6E122AAA}"/>
    <cellStyle name="Normal 4 2 2 3 2 2 6 2 5" xfId="29643" xr:uid="{CC98FECE-1492-40DB-923F-1A6961899E81}"/>
    <cellStyle name="Normal 4 2 2 3 2 2 6 3" xfId="6371" xr:uid="{00000000-0005-0000-0000-000019120000}"/>
    <cellStyle name="Normal 4 2 2 3 2 2 6 3 2" xfId="14821" xr:uid="{1DC7B64B-2176-4876-8009-39839DBD8D7D}"/>
    <cellStyle name="Normal 4 2 2 3 2 2 6 3 3" xfId="23268" xr:uid="{CE5CCF56-2FCD-4482-8CAD-4A8299084E86}"/>
    <cellStyle name="Normal 4 2 2 3 2 2 6 3 4" xfId="31715" xr:uid="{0E4A149D-2A8E-4502-BAB0-FF09CAD27463}"/>
    <cellStyle name="Normal 4 2 2 3 2 2 6 4" xfId="10603" xr:uid="{3F1002C6-D5D3-42B7-9895-8B5A4C4C5201}"/>
    <cellStyle name="Normal 4 2 2 3 2 2 6 5" xfId="19051" xr:uid="{81DCE934-D18F-4710-B756-FAAAA658BDC6}"/>
    <cellStyle name="Normal 4 2 2 3 2 2 6 6" xfId="27498" xr:uid="{0200A8A9-EB29-4160-91A7-FB5B6C550393}"/>
    <cellStyle name="Normal 4 2 2 3 2 2 7" xfId="2501" xr:uid="{00000000-0005-0000-0000-00001A120000}"/>
    <cellStyle name="Normal 4 2 2 3 2 2 7 2" xfId="6784" xr:uid="{00000000-0005-0000-0000-00001B120000}"/>
    <cellStyle name="Normal 4 2 2 3 2 2 7 2 2" xfId="15234" xr:uid="{46B89120-ED2C-42D6-8B02-74492463858C}"/>
    <cellStyle name="Normal 4 2 2 3 2 2 7 2 3" xfId="23681" xr:uid="{B97B0055-0434-4391-BDAE-14ECA059D3DB}"/>
    <cellStyle name="Normal 4 2 2 3 2 2 7 2 4" xfId="32128" xr:uid="{F090E951-4A6D-4F8D-841B-A16B0BBD7ABA}"/>
    <cellStyle name="Normal 4 2 2 3 2 2 7 3" xfId="11016" xr:uid="{D7FC1EEA-D736-4459-B649-6316920DCE70}"/>
    <cellStyle name="Normal 4 2 2 3 2 2 7 4" xfId="19464" xr:uid="{DECD1511-78B0-4FC4-B18A-7C29FF271035}"/>
    <cellStyle name="Normal 4 2 2 3 2 2 7 5" xfId="27911" xr:uid="{660F098A-8ABD-4701-9A45-2D9C9084398B}"/>
    <cellStyle name="Normal 4 2 2 3 2 2 8" xfId="4719" xr:uid="{00000000-0005-0000-0000-00001C120000}"/>
    <cellStyle name="Normal 4 2 2 3 2 2 8 2" xfId="13169" xr:uid="{29CD3865-DCC0-4836-9B4A-2E80B1B2D6C7}"/>
    <cellStyle name="Normal 4 2 2 3 2 2 8 3" xfId="21616" xr:uid="{34E889B3-D23C-4B3E-92D2-08942BD8BACA}"/>
    <cellStyle name="Normal 4 2 2 3 2 2 8 4" xfId="30063" xr:uid="{0211F916-07D8-4A0C-ADFF-55DD302B5903}"/>
    <cellStyle name="Normal 4 2 2 3 2 2 9" xfId="8951" xr:uid="{54B37B3E-A561-43F8-AFD4-A83F9FB3F1B0}"/>
    <cellStyle name="Normal 4 2 2 3 2 3" xfId="343" xr:uid="{00000000-0005-0000-0000-00001D120000}"/>
    <cellStyle name="Normal 4 2 2 3 2 3 10" xfId="25848" xr:uid="{B14F2D78-CFF1-459B-9E4E-D24E370328BD}"/>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E78DAE5C-826E-450A-B94F-C3C63FD0CC2A}"/>
    <cellStyle name="Normal 4 2 2 3 2 3 2 2 2 3" xfId="24176" xr:uid="{89673FAF-6D46-430B-BB4C-1DAD3230B48F}"/>
    <cellStyle name="Normal 4 2 2 3 2 3 2 2 2 4" xfId="32623" xr:uid="{2EFB8DA9-326B-4603-9C47-2935796E3E8B}"/>
    <cellStyle name="Normal 4 2 2 3 2 3 2 2 3" xfId="11511" xr:uid="{4C42527B-FB52-41CA-AF35-F9ECCA1984B8}"/>
    <cellStyle name="Normal 4 2 2 3 2 3 2 2 4" xfId="19959" xr:uid="{81ED4D0F-2C0E-4556-BD2B-1C7203A43DC0}"/>
    <cellStyle name="Normal 4 2 2 3 2 3 2 2 5" xfId="28406" xr:uid="{3E3E660E-FD1B-44BD-8DCB-D124FC434513}"/>
    <cellStyle name="Normal 4 2 2 3 2 3 2 3" xfId="5134" xr:uid="{00000000-0005-0000-0000-000021120000}"/>
    <cellStyle name="Normal 4 2 2 3 2 3 2 3 2" xfId="13584" xr:uid="{C235BEAD-5451-4146-BFAC-A00D9E5F7FC2}"/>
    <cellStyle name="Normal 4 2 2 3 2 3 2 3 3" xfId="22031" xr:uid="{F4AA4E7A-2550-40B6-9275-701FB5CE7A3E}"/>
    <cellStyle name="Normal 4 2 2 3 2 3 2 3 4" xfId="30478" xr:uid="{4460CB45-7561-407E-B5F2-2569D406B5C8}"/>
    <cellStyle name="Normal 4 2 2 3 2 3 2 4" xfId="9366" xr:uid="{72696A95-A728-4C24-BFE8-2A41E043FBDA}"/>
    <cellStyle name="Normal 4 2 2 3 2 3 2 5" xfId="17814" xr:uid="{6AF48161-3961-4961-B806-367877978400}"/>
    <cellStyle name="Normal 4 2 2 3 2 3 2 6" xfId="26261" xr:uid="{4FADAC47-AA6A-4041-B42A-A428DAB4230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193E8AF4-BF48-4E4A-813F-0246E2BD37C8}"/>
    <cellStyle name="Normal 4 2 2 3 2 3 3 2 2 3" xfId="24589" xr:uid="{8806025B-6488-4C6A-94CB-7CB1B7C90CFC}"/>
    <cellStyle name="Normal 4 2 2 3 2 3 3 2 2 4" xfId="33036" xr:uid="{4A81E2AA-CF14-4243-82B9-96307F8B290D}"/>
    <cellStyle name="Normal 4 2 2 3 2 3 3 2 3" xfId="11924" xr:uid="{76270C70-13ED-408B-B8A5-6B0EC7F07D98}"/>
    <cellStyle name="Normal 4 2 2 3 2 3 3 2 4" xfId="20372" xr:uid="{18205BAC-FA8A-462C-9DE5-6C777B024B85}"/>
    <cellStyle name="Normal 4 2 2 3 2 3 3 2 5" xfId="28819" xr:uid="{44AEE58E-F164-4052-BE80-2FECC101BE85}"/>
    <cellStyle name="Normal 4 2 2 3 2 3 3 3" xfId="5547" xr:uid="{00000000-0005-0000-0000-000025120000}"/>
    <cellStyle name="Normal 4 2 2 3 2 3 3 3 2" xfId="13997" xr:uid="{82845396-16A6-4079-B804-6B98420A8C3C}"/>
    <cellStyle name="Normal 4 2 2 3 2 3 3 3 3" xfId="22444" xr:uid="{653F45D7-4D1A-4D29-BFC3-892A4053779B}"/>
    <cellStyle name="Normal 4 2 2 3 2 3 3 3 4" xfId="30891" xr:uid="{AA526A2E-7F5C-4D79-957B-1A83DAA51AC6}"/>
    <cellStyle name="Normal 4 2 2 3 2 3 3 4" xfId="9779" xr:uid="{112147CA-ADD1-4B8C-9B52-82B093C09DFA}"/>
    <cellStyle name="Normal 4 2 2 3 2 3 3 5" xfId="18227" xr:uid="{76082825-6CF8-4A7B-8D7A-9B0EAF6B8FEA}"/>
    <cellStyle name="Normal 4 2 2 3 2 3 3 6" xfId="26674" xr:uid="{97CE822C-3CA5-4F59-8900-7333A90360F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04C5A3A6-D503-40E6-AD89-4AB78FFF9677}"/>
    <cellStyle name="Normal 4 2 2 3 2 3 4 2 2 3" xfId="25002" xr:uid="{88A82407-06A4-469E-83D8-DFA597E9867D}"/>
    <cellStyle name="Normal 4 2 2 3 2 3 4 2 2 4" xfId="33449" xr:uid="{080520DF-E71C-4329-8E62-8DB934155217}"/>
    <cellStyle name="Normal 4 2 2 3 2 3 4 2 3" xfId="12337" xr:uid="{DA1719B4-83A7-4A8A-AE5E-48A44B19D797}"/>
    <cellStyle name="Normal 4 2 2 3 2 3 4 2 4" xfId="20785" xr:uid="{553C941A-1C37-4749-99C8-CE8C52494CC2}"/>
    <cellStyle name="Normal 4 2 2 3 2 3 4 2 5" xfId="29232" xr:uid="{6809CA57-15CD-41CE-93E5-7CEEAAF65506}"/>
    <cellStyle name="Normal 4 2 2 3 2 3 4 3" xfId="5960" xr:uid="{00000000-0005-0000-0000-000029120000}"/>
    <cellStyle name="Normal 4 2 2 3 2 3 4 3 2" xfId="14410" xr:uid="{F7F340C7-9741-4D32-8303-4CC68165E9DC}"/>
    <cellStyle name="Normal 4 2 2 3 2 3 4 3 3" xfId="22857" xr:uid="{3F1368C4-490F-422B-9791-F636B8BD5BA5}"/>
    <cellStyle name="Normal 4 2 2 3 2 3 4 3 4" xfId="31304" xr:uid="{927A43E8-42DE-4512-8C65-3AA937F099FB}"/>
    <cellStyle name="Normal 4 2 2 3 2 3 4 4" xfId="10192" xr:uid="{90E1D0B0-51A6-4DF3-A3B9-D4782B6516F2}"/>
    <cellStyle name="Normal 4 2 2 3 2 3 4 5" xfId="18640" xr:uid="{B178EA52-E18F-41C7-B519-8464EF4564B0}"/>
    <cellStyle name="Normal 4 2 2 3 2 3 4 6" xfId="27087" xr:uid="{1084A7CE-C0F7-48EE-8B0D-7D12F67CCF34}"/>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C1FD209D-0A5A-475E-8493-36BF51A9F4B2}"/>
    <cellStyle name="Normal 4 2 2 3 2 3 5 2 2 3" xfId="25415" xr:uid="{DE7CA3B7-AB37-4679-87C1-7F7528D111B1}"/>
    <cellStyle name="Normal 4 2 2 3 2 3 5 2 2 4" xfId="33862" xr:uid="{AA368F54-9F05-4CA4-83A2-151903640BAB}"/>
    <cellStyle name="Normal 4 2 2 3 2 3 5 2 3" xfId="12750" xr:uid="{DD4D3C9E-D2D2-4E41-920E-C27BF88E5EA2}"/>
    <cellStyle name="Normal 4 2 2 3 2 3 5 2 4" xfId="21198" xr:uid="{82045565-B4F5-4326-8431-F6C09B546611}"/>
    <cellStyle name="Normal 4 2 2 3 2 3 5 2 5" xfId="29645" xr:uid="{273B8CE1-E36A-4087-8AFB-78A7937A9DD1}"/>
    <cellStyle name="Normal 4 2 2 3 2 3 5 3" xfId="6373" xr:uid="{00000000-0005-0000-0000-00002D120000}"/>
    <cellStyle name="Normal 4 2 2 3 2 3 5 3 2" xfId="14823" xr:uid="{355EBDE0-1BC2-47C7-AA10-F00093F263BC}"/>
    <cellStyle name="Normal 4 2 2 3 2 3 5 3 3" xfId="23270" xr:uid="{B575A7F5-503F-407C-930C-B33FF7CC2F86}"/>
    <cellStyle name="Normal 4 2 2 3 2 3 5 3 4" xfId="31717" xr:uid="{A2F7F691-B1CE-46A1-AA15-F2D008DA7B3C}"/>
    <cellStyle name="Normal 4 2 2 3 2 3 5 4" xfId="10605" xr:uid="{F1AB6CFC-317C-4BF5-A98D-CB451BD4D01E}"/>
    <cellStyle name="Normal 4 2 2 3 2 3 5 5" xfId="19053" xr:uid="{7FC26275-9AC3-4C0C-8E77-CF725B42AE7B}"/>
    <cellStyle name="Normal 4 2 2 3 2 3 5 6" xfId="27500" xr:uid="{2CF0AEBB-619E-49A5-9500-1567BFAADC21}"/>
    <cellStyle name="Normal 4 2 2 3 2 3 6" xfId="2503" xr:uid="{00000000-0005-0000-0000-00002E120000}"/>
    <cellStyle name="Normal 4 2 2 3 2 3 6 2" xfId="6786" xr:uid="{00000000-0005-0000-0000-00002F120000}"/>
    <cellStyle name="Normal 4 2 2 3 2 3 6 2 2" xfId="15236" xr:uid="{430B8D9B-7025-461D-BE7A-BEDF4268021D}"/>
    <cellStyle name="Normal 4 2 2 3 2 3 6 2 3" xfId="23683" xr:uid="{EDAFE66A-9F03-407B-A8D7-985E8A8AEAA2}"/>
    <cellStyle name="Normal 4 2 2 3 2 3 6 2 4" xfId="32130" xr:uid="{AD199DC6-2FE2-4920-B6BF-446BB6826CD6}"/>
    <cellStyle name="Normal 4 2 2 3 2 3 6 3" xfId="11018" xr:uid="{AFAA577A-7226-48EA-AA60-CCE06433F623}"/>
    <cellStyle name="Normal 4 2 2 3 2 3 6 4" xfId="19466" xr:uid="{A5AB567F-3518-481E-A9D5-147CE155447A}"/>
    <cellStyle name="Normal 4 2 2 3 2 3 6 5" xfId="27913" xr:uid="{3FAE5892-2447-4891-84C6-A9E165761360}"/>
    <cellStyle name="Normal 4 2 2 3 2 3 7" xfId="4721" xr:uid="{00000000-0005-0000-0000-000030120000}"/>
    <cellStyle name="Normal 4 2 2 3 2 3 7 2" xfId="13171" xr:uid="{629EF101-D9FC-471D-8B88-073D4CDA6096}"/>
    <cellStyle name="Normal 4 2 2 3 2 3 7 3" xfId="21618" xr:uid="{7BA368DB-997A-476E-B2DF-9E4B83C52C14}"/>
    <cellStyle name="Normal 4 2 2 3 2 3 7 4" xfId="30065" xr:uid="{E059075B-F401-4C7B-8D69-A66C853B6173}"/>
    <cellStyle name="Normal 4 2 2 3 2 3 8" xfId="8953" xr:uid="{DF447346-A4BB-4721-926F-A782E0121ADA}"/>
    <cellStyle name="Normal 4 2 2 3 2 3 9" xfId="17401" xr:uid="{F0A6F4B2-56B7-44C5-ADF5-C4C4297E1C5E}"/>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85FCCFA2-316D-47F7-A510-A900132C1FB3}"/>
    <cellStyle name="Normal 4 2 2 3 2 4 2 2 3" xfId="24173" xr:uid="{EE223467-AE7B-43AE-8FB2-752914FC56D5}"/>
    <cellStyle name="Normal 4 2 2 3 2 4 2 2 4" xfId="32620" xr:uid="{72EE2401-D61D-4F0F-9E8C-6DCED74823C1}"/>
    <cellStyle name="Normal 4 2 2 3 2 4 2 3" xfId="11508" xr:uid="{7F117456-4198-4421-A211-E48BADFDCD51}"/>
    <cellStyle name="Normal 4 2 2 3 2 4 2 4" xfId="19956" xr:uid="{DD7627F1-A034-4B69-A3E9-BA09E83639AD}"/>
    <cellStyle name="Normal 4 2 2 3 2 4 2 5" xfId="28403" xr:uid="{A4021589-12AA-4993-A942-CC45A8011070}"/>
    <cellStyle name="Normal 4 2 2 3 2 4 3" xfId="5131" xr:uid="{00000000-0005-0000-0000-000034120000}"/>
    <cellStyle name="Normal 4 2 2 3 2 4 3 2" xfId="13581" xr:uid="{A70031BE-43D3-4E6F-9A14-C1AFDAED520D}"/>
    <cellStyle name="Normal 4 2 2 3 2 4 3 3" xfId="22028" xr:uid="{89CDC40F-FA90-4FD7-8B50-EB85AFB88C8C}"/>
    <cellStyle name="Normal 4 2 2 3 2 4 3 4" xfId="30475" xr:uid="{C5594A42-7280-4A7A-93CE-D9B1EBFE1551}"/>
    <cellStyle name="Normal 4 2 2 3 2 4 4" xfId="9363" xr:uid="{ECF3FBA4-CAB9-4365-AD61-57A3EEE7465D}"/>
    <cellStyle name="Normal 4 2 2 3 2 4 5" xfId="17811" xr:uid="{CCBB2D07-4797-4386-8247-6738F159F7AD}"/>
    <cellStyle name="Normal 4 2 2 3 2 4 6" xfId="26258" xr:uid="{D0A24BC0-6CB9-4D49-8CA0-1B737AF173C1}"/>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0BDCE06A-2D31-418A-A3A6-1AB60F646751}"/>
    <cellStyle name="Normal 4 2 2 3 2 5 2 2 3" xfId="24586" xr:uid="{52E1B78D-88F1-4537-9442-03B57831CA10}"/>
    <cellStyle name="Normal 4 2 2 3 2 5 2 2 4" xfId="33033" xr:uid="{4A0A4FE9-E8FE-4FB6-AF6E-2F51410DBB51}"/>
    <cellStyle name="Normal 4 2 2 3 2 5 2 3" xfId="11921" xr:uid="{7AF10C10-1244-41B0-9C7A-5D4D421C6464}"/>
    <cellStyle name="Normal 4 2 2 3 2 5 2 4" xfId="20369" xr:uid="{8675D7D2-E694-4D8E-8920-75E90AA4FCAC}"/>
    <cellStyle name="Normal 4 2 2 3 2 5 2 5" xfId="28816" xr:uid="{F0EB968B-FC58-4275-815D-E395AF784057}"/>
    <cellStyle name="Normal 4 2 2 3 2 5 3" xfId="5544" xr:uid="{00000000-0005-0000-0000-000038120000}"/>
    <cellStyle name="Normal 4 2 2 3 2 5 3 2" xfId="13994" xr:uid="{44DE3194-8708-4EC6-BD7D-25EEF865D381}"/>
    <cellStyle name="Normal 4 2 2 3 2 5 3 3" xfId="22441" xr:uid="{38028476-1644-4B63-8887-D7929B7B1AF8}"/>
    <cellStyle name="Normal 4 2 2 3 2 5 3 4" xfId="30888" xr:uid="{C624D981-EE6B-4390-BDA7-728E1582C0FB}"/>
    <cellStyle name="Normal 4 2 2 3 2 5 4" xfId="9776" xr:uid="{BC171429-8659-4C66-824F-24CF732E5D7F}"/>
    <cellStyle name="Normal 4 2 2 3 2 5 5" xfId="18224" xr:uid="{72053A38-6406-48F0-9055-C20311E4F0B3}"/>
    <cellStyle name="Normal 4 2 2 3 2 5 6" xfId="26671" xr:uid="{34500E62-0D1D-4695-9776-BD7F6F845DBB}"/>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E724093A-8D08-4691-A4AB-E38C63CB2D5D}"/>
    <cellStyle name="Normal 4 2 2 3 2 6 2 2 3" xfId="24999" xr:uid="{BACC2730-FF46-47E2-B951-5027161354C7}"/>
    <cellStyle name="Normal 4 2 2 3 2 6 2 2 4" xfId="33446" xr:uid="{F0C9B65C-8030-4CFF-B111-4CF128776111}"/>
    <cellStyle name="Normal 4 2 2 3 2 6 2 3" xfId="12334" xr:uid="{0AB97EC2-1879-452E-AB39-03732039FBA7}"/>
    <cellStyle name="Normal 4 2 2 3 2 6 2 4" xfId="20782" xr:uid="{7D55F7BD-9125-4B52-890F-E167D1914A28}"/>
    <cellStyle name="Normal 4 2 2 3 2 6 2 5" xfId="29229" xr:uid="{DD67CE49-EEB7-4514-9893-75F8452772CD}"/>
    <cellStyle name="Normal 4 2 2 3 2 6 3" xfId="5957" xr:uid="{00000000-0005-0000-0000-00003C120000}"/>
    <cellStyle name="Normal 4 2 2 3 2 6 3 2" xfId="14407" xr:uid="{A45D8A15-1F34-4AA4-BC32-EE160993DBA9}"/>
    <cellStyle name="Normal 4 2 2 3 2 6 3 3" xfId="22854" xr:uid="{FBD599D1-A465-49F9-89E6-95658857DA9E}"/>
    <cellStyle name="Normal 4 2 2 3 2 6 3 4" xfId="31301" xr:uid="{9520B88E-A9F4-4574-81FD-F99CD83FD7A6}"/>
    <cellStyle name="Normal 4 2 2 3 2 6 4" xfId="10189" xr:uid="{C04939DA-2F24-446D-A17A-57E4F5CDF2DE}"/>
    <cellStyle name="Normal 4 2 2 3 2 6 5" xfId="18637" xr:uid="{75892DE8-11E8-45F0-A88D-409488A804A0}"/>
    <cellStyle name="Normal 4 2 2 3 2 6 6" xfId="27084" xr:uid="{0F9D7127-F768-45CF-8C59-9288FEEB35B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839E6CA8-F35C-44EC-9815-EC5C64699674}"/>
    <cellStyle name="Normal 4 2 2 3 2 7 2 2 3" xfId="25412" xr:uid="{1E92A3AD-5338-4782-B167-712DA8CA9999}"/>
    <cellStyle name="Normal 4 2 2 3 2 7 2 2 4" xfId="33859" xr:uid="{6F9F32AB-92D8-409D-B04B-B4F5D450E0E7}"/>
    <cellStyle name="Normal 4 2 2 3 2 7 2 3" xfId="12747" xr:uid="{D29292E9-1C9D-4229-910F-6FE89AE0F410}"/>
    <cellStyle name="Normal 4 2 2 3 2 7 2 4" xfId="21195" xr:uid="{A8418773-EB15-4391-B75D-37148915B6F8}"/>
    <cellStyle name="Normal 4 2 2 3 2 7 2 5" xfId="29642" xr:uid="{FF6D3CE7-D644-48C5-A70D-71B989C38991}"/>
    <cellStyle name="Normal 4 2 2 3 2 7 3" xfId="6370" xr:uid="{00000000-0005-0000-0000-000040120000}"/>
    <cellStyle name="Normal 4 2 2 3 2 7 3 2" xfId="14820" xr:uid="{46EF2579-9AC9-41FB-AE2D-3CDBE85AEF31}"/>
    <cellStyle name="Normal 4 2 2 3 2 7 3 3" xfId="23267" xr:uid="{20C03925-FBC3-4511-A28F-871362EA319A}"/>
    <cellStyle name="Normal 4 2 2 3 2 7 3 4" xfId="31714" xr:uid="{61F5C22E-0374-460A-BBFF-A99DB71B96F9}"/>
    <cellStyle name="Normal 4 2 2 3 2 7 4" xfId="10602" xr:uid="{2DC44ECC-3222-4F5E-98C7-AC7375F3CB62}"/>
    <cellStyle name="Normal 4 2 2 3 2 7 5" xfId="19050" xr:uid="{3EA93227-D818-43DD-A6D0-0B9D002F3FF0}"/>
    <cellStyle name="Normal 4 2 2 3 2 7 6" xfId="27497" xr:uid="{A517DC0C-E1BD-4A48-B2AF-89A0C84CC0B1}"/>
    <cellStyle name="Normal 4 2 2 3 2 8" xfId="2500" xr:uid="{00000000-0005-0000-0000-000041120000}"/>
    <cellStyle name="Normal 4 2 2 3 2 8 2" xfId="6783" xr:uid="{00000000-0005-0000-0000-000042120000}"/>
    <cellStyle name="Normal 4 2 2 3 2 8 2 2" xfId="15233" xr:uid="{619E8A2B-B763-4EDD-8206-EB21B656DA09}"/>
    <cellStyle name="Normal 4 2 2 3 2 8 2 3" xfId="23680" xr:uid="{4CF6225E-404F-42A6-A529-24BF9193B28C}"/>
    <cellStyle name="Normal 4 2 2 3 2 8 2 4" xfId="32127" xr:uid="{ACAA9660-9CF6-48AC-9B30-14A76140BACD}"/>
    <cellStyle name="Normal 4 2 2 3 2 8 3" xfId="11015" xr:uid="{BF25AE1D-E9D5-427B-ADED-CF96A0197F98}"/>
    <cellStyle name="Normal 4 2 2 3 2 8 4" xfId="19463" xr:uid="{CA1E8F61-5CED-438A-961E-36371623B7AC}"/>
    <cellStyle name="Normal 4 2 2 3 2 8 5" xfId="27910" xr:uid="{5A9F6514-E01F-418D-AB82-10204D9E4E5C}"/>
    <cellStyle name="Normal 4 2 2 3 2 9" xfId="4718" xr:uid="{00000000-0005-0000-0000-000043120000}"/>
    <cellStyle name="Normal 4 2 2 3 2 9 2" xfId="13168" xr:uid="{063C4C4A-C350-4040-9D26-686EF15C2823}"/>
    <cellStyle name="Normal 4 2 2 3 2 9 3" xfId="21615" xr:uid="{9C408F35-41E3-43FA-A173-3424C82B2365}"/>
    <cellStyle name="Normal 4 2 2 3 2 9 4" xfId="30062" xr:uid="{1D63F5CE-5FD4-45BD-B279-57D744901858}"/>
    <cellStyle name="Normal 4 2 2 3 3" xfId="344" xr:uid="{00000000-0005-0000-0000-000044120000}"/>
    <cellStyle name="Normal 4 2 2 3 3 10" xfId="17402" xr:uid="{CC6F0D69-2799-4165-962E-A133B642BB04}"/>
    <cellStyle name="Normal 4 2 2 3 3 11" xfId="25849" xr:uid="{42A6FC57-0E75-451F-B453-159E621E5564}"/>
    <cellStyle name="Normal 4 2 2 3 3 2" xfId="345" xr:uid="{00000000-0005-0000-0000-000045120000}"/>
    <cellStyle name="Normal 4 2 2 3 3 2 10" xfId="25850" xr:uid="{6D29C458-5DE2-45B3-AB5A-722580B29D11}"/>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574B37E4-4B2C-4C95-A02A-274D62275880}"/>
    <cellStyle name="Normal 4 2 2 3 3 2 2 2 2 3" xfId="24178" xr:uid="{14B63D4D-B5E0-4E08-A673-C55AF1B7F3A2}"/>
    <cellStyle name="Normal 4 2 2 3 3 2 2 2 2 4" xfId="32625" xr:uid="{E530D7C7-4137-41F9-BCF3-D82614DC0F85}"/>
    <cellStyle name="Normal 4 2 2 3 3 2 2 2 3" xfId="11513" xr:uid="{AC6F7FEE-3831-415F-B956-1B40F508A43F}"/>
    <cellStyle name="Normal 4 2 2 3 3 2 2 2 4" xfId="19961" xr:uid="{5FBE7369-775D-4742-B7F9-CF6C9C78A116}"/>
    <cellStyle name="Normal 4 2 2 3 3 2 2 2 5" xfId="28408" xr:uid="{5313E358-1922-41DA-A8DE-5AF1C76AD85B}"/>
    <cellStyle name="Normal 4 2 2 3 3 2 2 3" xfId="5136" xr:uid="{00000000-0005-0000-0000-000049120000}"/>
    <cellStyle name="Normal 4 2 2 3 3 2 2 3 2" xfId="13586" xr:uid="{FD8CBD96-621A-49E2-A22B-CF7542DA7E60}"/>
    <cellStyle name="Normal 4 2 2 3 3 2 2 3 3" xfId="22033" xr:uid="{CE76E1BC-83A6-4AE6-82AF-C3C527C96AE4}"/>
    <cellStyle name="Normal 4 2 2 3 3 2 2 3 4" xfId="30480" xr:uid="{74D47C7B-0256-4452-9275-0425C2CF85BB}"/>
    <cellStyle name="Normal 4 2 2 3 3 2 2 4" xfId="9368" xr:uid="{6C8094C7-CCEB-4981-A582-2D8AAA145F27}"/>
    <cellStyle name="Normal 4 2 2 3 3 2 2 5" xfId="17816" xr:uid="{2CB19DF0-AC68-4D96-8A25-F57FE2236E1E}"/>
    <cellStyle name="Normal 4 2 2 3 3 2 2 6" xfId="26263" xr:uid="{B00E1C14-7026-44D3-BF91-0261DDCC6D59}"/>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5D752B48-E00C-40EE-A935-CCAC96226220}"/>
    <cellStyle name="Normal 4 2 2 3 3 2 3 2 2 3" xfId="24591" xr:uid="{CA123BCD-B7BF-401A-BD45-22C7FB95A315}"/>
    <cellStyle name="Normal 4 2 2 3 3 2 3 2 2 4" xfId="33038" xr:uid="{7A8989DA-43B5-41EB-8374-2A28B13E6D11}"/>
    <cellStyle name="Normal 4 2 2 3 3 2 3 2 3" xfId="11926" xr:uid="{28EF949B-E792-4F14-B8E9-59541D8A9156}"/>
    <cellStyle name="Normal 4 2 2 3 3 2 3 2 4" xfId="20374" xr:uid="{384A3127-D65C-4FC7-B123-628A319640FC}"/>
    <cellStyle name="Normal 4 2 2 3 3 2 3 2 5" xfId="28821" xr:uid="{621FFC95-FD7C-4444-8A67-8F09D2E01285}"/>
    <cellStyle name="Normal 4 2 2 3 3 2 3 3" xfId="5549" xr:uid="{00000000-0005-0000-0000-00004D120000}"/>
    <cellStyle name="Normal 4 2 2 3 3 2 3 3 2" xfId="13999" xr:uid="{87A9559A-A680-48B5-B0B2-6E03AF36F5EB}"/>
    <cellStyle name="Normal 4 2 2 3 3 2 3 3 3" xfId="22446" xr:uid="{954A3F5A-DEA8-4385-B754-25D4546C611E}"/>
    <cellStyle name="Normal 4 2 2 3 3 2 3 3 4" xfId="30893" xr:uid="{FB86422F-92FC-460A-9932-16532E3749B5}"/>
    <cellStyle name="Normal 4 2 2 3 3 2 3 4" xfId="9781" xr:uid="{4D26CEF8-01F5-4897-8084-CECAF9BC5938}"/>
    <cellStyle name="Normal 4 2 2 3 3 2 3 5" xfId="18229" xr:uid="{3238D5A9-1B1E-444B-877D-D18204F249F3}"/>
    <cellStyle name="Normal 4 2 2 3 3 2 3 6" xfId="26676" xr:uid="{C313C7CA-13C4-466F-A213-E16EED0F817D}"/>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3922AAD6-319A-4902-B20F-18DA76AA8D69}"/>
    <cellStyle name="Normal 4 2 2 3 3 2 4 2 2 3" xfId="25004" xr:uid="{90B2528B-F9CC-4A44-ADB6-8BB52B891E6C}"/>
    <cellStyle name="Normal 4 2 2 3 3 2 4 2 2 4" xfId="33451" xr:uid="{89D2E35C-5F3C-4410-952C-57AF6035715F}"/>
    <cellStyle name="Normal 4 2 2 3 3 2 4 2 3" xfId="12339" xr:uid="{D84E3484-8B3C-432A-99F7-BC5AF06C3AA7}"/>
    <cellStyle name="Normal 4 2 2 3 3 2 4 2 4" xfId="20787" xr:uid="{26EEEFF3-4D0B-49B7-BE24-4EECA4E1B709}"/>
    <cellStyle name="Normal 4 2 2 3 3 2 4 2 5" xfId="29234" xr:uid="{BB9B4E26-D04D-4F05-87C3-129A5FA9712F}"/>
    <cellStyle name="Normal 4 2 2 3 3 2 4 3" xfId="5962" xr:uid="{00000000-0005-0000-0000-000051120000}"/>
    <cellStyle name="Normal 4 2 2 3 3 2 4 3 2" xfId="14412" xr:uid="{A696A4DC-25A0-402D-BF23-6EB5059C8BF7}"/>
    <cellStyle name="Normal 4 2 2 3 3 2 4 3 3" xfId="22859" xr:uid="{990CBAEF-AAE4-4A90-9767-BBBED1B5D2FF}"/>
    <cellStyle name="Normal 4 2 2 3 3 2 4 3 4" xfId="31306" xr:uid="{AC551F6B-30F1-4CBD-BB1D-AF612FB3FCB0}"/>
    <cellStyle name="Normal 4 2 2 3 3 2 4 4" xfId="10194" xr:uid="{2D3FF8DF-4BDF-4369-AB52-1DDFED827CD1}"/>
    <cellStyle name="Normal 4 2 2 3 3 2 4 5" xfId="18642" xr:uid="{8CA12C31-08A9-4B6D-B1C0-272A1B7E13BE}"/>
    <cellStyle name="Normal 4 2 2 3 3 2 4 6" xfId="27089" xr:uid="{9F5E0A0D-E41B-4202-BD10-89CB18B0BE4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4F885AA3-4C14-4842-8575-3E05D4D731DC}"/>
    <cellStyle name="Normal 4 2 2 3 3 2 5 2 2 3" xfId="25417" xr:uid="{EBA91050-522B-4306-8C40-6ED70087A72C}"/>
    <cellStyle name="Normal 4 2 2 3 3 2 5 2 2 4" xfId="33864" xr:uid="{06FC8996-C1EF-43C5-8E3F-0AE7E51AB55C}"/>
    <cellStyle name="Normal 4 2 2 3 3 2 5 2 3" xfId="12752" xr:uid="{F57D01CC-92CF-4978-9D92-100C51BD1864}"/>
    <cellStyle name="Normal 4 2 2 3 3 2 5 2 4" xfId="21200" xr:uid="{466A32B2-A1C9-4FCF-8DCE-27EB11D0AAB8}"/>
    <cellStyle name="Normal 4 2 2 3 3 2 5 2 5" xfId="29647" xr:uid="{B89B9D33-20DF-40D3-8E33-A53C4E062398}"/>
    <cellStyle name="Normal 4 2 2 3 3 2 5 3" xfId="6375" xr:uid="{00000000-0005-0000-0000-000055120000}"/>
    <cellStyle name="Normal 4 2 2 3 3 2 5 3 2" xfId="14825" xr:uid="{0FE03182-7C38-4CE1-8248-BEFA1C051121}"/>
    <cellStyle name="Normal 4 2 2 3 3 2 5 3 3" xfId="23272" xr:uid="{098E23D6-0BDF-499E-9AA5-071163D0D941}"/>
    <cellStyle name="Normal 4 2 2 3 3 2 5 3 4" xfId="31719" xr:uid="{6BF49A75-C3F7-4BC7-BE20-F0C7EE3DEEAC}"/>
    <cellStyle name="Normal 4 2 2 3 3 2 5 4" xfId="10607" xr:uid="{7EE1D1C5-1618-4BD2-BE38-66EDE6548BAA}"/>
    <cellStyle name="Normal 4 2 2 3 3 2 5 5" xfId="19055" xr:uid="{4D620403-5EAA-4BFF-BFF6-18BE26B573C7}"/>
    <cellStyle name="Normal 4 2 2 3 3 2 5 6" xfId="27502" xr:uid="{C16ACAB5-A412-4C2D-825E-2ADF0076EFE1}"/>
    <cellStyle name="Normal 4 2 2 3 3 2 6" xfId="2505" xr:uid="{00000000-0005-0000-0000-000056120000}"/>
    <cellStyle name="Normal 4 2 2 3 3 2 6 2" xfId="6788" xr:uid="{00000000-0005-0000-0000-000057120000}"/>
    <cellStyle name="Normal 4 2 2 3 3 2 6 2 2" xfId="15238" xr:uid="{F414796A-6F5F-474A-9EF2-0B0634CE7102}"/>
    <cellStyle name="Normal 4 2 2 3 3 2 6 2 3" xfId="23685" xr:uid="{0E98CBA0-EB83-4D61-BED4-E657B462294D}"/>
    <cellStyle name="Normal 4 2 2 3 3 2 6 2 4" xfId="32132" xr:uid="{DF331490-C5C2-4380-BD64-F1FFC0444556}"/>
    <cellStyle name="Normal 4 2 2 3 3 2 6 3" xfId="11020" xr:uid="{5B4B7493-261E-4E85-A83C-F57358EFC053}"/>
    <cellStyle name="Normal 4 2 2 3 3 2 6 4" xfId="19468" xr:uid="{77EBC912-7F6E-4A12-B730-40B07AD53C8B}"/>
    <cellStyle name="Normal 4 2 2 3 3 2 6 5" xfId="27915" xr:uid="{8DBBBDBD-DBE1-49AA-BD95-234D3DBBC4B7}"/>
    <cellStyle name="Normal 4 2 2 3 3 2 7" xfId="4723" xr:uid="{00000000-0005-0000-0000-000058120000}"/>
    <cellStyle name="Normal 4 2 2 3 3 2 7 2" xfId="13173" xr:uid="{7E5EF739-00CE-4E5F-BB88-A0A1D95922F8}"/>
    <cellStyle name="Normal 4 2 2 3 3 2 7 3" xfId="21620" xr:uid="{837A66AD-75A1-497B-81E4-61DFE753BA9F}"/>
    <cellStyle name="Normal 4 2 2 3 3 2 7 4" xfId="30067" xr:uid="{B2FC7BD2-5FFB-4B78-BB31-3B4DEE345E9E}"/>
    <cellStyle name="Normal 4 2 2 3 3 2 8" xfId="8955" xr:uid="{10EED2F4-B3A3-4FED-B4B1-2A5E058BB04E}"/>
    <cellStyle name="Normal 4 2 2 3 3 2 9" xfId="17403" xr:uid="{E3F1A453-60B6-4E8F-9918-A100FDBECC22}"/>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245D8720-F52C-49D9-870A-8647A2746A62}"/>
    <cellStyle name="Normal 4 2 2 3 3 3 2 2 3" xfId="24177" xr:uid="{40340E03-3CC6-4960-9FA3-EBA103AA478B}"/>
    <cellStyle name="Normal 4 2 2 3 3 3 2 2 4" xfId="32624" xr:uid="{64C7DA27-2169-4AA3-BF77-04B87F3B32DF}"/>
    <cellStyle name="Normal 4 2 2 3 3 3 2 3" xfId="11512" xr:uid="{12384717-4FCE-4B80-8BB9-B28126DD5857}"/>
    <cellStyle name="Normal 4 2 2 3 3 3 2 4" xfId="19960" xr:uid="{525A17B9-AEF1-4012-B0AF-B9C23798C152}"/>
    <cellStyle name="Normal 4 2 2 3 3 3 2 5" xfId="28407" xr:uid="{32092668-11FF-4AEA-A996-5DC3D65A1275}"/>
    <cellStyle name="Normal 4 2 2 3 3 3 3" xfId="5135" xr:uid="{00000000-0005-0000-0000-00005C120000}"/>
    <cellStyle name="Normal 4 2 2 3 3 3 3 2" xfId="13585" xr:uid="{62E55A46-CC83-4A66-9A69-0F9DAD8C869D}"/>
    <cellStyle name="Normal 4 2 2 3 3 3 3 3" xfId="22032" xr:uid="{9C157AC5-4A7C-4818-AC5A-F448FDBDE9C2}"/>
    <cellStyle name="Normal 4 2 2 3 3 3 3 4" xfId="30479" xr:uid="{E4026A75-E72B-4FCB-82DC-2C554DEE1168}"/>
    <cellStyle name="Normal 4 2 2 3 3 3 4" xfId="9367" xr:uid="{80F8E2BA-2B8D-4BC4-8D45-3404882941A6}"/>
    <cellStyle name="Normal 4 2 2 3 3 3 5" xfId="17815" xr:uid="{5A5846A4-27C5-4C1A-988A-8986A8D8995B}"/>
    <cellStyle name="Normal 4 2 2 3 3 3 6" xfId="26262" xr:uid="{03835B54-AA69-4B4B-B973-8D625C86460D}"/>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E9B3DE6E-F765-47B9-89EB-D10C188862C8}"/>
    <cellStyle name="Normal 4 2 2 3 3 4 2 2 3" xfId="24590" xr:uid="{0905CD4E-5D43-41B1-B387-9AFCF02ABFBB}"/>
    <cellStyle name="Normal 4 2 2 3 3 4 2 2 4" xfId="33037" xr:uid="{409D3CDF-98DB-45BF-AFE1-CC7A008E04D6}"/>
    <cellStyle name="Normal 4 2 2 3 3 4 2 3" xfId="11925" xr:uid="{A5FF032B-D2FF-4C9B-BDE4-1061139428BA}"/>
    <cellStyle name="Normal 4 2 2 3 3 4 2 4" xfId="20373" xr:uid="{EE2912FA-191E-4065-BDCF-835CF8A5077A}"/>
    <cellStyle name="Normal 4 2 2 3 3 4 2 5" xfId="28820" xr:uid="{38855E12-D173-49B6-8446-5BCCDCD5B374}"/>
    <cellStyle name="Normal 4 2 2 3 3 4 3" xfId="5548" xr:uid="{00000000-0005-0000-0000-000060120000}"/>
    <cellStyle name="Normal 4 2 2 3 3 4 3 2" xfId="13998" xr:uid="{8755EE92-9468-44F9-8533-0E8414005D19}"/>
    <cellStyle name="Normal 4 2 2 3 3 4 3 3" xfId="22445" xr:uid="{ADB1A041-980F-4527-AD00-6018D221C273}"/>
    <cellStyle name="Normal 4 2 2 3 3 4 3 4" xfId="30892" xr:uid="{96D924DF-B877-49EF-A61B-BABB04829AFC}"/>
    <cellStyle name="Normal 4 2 2 3 3 4 4" xfId="9780" xr:uid="{7D78F36C-A247-4179-AC3F-AC7D285CE12F}"/>
    <cellStyle name="Normal 4 2 2 3 3 4 5" xfId="18228" xr:uid="{1BEE02CC-CAB3-47A7-A519-0472996A31C2}"/>
    <cellStyle name="Normal 4 2 2 3 3 4 6" xfId="26675" xr:uid="{A8A11A14-E177-45FF-9B18-99CDC1D3B38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F2BAE03A-749A-4C86-BD85-33BE25D6F465}"/>
    <cellStyle name="Normal 4 2 2 3 3 5 2 2 3" xfId="25003" xr:uid="{C5F7F2EE-B3D2-417F-85AA-DFA8BF9FE278}"/>
    <cellStyle name="Normal 4 2 2 3 3 5 2 2 4" xfId="33450" xr:uid="{2231C852-9356-46C1-8900-4BAE4E1D14D3}"/>
    <cellStyle name="Normal 4 2 2 3 3 5 2 3" xfId="12338" xr:uid="{F7AD0B0A-70AB-4924-9C1A-08591642A7F0}"/>
    <cellStyle name="Normal 4 2 2 3 3 5 2 4" xfId="20786" xr:uid="{DF71A4FC-69D8-41D8-A710-C01C5066ECAB}"/>
    <cellStyle name="Normal 4 2 2 3 3 5 2 5" xfId="29233" xr:uid="{9302C2CB-57A5-4824-9B19-9AF213E8FD01}"/>
    <cellStyle name="Normal 4 2 2 3 3 5 3" xfId="5961" xr:uid="{00000000-0005-0000-0000-000064120000}"/>
    <cellStyle name="Normal 4 2 2 3 3 5 3 2" xfId="14411" xr:uid="{DE895895-AAF8-45DB-AFDE-AC09C75AB6D4}"/>
    <cellStyle name="Normal 4 2 2 3 3 5 3 3" xfId="22858" xr:uid="{B232DE29-2165-4015-9C3B-323E8B9571F3}"/>
    <cellStyle name="Normal 4 2 2 3 3 5 3 4" xfId="31305" xr:uid="{FD70C353-12B8-4C5F-9D8C-1263BC5DD1CE}"/>
    <cellStyle name="Normal 4 2 2 3 3 5 4" xfId="10193" xr:uid="{B815A893-248D-40F7-9614-33155405EDE8}"/>
    <cellStyle name="Normal 4 2 2 3 3 5 5" xfId="18641" xr:uid="{F1912272-644C-4520-832B-1426B7C993F3}"/>
    <cellStyle name="Normal 4 2 2 3 3 5 6" xfId="27088" xr:uid="{7D00D983-B883-435B-A58D-50E69602BDFB}"/>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FCF87602-B71B-410B-8EDC-2CD1C8C6DFB2}"/>
    <cellStyle name="Normal 4 2 2 3 3 6 2 2 3" xfId="25416" xr:uid="{AFC3D45F-3AED-4224-9349-AB754B5981F5}"/>
    <cellStyle name="Normal 4 2 2 3 3 6 2 2 4" xfId="33863" xr:uid="{ACCA6BE8-6CD7-48EF-9161-0412C65D3F11}"/>
    <cellStyle name="Normal 4 2 2 3 3 6 2 3" xfId="12751" xr:uid="{C9BECCAB-6AD1-4EE1-BF9F-D141FCC52D4B}"/>
    <cellStyle name="Normal 4 2 2 3 3 6 2 4" xfId="21199" xr:uid="{8E403D07-C5F1-47CD-B3C0-286C9B0B54C8}"/>
    <cellStyle name="Normal 4 2 2 3 3 6 2 5" xfId="29646" xr:uid="{15C2D832-F13B-4A38-B58B-ED447478A51B}"/>
    <cellStyle name="Normal 4 2 2 3 3 6 3" xfId="6374" xr:uid="{00000000-0005-0000-0000-000068120000}"/>
    <cellStyle name="Normal 4 2 2 3 3 6 3 2" xfId="14824" xr:uid="{D6A9774D-EE2B-4B5C-83AF-5A97E9790768}"/>
    <cellStyle name="Normal 4 2 2 3 3 6 3 3" xfId="23271" xr:uid="{199F1CC4-B10B-4874-BF8D-29E5B4278ECB}"/>
    <cellStyle name="Normal 4 2 2 3 3 6 3 4" xfId="31718" xr:uid="{B63C4DA4-FB9B-43BD-877A-0F8416E01976}"/>
    <cellStyle name="Normal 4 2 2 3 3 6 4" xfId="10606" xr:uid="{64B752F0-1E1C-4D80-ACB9-0CA35C4A03B3}"/>
    <cellStyle name="Normal 4 2 2 3 3 6 5" xfId="19054" xr:uid="{1684C288-A26E-4E2B-AFD0-EA9DD1C47DD6}"/>
    <cellStyle name="Normal 4 2 2 3 3 6 6" xfId="27501" xr:uid="{A16225D7-4526-44D7-8649-BA32D963AC4D}"/>
    <cellStyle name="Normal 4 2 2 3 3 7" xfId="2504" xr:uid="{00000000-0005-0000-0000-000069120000}"/>
    <cellStyle name="Normal 4 2 2 3 3 7 2" xfId="6787" xr:uid="{00000000-0005-0000-0000-00006A120000}"/>
    <cellStyle name="Normal 4 2 2 3 3 7 2 2" xfId="15237" xr:uid="{1031BABC-C12C-40E5-9F83-7EDAB53862A4}"/>
    <cellStyle name="Normal 4 2 2 3 3 7 2 3" xfId="23684" xr:uid="{26346CA6-54BD-46B5-8AF7-8AD8D7733647}"/>
    <cellStyle name="Normal 4 2 2 3 3 7 2 4" xfId="32131" xr:uid="{47B5C25F-0F45-48D8-B7CC-1D59AAF96FA0}"/>
    <cellStyle name="Normal 4 2 2 3 3 7 3" xfId="11019" xr:uid="{0BA997DF-B867-459D-B81F-7B7EA4D61B0F}"/>
    <cellStyle name="Normal 4 2 2 3 3 7 4" xfId="19467" xr:uid="{287A1FD9-144E-4563-8EB3-6AB4A2DD9EB8}"/>
    <cellStyle name="Normal 4 2 2 3 3 7 5" xfId="27914" xr:uid="{F6BB9615-83CF-4B7E-A2F1-3633833B05E5}"/>
    <cellStyle name="Normal 4 2 2 3 3 8" xfId="4722" xr:uid="{00000000-0005-0000-0000-00006B120000}"/>
    <cellStyle name="Normal 4 2 2 3 3 8 2" xfId="13172" xr:uid="{DD93C92C-A260-4D5C-8D89-540AA33C8A66}"/>
    <cellStyle name="Normal 4 2 2 3 3 8 3" xfId="21619" xr:uid="{D006C3D1-9F60-47FF-8231-88CACDF4E2B7}"/>
    <cellStyle name="Normal 4 2 2 3 3 8 4" xfId="30066" xr:uid="{5EE7F8C3-AE9C-4C13-BC98-A1D2BBA5BDCD}"/>
    <cellStyle name="Normal 4 2 2 3 3 9" xfId="8954" xr:uid="{EC76EB0E-A27A-457F-BDBB-A57C905AF59A}"/>
    <cellStyle name="Normal 4 2 2 3 4" xfId="346" xr:uid="{00000000-0005-0000-0000-00006C120000}"/>
    <cellStyle name="Normal 4 2 2 3 4 10" xfId="25851" xr:uid="{7B17C4F4-B515-4294-A12C-7E5E67C969AA}"/>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9A7B3A40-4A43-4F25-87A5-22C1EEB85813}"/>
    <cellStyle name="Normal 4 2 2 3 4 2 2 2 3" xfId="24179" xr:uid="{FBAFCFE6-9DE1-478D-A026-BB62F76AB602}"/>
    <cellStyle name="Normal 4 2 2 3 4 2 2 2 4" xfId="32626" xr:uid="{8C905BB1-E410-40E5-81E8-6BF520FA9051}"/>
    <cellStyle name="Normal 4 2 2 3 4 2 2 3" xfId="11514" xr:uid="{6920E689-7CB6-4213-95EF-7AF9A4E07911}"/>
    <cellStyle name="Normal 4 2 2 3 4 2 2 4" xfId="19962" xr:uid="{FD217C1C-8C3F-44FA-B41F-662B89EF3896}"/>
    <cellStyle name="Normal 4 2 2 3 4 2 2 5" xfId="28409" xr:uid="{415F9F81-2CCC-442F-940C-306A82BB4DB3}"/>
    <cellStyle name="Normal 4 2 2 3 4 2 3" xfId="5137" xr:uid="{00000000-0005-0000-0000-000070120000}"/>
    <cellStyle name="Normal 4 2 2 3 4 2 3 2" xfId="13587" xr:uid="{B9CC50CD-1409-4DAC-A27A-044B2FACEA4B}"/>
    <cellStyle name="Normal 4 2 2 3 4 2 3 3" xfId="22034" xr:uid="{3D48DAAE-BB14-4521-A747-E6200DB4AEA3}"/>
    <cellStyle name="Normal 4 2 2 3 4 2 3 4" xfId="30481" xr:uid="{2B8F1FA4-B858-4CB4-A74E-60EDAB9DF361}"/>
    <cellStyle name="Normal 4 2 2 3 4 2 4" xfId="9369" xr:uid="{20F89F98-3557-44FF-8618-A7178FBA01A4}"/>
    <cellStyle name="Normal 4 2 2 3 4 2 5" xfId="17817" xr:uid="{6FC38D54-75E2-49FC-AEAB-6F0CCFFF6351}"/>
    <cellStyle name="Normal 4 2 2 3 4 2 6" xfId="26264" xr:uid="{AA35561A-D48A-4A1C-A058-9A81CB732CF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75E9C861-8ED3-4BD9-9E66-C1CC1922316F}"/>
    <cellStyle name="Normal 4 2 2 3 4 3 2 2 3" xfId="24592" xr:uid="{DD46970D-5639-4EAF-AA05-C3987984EAE7}"/>
    <cellStyle name="Normal 4 2 2 3 4 3 2 2 4" xfId="33039" xr:uid="{7830677A-F666-4B41-89AF-08644F75F043}"/>
    <cellStyle name="Normal 4 2 2 3 4 3 2 3" xfId="11927" xr:uid="{2C3F1FD7-E8A5-463C-9971-2089BE9D82C3}"/>
    <cellStyle name="Normal 4 2 2 3 4 3 2 4" xfId="20375" xr:uid="{03F52A25-EEAF-4FB6-A9C0-00795CF6837D}"/>
    <cellStyle name="Normal 4 2 2 3 4 3 2 5" xfId="28822" xr:uid="{FA9F9481-4E36-4100-AC57-5447D2A1F56B}"/>
    <cellStyle name="Normal 4 2 2 3 4 3 3" xfId="5550" xr:uid="{00000000-0005-0000-0000-000074120000}"/>
    <cellStyle name="Normal 4 2 2 3 4 3 3 2" xfId="14000" xr:uid="{D3BBF715-EBA0-496E-98CB-27B68232F689}"/>
    <cellStyle name="Normal 4 2 2 3 4 3 3 3" xfId="22447" xr:uid="{6394C52D-F856-4137-B062-45B76528B97D}"/>
    <cellStyle name="Normal 4 2 2 3 4 3 3 4" xfId="30894" xr:uid="{BE39362C-68F1-4325-9147-52E6F59A7645}"/>
    <cellStyle name="Normal 4 2 2 3 4 3 4" xfId="9782" xr:uid="{7D0A39DF-36B4-4CDF-A973-E397308775D5}"/>
    <cellStyle name="Normal 4 2 2 3 4 3 5" xfId="18230" xr:uid="{D51C0114-216F-4876-9D2E-D1FA24CB4D17}"/>
    <cellStyle name="Normal 4 2 2 3 4 3 6" xfId="26677" xr:uid="{CC7589C6-6E13-4840-8869-2F47DEECD7EF}"/>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E8E99257-ACD2-4B99-958A-EF77BC36D88D}"/>
    <cellStyle name="Normal 4 2 2 3 4 4 2 2 3" xfId="25005" xr:uid="{F91564EB-32E6-469F-A0C5-1E370A129999}"/>
    <cellStyle name="Normal 4 2 2 3 4 4 2 2 4" xfId="33452" xr:uid="{33B007B7-B11F-4413-838E-608CFF705636}"/>
    <cellStyle name="Normal 4 2 2 3 4 4 2 3" xfId="12340" xr:uid="{0CA5E5F7-5B88-4411-8AA1-4C614C824709}"/>
    <cellStyle name="Normal 4 2 2 3 4 4 2 4" xfId="20788" xr:uid="{FF08732B-9FFB-4810-B6F0-B2B7CFCCF977}"/>
    <cellStyle name="Normal 4 2 2 3 4 4 2 5" xfId="29235" xr:uid="{5C7E4397-C3E5-48F4-A44F-7100B981A893}"/>
    <cellStyle name="Normal 4 2 2 3 4 4 3" xfId="5963" xr:uid="{00000000-0005-0000-0000-000078120000}"/>
    <cellStyle name="Normal 4 2 2 3 4 4 3 2" xfId="14413" xr:uid="{47418A71-72C3-4511-8EBD-D1BF6173EBDF}"/>
    <cellStyle name="Normal 4 2 2 3 4 4 3 3" xfId="22860" xr:uid="{915ADFBE-6FA2-48D3-9D9C-B621D2EF83B3}"/>
    <cellStyle name="Normal 4 2 2 3 4 4 3 4" xfId="31307" xr:uid="{13C02E6E-CCE9-4417-91FD-C735173A565C}"/>
    <cellStyle name="Normal 4 2 2 3 4 4 4" xfId="10195" xr:uid="{BFAA370D-E405-4190-8E6A-1C4F80B63BC2}"/>
    <cellStyle name="Normal 4 2 2 3 4 4 5" xfId="18643" xr:uid="{9B212ECF-8BC7-4597-A008-AA3AE5CC8D86}"/>
    <cellStyle name="Normal 4 2 2 3 4 4 6" xfId="27090" xr:uid="{CF89C70D-65BD-4F73-AEB6-E4197D193F53}"/>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87B8DC0B-F06F-45A4-9AA5-80D44E5302E6}"/>
    <cellStyle name="Normal 4 2 2 3 4 5 2 2 3" xfId="25418" xr:uid="{B7A452CA-83F9-4285-BB0D-D2BD2CD25410}"/>
    <cellStyle name="Normal 4 2 2 3 4 5 2 2 4" xfId="33865" xr:uid="{CC9F76A4-DB72-447E-BCA6-51002885AE08}"/>
    <cellStyle name="Normal 4 2 2 3 4 5 2 3" xfId="12753" xr:uid="{DF7CE132-B594-43F6-BA86-B2D831EB961E}"/>
    <cellStyle name="Normal 4 2 2 3 4 5 2 4" xfId="21201" xr:uid="{A7541A6A-DB80-45CF-A810-44825B0C175A}"/>
    <cellStyle name="Normal 4 2 2 3 4 5 2 5" xfId="29648" xr:uid="{50195376-C380-45D1-A5BC-78AC624AE852}"/>
    <cellStyle name="Normal 4 2 2 3 4 5 3" xfId="6376" xr:uid="{00000000-0005-0000-0000-00007C120000}"/>
    <cellStyle name="Normal 4 2 2 3 4 5 3 2" xfId="14826" xr:uid="{25D9C94B-EAE8-4BF9-8E7B-0714438F68E9}"/>
    <cellStyle name="Normal 4 2 2 3 4 5 3 3" xfId="23273" xr:uid="{87B6C3F0-6A5F-4A43-8110-32E54F50710E}"/>
    <cellStyle name="Normal 4 2 2 3 4 5 3 4" xfId="31720" xr:uid="{A2D9CD34-AEAF-4DF4-9C89-FDCB08B736BC}"/>
    <cellStyle name="Normal 4 2 2 3 4 5 4" xfId="10608" xr:uid="{B456208D-5E17-481E-80B9-CF3498FD3EA7}"/>
    <cellStyle name="Normal 4 2 2 3 4 5 5" xfId="19056" xr:uid="{06D2516C-4120-4878-95B7-8CDABE3C30F4}"/>
    <cellStyle name="Normal 4 2 2 3 4 5 6" xfId="27503" xr:uid="{D72213F6-D2B9-4760-A701-22DF1E0E6DF6}"/>
    <cellStyle name="Normal 4 2 2 3 4 6" xfId="2506" xr:uid="{00000000-0005-0000-0000-00007D120000}"/>
    <cellStyle name="Normal 4 2 2 3 4 6 2" xfId="6789" xr:uid="{00000000-0005-0000-0000-00007E120000}"/>
    <cellStyle name="Normal 4 2 2 3 4 6 2 2" xfId="15239" xr:uid="{3263971F-F98A-45E9-86F0-E633E242A2A3}"/>
    <cellStyle name="Normal 4 2 2 3 4 6 2 3" xfId="23686" xr:uid="{3B768044-DBDD-4D34-8DD7-F41D96143974}"/>
    <cellStyle name="Normal 4 2 2 3 4 6 2 4" xfId="32133" xr:uid="{4EAAD4C9-2848-475C-9721-467F6074D3E4}"/>
    <cellStyle name="Normal 4 2 2 3 4 6 3" xfId="11021" xr:uid="{99B9AC71-3AF4-4298-940A-23F1FA4AB460}"/>
    <cellStyle name="Normal 4 2 2 3 4 6 4" xfId="19469" xr:uid="{8E5CDE6A-D572-4FFF-ACDE-ABB1637936CC}"/>
    <cellStyle name="Normal 4 2 2 3 4 6 5" xfId="27916" xr:uid="{F91B2133-6FF2-4E82-A2F0-91623682C4A1}"/>
    <cellStyle name="Normal 4 2 2 3 4 7" xfId="4724" xr:uid="{00000000-0005-0000-0000-00007F120000}"/>
    <cellStyle name="Normal 4 2 2 3 4 7 2" xfId="13174" xr:uid="{D7621396-8C8C-4EC3-8B12-0AD13E2E8A63}"/>
    <cellStyle name="Normal 4 2 2 3 4 7 3" xfId="21621" xr:uid="{6FE3F32D-486E-42A7-84AC-D20E26E948EB}"/>
    <cellStyle name="Normal 4 2 2 3 4 7 4" xfId="30068" xr:uid="{A5C61034-15EC-4DED-948F-F7B1AB40EC6A}"/>
    <cellStyle name="Normal 4 2 2 3 4 8" xfId="8956" xr:uid="{97268B5D-B48B-445E-ABBC-C4F3554716F0}"/>
    <cellStyle name="Normal 4 2 2 3 4 9" xfId="17404" xr:uid="{F7F60FC9-DDFB-4AFD-9772-6398D25808A6}"/>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C8A58F84-26E1-4EF6-9CAD-21C8C4254E37}"/>
    <cellStyle name="Normal 4 2 2 3 5 2 2 3" xfId="24172" xr:uid="{485E1D45-EFE6-426E-87F8-1F25801C2C24}"/>
    <cellStyle name="Normal 4 2 2 3 5 2 2 4" xfId="32619" xr:uid="{9C21E971-0D31-4C95-B057-D69F6C198A4C}"/>
    <cellStyle name="Normal 4 2 2 3 5 2 3" xfId="11507" xr:uid="{7889C92D-642B-461E-AA4A-5DCEE2B23104}"/>
    <cellStyle name="Normal 4 2 2 3 5 2 4" xfId="19955" xr:uid="{5258D728-CCB7-448F-AAA9-C81C3B128618}"/>
    <cellStyle name="Normal 4 2 2 3 5 2 5" xfId="28402" xr:uid="{44BBEFEC-49C2-42D5-86FA-DD54EB2BD031}"/>
    <cellStyle name="Normal 4 2 2 3 5 3" xfId="5130" xr:uid="{00000000-0005-0000-0000-000083120000}"/>
    <cellStyle name="Normal 4 2 2 3 5 3 2" xfId="13580" xr:uid="{91709DFF-40EF-4825-9D2E-F93CB82B7B1C}"/>
    <cellStyle name="Normal 4 2 2 3 5 3 3" xfId="22027" xr:uid="{158F1CEA-6ABD-48C0-A5D1-3A9F5FAE89D8}"/>
    <cellStyle name="Normal 4 2 2 3 5 3 4" xfId="30474" xr:uid="{91E0BBA2-DB65-412A-81F6-EECD93307DA6}"/>
    <cellStyle name="Normal 4 2 2 3 5 4" xfId="9362" xr:uid="{3C941A75-942A-4A03-9961-5DAFFDF21711}"/>
    <cellStyle name="Normal 4 2 2 3 5 5" xfId="17810" xr:uid="{C6870DCF-CB25-46C8-A98D-81FD79318F60}"/>
    <cellStyle name="Normal 4 2 2 3 5 6" xfId="26257" xr:uid="{4266B985-6424-4360-914E-B5EF7C4CA09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15C46CBF-9B81-4297-A134-10BE563C22B8}"/>
    <cellStyle name="Normal 4 2 2 3 6 2 2 3" xfId="24585" xr:uid="{4FEB1980-DAAF-413A-B269-93C3F358626B}"/>
    <cellStyle name="Normal 4 2 2 3 6 2 2 4" xfId="33032" xr:uid="{59FE2D62-DD79-41DF-9D76-719B7304CB5B}"/>
    <cellStyle name="Normal 4 2 2 3 6 2 3" xfId="11920" xr:uid="{2BC16B78-820C-4F49-836C-C38338CBC77A}"/>
    <cellStyle name="Normal 4 2 2 3 6 2 4" xfId="20368" xr:uid="{B65F8B8C-BEF7-41C4-865B-828090F16554}"/>
    <cellStyle name="Normal 4 2 2 3 6 2 5" xfId="28815" xr:uid="{7BC1B1B9-836D-4545-AE44-20D47322BE79}"/>
    <cellStyle name="Normal 4 2 2 3 6 3" xfId="5543" xr:uid="{00000000-0005-0000-0000-000087120000}"/>
    <cellStyle name="Normal 4 2 2 3 6 3 2" xfId="13993" xr:uid="{9703E7AF-B1EB-4830-B528-C2EB587E6F9C}"/>
    <cellStyle name="Normal 4 2 2 3 6 3 3" xfId="22440" xr:uid="{469E36AC-D4F1-4E9B-8057-3B2626771BAB}"/>
    <cellStyle name="Normal 4 2 2 3 6 3 4" xfId="30887" xr:uid="{3F051370-ADDF-4240-9BBD-A900C1901D7E}"/>
    <cellStyle name="Normal 4 2 2 3 6 4" xfId="9775" xr:uid="{61BE9B31-719C-426B-B084-25FA8F1E01ED}"/>
    <cellStyle name="Normal 4 2 2 3 6 5" xfId="18223" xr:uid="{EA0D5577-4BA5-4535-A56F-89BF99DACB5C}"/>
    <cellStyle name="Normal 4 2 2 3 6 6" xfId="26670" xr:uid="{32C6468C-66CA-4969-A42F-C7DEA534BD37}"/>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20609026-5C6A-4A9D-A9A1-518D2BC87F88}"/>
    <cellStyle name="Normal 4 2 2 3 7 2 2 3" xfId="24998" xr:uid="{19E67BE1-3EBD-4639-85A7-381CC669460B}"/>
    <cellStyle name="Normal 4 2 2 3 7 2 2 4" xfId="33445" xr:uid="{5C88DE09-B5EB-4426-A47D-4C9E17C1F101}"/>
    <cellStyle name="Normal 4 2 2 3 7 2 3" xfId="12333" xr:uid="{2300E5DB-43AE-4CB2-9F4C-C41792AD0350}"/>
    <cellStyle name="Normal 4 2 2 3 7 2 4" xfId="20781" xr:uid="{407F7C08-39C4-4EBF-AA41-8FCA2D833E2D}"/>
    <cellStyle name="Normal 4 2 2 3 7 2 5" xfId="29228" xr:uid="{9BFCCDA6-909F-42D5-9833-252F28B80B7A}"/>
    <cellStyle name="Normal 4 2 2 3 7 3" xfId="5956" xr:uid="{00000000-0005-0000-0000-00008B120000}"/>
    <cellStyle name="Normal 4 2 2 3 7 3 2" xfId="14406" xr:uid="{31464BAE-DE53-4E1F-9BB1-CBFE9E95FF2C}"/>
    <cellStyle name="Normal 4 2 2 3 7 3 3" xfId="22853" xr:uid="{2B23A2BC-C663-425E-A7DA-553B35258D5F}"/>
    <cellStyle name="Normal 4 2 2 3 7 3 4" xfId="31300" xr:uid="{6C357B05-8A7A-4DA8-B456-AA7B2FEC1368}"/>
    <cellStyle name="Normal 4 2 2 3 7 4" xfId="10188" xr:uid="{97A588D6-5BEF-4DB5-B382-5EF97B6D153D}"/>
    <cellStyle name="Normal 4 2 2 3 7 5" xfId="18636" xr:uid="{B3B3DA2F-DF5B-47A9-8ACC-65C6DDE12E26}"/>
    <cellStyle name="Normal 4 2 2 3 7 6" xfId="27083" xr:uid="{BD775097-84DB-4216-8970-A109B96F381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C0834BDE-0FD8-46CE-A185-84F38AE34EAB}"/>
    <cellStyle name="Normal 4 2 2 3 8 2 2 3" xfId="25411" xr:uid="{6A982B36-C924-4DDA-89A6-0C00004AC041}"/>
    <cellStyle name="Normal 4 2 2 3 8 2 2 4" xfId="33858" xr:uid="{9B54E5B1-8DFD-429E-A1E5-12340D33C4C5}"/>
    <cellStyle name="Normal 4 2 2 3 8 2 3" xfId="12746" xr:uid="{FB120091-3F00-48F6-8338-6297B3A8D22C}"/>
    <cellStyle name="Normal 4 2 2 3 8 2 4" xfId="21194" xr:uid="{C4347738-1EEB-42AB-896D-F7D83B16775A}"/>
    <cellStyle name="Normal 4 2 2 3 8 2 5" xfId="29641" xr:uid="{BB4F0BBE-281B-4C91-B161-5D30F0AD7DF3}"/>
    <cellStyle name="Normal 4 2 2 3 8 3" xfId="6369" xr:uid="{00000000-0005-0000-0000-00008F120000}"/>
    <cellStyle name="Normal 4 2 2 3 8 3 2" xfId="14819" xr:uid="{46A564BF-1815-484F-B877-55A95CE1953B}"/>
    <cellStyle name="Normal 4 2 2 3 8 3 3" xfId="23266" xr:uid="{FDA6B09F-C3EB-4329-88B0-6A2D42F65AA8}"/>
    <cellStyle name="Normal 4 2 2 3 8 3 4" xfId="31713" xr:uid="{F742C710-B77F-42F2-AB32-F59D76A6DFED}"/>
    <cellStyle name="Normal 4 2 2 3 8 4" xfId="10601" xr:uid="{9BA5D2FF-6375-4F5B-9566-F749F8F44CFB}"/>
    <cellStyle name="Normal 4 2 2 3 8 5" xfId="19049" xr:uid="{6FFCC7C5-75EC-4C76-B09F-ACA3998453A2}"/>
    <cellStyle name="Normal 4 2 2 3 8 6" xfId="27496" xr:uid="{C190B7F7-3F06-4665-9FA5-DF4BDCF714D9}"/>
    <cellStyle name="Normal 4 2 2 3 9" xfId="2499" xr:uid="{00000000-0005-0000-0000-000090120000}"/>
    <cellStyle name="Normal 4 2 2 3 9 2" xfId="6782" xr:uid="{00000000-0005-0000-0000-000091120000}"/>
    <cellStyle name="Normal 4 2 2 3 9 2 2" xfId="15232" xr:uid="{EEF00289-3458-46D3-A557-E220B787DCAE}"/>
    <cellStyle name="Normal 4 2 2 3 9 2 3" xfId="23679" xr:uid="{703E3252-2238-4FE1-8B76-43A4957C727C}"/>
    <cellStyle name="Normal 4 2 2 3 9 2 4" xfId="32126" xr:uid="{360B2012-BDE0-4494-8735-FCE4765EC9EE}"/>
    <cellStyle name="Normal 4 2 2 3 9 3" xfId="11014" xr:uid="{6FC0B21F-C66E-4842-A013-FE4B80EE8109}"/>
    <cellStyle name="Normal 4 2 2 3 9 4" xfId="19462" xr:uid="{46556960-0622-4A5B-8FFF-C093AD5ACF47}"/>
    <cellStyle name="Normal 4 2 2 3 9 5" xfId="27909" xr:uid="{E9C22EBA-50F8-45B6-9F91-61D3C86B6777}"/>
    <cellStyle name="Normal 4 2 2 4" xfId="347" xr:uid="{00000000-0005-0000-0000-000092120000}"/>
    <cellStyle name="Normal 4 2 2 4 10" xfId="8957" xr:uid="{AB60B6C8-B9C3-4F09-A907-7C4FC91ACF56}"/>
    <cellStyle name="Normal 4 2 2 4 11" xfId="17405" xr:uid="{0D0213C3-8E87-4640-BFBF-FB832366ECE6}"/>
    <cellStyle name="Normal 4 2 2 4 12" xfId="25852" xr:uid="{2797A92C-B761-4540-BAC1-C3ED0E9DE1B2}"/>
    <cellStyle name="Normal 4 2 2 4 2" xfId="348" xr:uid="{00000000-0005-0000-0000-000093120000}"/>
    <cellStyle name="Normal 4 2 2 4 2 10" xfId="17406" xr:uid="{E0B5072D-9C5E-4960-A48D-E2400E8207A1}"/>
    <cellStyle name="Normal 4 2 2 4 2 11" xfId="25853" xr:uid="{3988C194-2DCF-4E15-B3D6-D01D0924394F}"/>
    <cellStyle name="Normal 4 2 2 4 2 2" xfId="349" xr:uid="{00000000-0005-0000-0000-000094120000}"/>
    <cellStyle name="Normal 4 2 2 4 2 2 10" xfId="25854" xr:uid="{C024E59A-B628-4BCC-A8F5-F8CD7ACBDB68}"/>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F1F01990-1E23-44FC-8D3E-396230242108}"/>
    <cellStyle name="Normal 4 2 2 4 2 2 2 2 2 3" xfId="24182" xr:uid="{49596458-BC1D-4DEF-9B92-A16A5D9BB21A}"/>
    <cellStyle name="Normal 4 2 2 4 2 2 2 2 2 4" xfId="32629" xr:uid="{D5C9B053-D5B3-4CBA-9D50-A7972E9D3FDE}"/>
    <cellStyle name="Normal 4 2 2 4 2 2 2 2 3" xfId="11517" xr:uid="{F8BF764D-01D2-4D47-8745-D411842A7938}"/>
    <cellStyle name="Normal 4 2 2 4 2 2 2 2 4" xfId="19965" xr:uid="{8C7B1183-D185-4065-ACF9-CF1837C884E2}"/>
    <cellStyle name="Normal 4 2 2 4 2 2 2 2 5" xfId="28412" xr:uid="{64B76DBA-6E31-4581-8F88-D7E2E32088F0}"/>
    <cellStyle name="Normal 4 2 2 4 2 2 2 3" xfId="5140" xr:uid="{00000000-0005-0000-0000-000098120000}"/>
    <cellStyle name="Normal 4 2 2 4 2 2 2 3 2" xfId="13590" xr:uid="{DAA388A1-7850-4074-BCE5-88E4043A2892}"/>
    <cellStyle name="Normal 4 2 2 4 2 2 2 3 3" xfId="22037" xr:uid="{E80B36A4-C5E1-4C6B-9546-1BEBA2D65AD5}"/>
    <cellStyle name="Normal 4 2 2 4 2 2 2 3 4" xfId="30484" xr:uid="{09B08529-CF4E-46A7-9D75-2A256D886568}"/>
    <cellStyle name="Normal 4 2 2 4 2 2 2 4" xfId="9372" xr:uid="{4620DAA1-2ECA-408A-A544-91234DB75E62}"/>
    <cellStyle name="Normal 4 2 2 4 2 2 2 5" xfId="17820" xr:uid="{8EB06B2C-09E7-4C03-9CF7-F638DC2F4623}"/>
    <cellStyle name="Normal 4 2 2 4 2 2 2 6" xfId="26267" xr:uid="{2C1D11DF-E65B-4B1C-BFDD-D867D133448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17D9D2F2-B408-41FA-B18C-952B13A7DE59}"/>
    <cellStyle name="Normal 4 2 2 4 2 2 3 2 2 3" xfId="24595" xr:uid="{0F0454CB-8595-46EE-9B6D-C9F451C96BE2}"/>
    <cellStyle name="Normal 4 2 2 4 2 2 3 2 2 4" xfId="33042" xr:uid="{B899560F-647A-4D6D-8282-D4D1024C9410}"/>
    <cellStyle name="Normal 4 2 2 4 2 2 3 2 3" xfId="11930" xr:uid="{A89A594D-211C-46D9-9689-ED6EF5EF3C04}"/>
    <cellStyle name="Normal 4 2 2 4 2 2 3 2 4" xfId="20378" xr:uid="{8F4E8FEA-0855-457D-B564-89986922B34D}"/>
    <cellStyle name="Normal 4 2 2 4 2 2 3 2 5" xfId="28825" xr:uid="{76840117-FDFE-4590-8E7F-FC3D4CE1142F}"/>
    <cellStyle name="Normal 4 2 2 4 2 2 3 3" xfId="5553" xr:uid="{00000000-0005-0000-0000-00009C120000}"/>
    <cellStyle name="Normal 4 2 2 4 2 2 3 3 2" xfId="14003" xr:uid="{620683DE-5AFD-46B3-8818-4411ECB33875}"/>
    <cellStyle name="Normal 4 2 2 4 2 2 3 3 3" xfId="22450" xr:uid="{4E3F9FB1-16B1-4D85-9E08-2366892420FF}"/>
    <cellStyle name="Normal 4 2 2 4 2 2 3 3 4" xfId="30897" xr:uid="{18BA5EB1-23D0-4F5A-8779-762C20D30F66}"/>
    <cellStyle name="Normal 4 2 2 4 2 2 3 4" xfId="9785" xr:uid="{E319C711-735F-4F26-B6B6-2932CC8EB930}"/>
    <cellStyle name="Normal 4 2 2 4 2 2 3 5" xfId="18233" xr:uid="{C1C4E52C-0515-4D14-A68A-58D18A994642}"/>
    <cellStyle name="Normal 4 2 2 4 2 2 3 6" xfId="26680" xr:uid="{EA0E9401-99AA-4F75-B89C-C65344E59014}"/>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5B5B6467-E51C-49BC-AE70-BD5A3690C05D}"/>
    <cellStyle name="Normal 4 2 2 4 2 2 4 2 2 3" xfId="25008" xr:uid="{730E4C8F-54F3-4106-9351-F97B0C20E863}"/>
    <cellStyle name="Normal 4 2 2 4 2 2 4 2 2 4" xfId="33455" xr:uid="{91005D06-4A7B-446C-A33C-2F138B28C73D}"/>
    <cellStyle name="Normal 4 2 2 4 2 2 4 2 3" xfId="12343" xr:uid="{E3957466-617A-464C-88E8-52F2AC3B8267}"/>
    <cellStyle name="Normal 4 2 2 4 2 2 4 2 4" xfId="20791" xr:uid="{383755E7-E826-4C8F-81B1-5EAFA66E3285}"/>
    <cellStyle name="Normal 4 2 2 4 2 2 4 2 5" xfId="29238" xr:uid="{2C181BB3-219A-4C7E-8EE3-DF3BEEA67C7D}"/>
    <cellStyle name="Normal 4 2 2 4 2 2 4 3" xfId="5966" xr:uid="{00000000-0005-0000-0000-0000A0120000}"/>
    <cellStyle name="Normal 4 2 2 4 2 2 4 3 2" xfId="14416" xr:uid="{472D7D28-685C-4A51-9AAB-5084602BCDF2}"/>
    <cellStyle name="Normal 4 2 2 4 2 2 4 3 3" xfId="22863" xr:uid="{878AF9D8-5C03-4F50-BDBF-C09010A6A03D}"/>
    <cellStyle name="Normal 4 2 2 4 2 2 4 3 4" xfId="31310" xr:uid="{BBF3F75E-867B-43B3-9355-3A2393BD8BF6}"/>
    <cellStyle name="Normal 4 2 2 4 2 2 4 4" xfId="10198" xr:uid="{32391DAC-0F85-4544-B20A-AF2ADA51BE22}"/>
    <cellStyle name="Normal 4 2 2 4 2 2 4 5" xfId="18646" xr:uid="{BDE93504-9DC8-4549-9BAC-57996A7F48ED}"/>
    <cellStyle name="Normal 4 2 2 4 2 2 4 6" xfId="27093" xr:uid="{191F2A8E-E5AC-4451-9E18-33FDBE7F739C}"/>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179D3F42-F9FD-4FA8-9BA3-54AEEAD4DDF5}"/>
    <cellStyle name="Normal 4 2 2 4 2 2 5 2 2 3" xfId="25421" xr:uid="{F03A1E99-F227-4B26-A8E9-F7F7264D881B}"/>
    <cellStyle name="Normal 4 2 2 4 2 2 5 2 2 4" xfId="33868" xr:uid="{1F5F6B0F-16C5-464F-BEC5-2FD17E62D9CA}"/>
    <cellStyle name="Normal 4 2 2 4 2 2 5 2 3" xfId="12756" xr:uid="{5BE07B11-7CAA-472A-AA19-C00CE92E0D20}"/>
    <cellStyle name="Normal 4 2 2 4 2 2 5 2 4" xfId="21204" xr:uid="{C6C96C0D-3264-4706-A02E-9C7B254641D1}"/>
    <cellStyle name="Normal 4 2 2 4 2 2 5 2 5" xfId="29651" xr:uid="{D5016F86-8F8F-4B33-8355-C0B0C72BE24D}"/>
    <cellStyle name="Normal 4 2 2 4 2 2 5 3" xfId="6379" xr:uid="{00000000-0005-0000-0000-0000A4120000}"/>
    <cellStyle name="Normal 4 2 2 4 2 2 5 3 2" xfId="14829" xr:uid="{6A510A89-4B80-4E64-A784-0F5A52170B53}"/>
    <cellStyle name="Normal 4 2 2 4 2 2 5 3 3" xfId="23276" xr:uid="{1803FFB5-AB4A-4327-84B2-F6BCB4FAD31B}"/>
    <cellStyle name="Normal 4 2 2 4 2 2 5 3 4" xfId="31723" xr:uid="{95C6CEF7-83B9-47EE-A3D9-C111313BA1C9}"/>
    <cellStyle name="Normal 4 2 2 4 2 2 5 4" xfId="10611" xr:uid="{195D812F-25CA-43FC-9E61-56BA0987AB60}"/>
    <cellStyle name="Normal 4 2 2 4 2 2 5 5" xfId="19059" xr:uid="{A9E8A4F6-F0BC-4F0F-BEE3-AEE880D701EC}"/>
    <cellStyle name="Normal 4 2 2 4 2 2 5 6" xfId="27506" xr:uid="{268BD098-64DE-4991-91AA-3C195474DD5B}"/>
    <cellStyle name="Normal 4 2 2 4 2 2 6" xfId="2509" xr:uid="{00000000-0005-0000-0000-0000A5120000}"/>
    <cellStyle name="Normal 4 2 2 4 2 2 6 2" xfId="6792" xr:uid="{00000000-0005-0000-0000-0000A6120000}"/>
    <cellStyle name="Normal 4 2 2 4 2 2 6 2 2" xfId="15242" xr:uid="{0E9E6427-F5CF-4A75-A5A9-B25988F9A980}"/>
    <cellStyle name="Normal 4 2 2 4 2 2 6 2 3" xfId="23689" xr:uid="{334E5CB3-93F2-4A2F-9C53-4CED5B719926}"/>
    <cellStyle name="Normal 4 2 2 4 2 2 6 2 4" xfId="32136" xr:uid="{6CA60BA6-BAB5-4FC7-B59F-8BBA3E0585CB}"/>
    <cellStyle name="Normal 4 2 2 4 2 2 6 3" xfId="11024" xr:uid="{EF37F267-3463-4734-A373-71833829FEB8}"/>
    <cellStyle name="Normal 4 2 2 4 2 2 6 4" xfId="19472" xr:uid="{AB3C4BC6-19E7-49E4-9CAA-63DA803DE39B}"/>
    <cellStyle name="Normal 4 2 2 4 2 2 6 5" xfId="27919" xr:uid="{DC8F5651-DAA3-41C7-8600-B6975E036997}"/>
    <cellStyle name="Normal 4 2 2 4 2 2 7" xfId="4727" xr:uid="{00000000-0005-0000-0000-0000A7120000}"/>
    <cellStyle name="Normal 4 2 2 4 2 2 7 2" xfId="13177" xr:uid="{6181368D-70C6-4C1C-9E2B-6F6523372039}"/>
    <cellStyle name="Normal 4 2 2 4 2 2 7 3" xfId="21624" xr:uid="{E67D8FB8-74FB-4E46-AC8D-4D3A105B9AE2}"/>
    <cellStyle name="Normal 4 2 2 4 2 2 7 4" xfId="30071" xr:uid="{5B4AE542-F88F-4390-92D6-39313463736C}"/>
    <cellStyle name="Normal 4 2 2 4 2 2 8" xfId="8959" xr:uid="{425B3314-3839-4BC1-81CE-F2651C3DEDCD}"/>
    <cellStyle name="Normal 4 2 2 4 2 2 9" xfId="17407" xr:uid="{BD45C4A3-5476-4A5F-83F5-615ACF36B401}"/>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2BCD2FEA-0BC8-4DAC-ACC4-8DDA523A2DA0}"/>
    <cellStyle name="Normal 4 2 2 4 2 3 2 2 3" xfId="24181" xr:uid="{0B087254-E6C6-4E92-A38B-74E14C902E82}"/>
    <cellStyle name="Normal 4 2 2 4 2 3 2 2 4" xfId="32628" xr:uid="{2E222813-F10C-4DD6-AC50-66CDA8ECD7FB}"/>
    <cellStyle name="Normal 4 2 2 4 2 3 2 3" xfId="11516" xr:uid="{BE13304F-51D9-4222-8223-ED3CA69057DD}"/>
    <cellStyle name="Normal 4 2 2 4 2 3 2 4" xfId="19964" xr:uid="{385CEE8D-2865-479A-A893-FFA7A42E5AC7}"/>
    <cellStyle name="Normal 4 2 2 4 2 3 2 5" xfId="28411" xr:uid="{9567CEAD-F859-4319-8752-888B18CB58F7}"/>
    <cellStyle name="Normal 4 2 2 4 2 3 3" xfId="5139" xr:uid="{00000000-0005-0000-0000-0000AB120000}"/>
    <cellStyle name="Normal 4 2 2 4 2 3 3 2" xfId="13589" xr:uid="{AE982B20-D5FA-4552-B5D3-F19EDAA3A87E}"/>
    <cellStyle name="Normal 4 2 2 4 2 3 3 3" xfId="22036" xr:uid="{6EFCD5DD-3D51-410E-9A41-3F5075B6B873}"/>
    <cellStyle name="Normal 4 2 2 4 2 3 3 4" xfId="30483" xr:uid="{B33709AC-6CC1-4690-970C-0074BEC9876F}"/>
    <cellStyle name="Normal 4 2 2 4 2 3 4" xfId="9371" xr:uid="{BF6036FF-60C4-4B54-BC7B-3C81E3E6D230}"/>
    <cellStyle name="Normal 4 2 2 4 2 3 5" xfId="17819" xr:uid="{DC5E6F32-5C75-4337-9BDE-B69BAAD22DFB}"/>
    <cellStyle name="Normal 4 2 2 4 2 3 6" xfId="26266" xr:uid="{7D33FDB4-EC58-4F3E-A730-A2A91095AF2F}"/>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2322D693-4C27-4431-A95B-EFCBD91BC72E}"/>
    <cellStyle name="Normal 4 2 2 4 2 4 2 2 3" xfId="24594" xr:uid="{351A8E7D-0268-401F-9649-5E7A0C0766E8}"/>
    <cellStyle name="Normal 4 2 2 4 2 4 2 2 4" xfId="33041" xr:uid="{D422F5E9-D831-45A7-A971-CE310BCC668B}"/>
    <cellStyle name="Normal 4 2 2 4 2 4 2 3" xfId="11929" xr:uid="{0080A40C-DAC7-41E5-AE2C-37D77C6B47B9}"/>
    <cellStyle name="Normal 4 2 2 4 2 4 2 4" xfId="20377" xr:uid="{9EF70DB9-8062-428A-A396-B691C728B850}"/>
    <cellStyle name="Normal 4 2 2 4 2 4 2 5" xfId="28824" xr:uid="{2208D9B5-38CF-47C3-8B3B-12B526456FA9}"/>
    <cellStyle name="Normal 4 2 2 4 2 4 3" xfId="5552" xr:uid="{00000000-0005-0000-0000-0000AF120000}"/>
    <cellStyle name="Normal 4 2 2 4 2 4 3 2" xfId="14002" xr:uid="{97C13D42-E54C-4679-B56C-DB73DA82EDAD}"/>
    <cellStyle name="Normal 4 2 2 4 2 4 3 3" xfId="22449" xr:uid="{33F4F78A-7B12-4BC0-B283-FDF1DB1C4212}"/>
    <cellStyle name="Normal 4 2 2 4 2 4 3 4" xfId="30896" xr:uid="{5AEE49B8-FFB6-40FC-ABCB-C13321F69C4E}"/>
    <cellStyle name="Normal 4 2 2 4 2 4 4" xfId="9784" xr:uid="{181E4F8A-4849-44C7-8E2F-35BC3408DEF0}"/>
    <cellStyle name="Normal 4 2 2 4 2 4 5" xfId="18232" xr:uid="{1A8DFEE7-D053-432B-BB0C-8BE0CFDC63C1}"/>
    <cellStyle name="Normal 4 2 2 4 2 4 6" xfId="26679" xr:uid="{A4BE6873-840A-4515-A17C-7BF63DA65713}"/>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3FF128AB-2B3F-4E9F-BECE-B8C4FF3D14E7}"/>
    <cellStyle name="Normal 4 2 2 4 2 5 2 2 3" xfId="25007" xr:uid="{EE848603-2C3D-4C63-91AF-BA4C6F444A4F}"/>
    <cellStyle name="Normal 4 2 2 4 2 5 2 2 4" xfId="33454" xr:uid="{B3FCAC57-A19A-4D26-B2A2-0BC1DF3938C5}"/>
    <cellStyle name="Normal 4 2 2 4 2 5 2 3" xfId="12342" xr:uid="{A238C6E5-C7CE-4B13-80B5-6EE44F20F495}"/>
    <cellStyle name="Normal 4 2 2 4 2 5 2 4" xfId="20790" xr:uid="{B7D16C9D-98A2-4FDF-9495-844F38BFBE3E}"/>
    <cellStyle name="Normal 4 2 2 4 2 5 2 5" xfId="29237" xr:uid="{6C48FCA8-4081-4472-ACB6-07D75EEADECD}"/>
    <cellStyle name="Normal 4 2 2 4 2 5 3" xfId="5965" xr:uid="{00000000-0005-0000-0000-0000B3120000}"/>
    <cellStyle name="Normal 4 2 2 4 2 5 3 2" xfId="14415" xr:uid="{295F04DA-EF61-4FE7-B11E-21F37998FCA5}"/>
    <cellStyle name="Normal 4 2 2 4 2 5 3 3" xfId="22862" xr:uid="{D7AFD2AC-2693-4E90-A998-1BFCABDB323D}"/>
    <cellStyle name="Normal 4 2 2 4 2 5 3 4" xfId="31309" xr:uid="{E6378FDA-E540-48F7-901A-B6B5178DAE96}"/>
    <cellStyle name="Normal 4 2 2 4 2 5 4" xfId="10197" xr:uid="{B9B7488D-2DC6-483C-BCE8-4D70BAE578D0}"/>
    <cellStyle name="Normal 4 2 2 4 2 5 5" xfId="18645" xr:uid="{D3114855-9C19-4CB7-BFF7-FE88A590F188}"/>
    <cellStyle name="Normal 4 2 2 4 2 5 6" xfId="27092" xr:uid="{400D0A49-4F5F-477C-8AA3-C9AC45811F5A}"/>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4802BDBC-1670-467F-9B10-595F602CDB91}"/>
    <cellStyle name="Normal 4 2 2 4 2 6 2 2 3" xfId="25420" xr:uid="{FBE65649-FDE1-4D84-B9AD-2B3F9AF115B4}"/>
    <cellStyle name="Normal 4 2 2 4 2 6 2 2 4" xfId="33867" xr:uid="{B45F19ED-C57E-4553-A40F-5D426CAB641F}"/>
    <cellStyle name="Normal 4 2 2 4 2 6 2 3" xfId="12755" xr:uid="{150CBB68-A50F-4F51-BA35-713F7ADCC15B}"/>
    <cellStyle name="Normal 4 2 2 4 2 6 2 4" xfId="21203" xr:uid="{0DBBA198-4E28-441A-B6CB-0E0C642BFF94}"/>
    <cellStyle name="Normal 4 2 2 4 2 6 2 5" xfId="29650" xr:uid="{79ADF5BA-3A78-46D4-BB5D-65842EC3D80C}"/>
    <cellStyle name="Normal 4 2 2 4 2 6 3" xfId="6378" xr:uid="{00000000-0005-0000-0000-0000B7120000}"/>
    <cellStyle name="Normal 4 2 2 4 2 6 3 2" xfId="14828" xr:uid="{6495255D-EF25-4AFA-9BE1-57780A95A404}"/>
    <cellStyle name="Normal 4 2 2 4 2 6 3 3" xfId="23275" xr:uid="{B096A6E8-01A7-4726-BAA7-A17202D1F733}"/>
    <cellStyle name="Normal 4 2 2 4 2 6 3 4" xfId="31722" xr:uid="{8AAAEE49-71B9-45AD-A66B-562735B5382B}"/>
    <cellStyle name="Normal 4 2 2 4 2 6 4" xfId="10610" xr:uid="{B55CA606-2DA0-47F6-9325-461F9E8A8AB0}"/>
    <cellStyle name="Normal 4 2 2 4 2 6 5" xfId="19058" xr:uid="{6A640170-4519-4EBF-84DC-04A2E80A85FC}"/>
    <cellStyle name="Normal 4 2 2 4 2 6 6" xfId="27505" xr:uid="{875831FF-86B9-45D9-97A4-965E00A55F5B}"/>
    <cellStyle name="Normal 4 2 2 4 2 7" xfId="2508" xr:uid="{00000000-0005-0000-0000-0000B8120000}"/>
    <cellStyle name="Normal 4 2 2 4 2 7 2" xfId="6791" xr:uid="{00000000-0005-0000-0000-0000B9120000}"/>
    <cellStyle name="Normal 4 2 2 4 2 7 2 2" xfId="15241" xr:uid="{560E95D1-39AC-4773-B161-451004E863D4}"/>
    <cellStyle name="Normal 4 2 2 4 2 7 2 3" xfId="23688" xr:uid="{F80262EF-4B71-4F7D-973C-3601BDAE8509}"/>
    <cellStyle name="Normal 4 2 2 4 2 7 2 4" xfId="32135" xr:uid="{E3126CCB-2399-41DF-B356-4A7BA5E8353E}"/>
    <cellStyle name="Normal 4 2 2 4 2 7 3" xfId="11023" xr:uid="{31AB0EE6-2805-4773-888E-945A5598E7FE}"/>
    <cellStyle name="Normal 4 2 2 4 2 7 4" xfId="19471" xr:uid="{644D1182-B4AE-4925-9378-1678C59CB549}"/>
    <cellStyle name="Normal 4 2 2 4 2 7 5" xfId="27918" xr:uid="{F76F3431-96CB-4353-BF17-5DCBA6D2A2A0}"/>
    <cellStyle name="Normal 4 2 2 4 2 8" xfId="4726" xr:uid="{00000000-0005-0000-0000-0000BA120000}"/>
    <cellStyle name="Normal 4 2 2 4 2 8 2" xfId="13176" xr:uid="{8AE2CD6D-F108-43E6-A031-B9E6F2D9E403}"/>
    <cellStyle name="Normal 4 2 2 4 2 8 3" xfId="21623" xr:uid="{2D93745E-D373-46BE-B207-6A08DE6B27F5}"/>
    <cellStyle name="Normal 4 2 2 4 2 8 4" xfId="30070" xr:uid="{19179EBA-348A-438A-ADA6-BCA1B1A67D43}"/>
    <cellStyle name="Normal 4 2 2 4 2 9" xfId="8958" xr:uid="{1F639230-36E1-438F-AC2B-F2D07C3D76DC}"/>
    <cellStyle name="Normal 4 2 2 4 3" xfId="350" xr:uid="{00000000-0005-0000-0000-0000BB120000}"/>
    <cellStyle name="Normal 4 2 2 4 3 10" xfId="25855" xr:uid="{BB3AB581-8FFF-4B20-81B5-1EB22498E0B9}"/>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E40F749A-441E-465A-93D1-0110764870A9}"/>
    <cellStyle name="Normal 4 2 2 4 3 2 2 2 3" xfId="24183" xr:uid="{4847C8D4-4676-4096-942B-29C168C3EDEF}"/>
    <cellStyle name="Normal 4 2 2 4 3 2 2 2 4" xfId="32630" xr:uid="{D04BFB2D-907C-4850-8776-77902DCF15B9}"/>
    <cellStyle name="Normal 4 2 2 4 3 2 2 3" xfId="11518" xr:uid="{E7611260-ACEB-4AEE-AE41-9D3661CD61B5}"/>
    <cellStyle name="Normal 4 2 2 4 3 2 2 4" xfId="19966" xr:uid="{D653B65D-E624-4E75-8FA1-448450F1CB2B}"/>
    <cellStyle name="Normal 4 2 2 4 3 2 2 5" xfId="28413" xr:uid="{A2085CE2-BCF0-4EB5-A855-B4B094502C3C}"/>
    <cellStyle name="Normal 4 2 2 4 3 2 3" xfId="5141" xr:uid="{00000000-0005-0000-0000-0000BF120000}"/>
    <cellStyle name="Normal 4 2 2 4 3 2 3 2" xfId="13591" xr:uid="{EE9B3655-062C-40C3-8D92-2F13F2A3CDB5}"/>
    <cellStyle name="Normal 4 2 2 4 3 2 3 3" xfId="22038" xr:uid="{14041E64-A378-4A9E-A888-AA033B64527D}"/>
    <cellStyle name="Normal 4 2 2 4 3 2 3 4" xfId="30485" xr:uid="{58FBFD46-A18A-4128-A091-3CE044C1F588}"/>
    <cellStyle name="Normal 4 2 2 4 3 2 4" xfId="9373" xr:uid="{B442C71B-EC0D-4BF6-B322-428D25BA829D}"/>
    <cellStyle name="Normal 4 2 2 4 3 2 5" xfId="17821" xr:uid="{2EFDEAC8-2C9B-4990-86C2-00688942B056}"/>
    <cellStyle name="Normal 4 2 2 4 3 2 6" xfId="26268" xr:uid="{CF1A8E2C-EDD1-4A7C-925B-16FC39E40B41}"/>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D4FC5B5F-6EE2-41DC-B26D-7285046ED61F}"/>
    <cellStyle name="Normal 4 2 2 4 3 3 2 2 3" xfId="24596" xr:uid="{EB613816-46AB-4460-A922-64727D2AD05F}"/>
    <cellStyle name="Normal 4 2 2 4 3 3 2 2 4" xfId="33043" xr:uid="{246CA6A7-7D04-4788-B99D-A1C0740C82CB}"/>
    <cellStyle name="Normal 4 2 2 4 3 3 2 3" xfId="11931" xr:uid="{2AEA2366-07AF-4E5A-81DE-3F7BAE3D3219}"/>
    <cellStyle name="Normal 4 2 2 4 3 3 2 4" xfId="20379" xr:uid="{5933059B-167A-4A72-969E-780DB30A1391}"/>
    <cellStyle name="Normal 4 2 2 4 3 3 2 5" xfId="28826" xr:uid="{D257C572-2265-42CB-8478-DD1392A4B58B}"/>
    <cellStyle name="Normal 4 2 2 4 3 3 3" xfId="5554" xr:uid="{00000000-0005-0000-0000-0000C3120000}"/>
    <cellStyle name="Normal 4 2 2 4 3 3 3 2" xfId="14004" xr:uid="{7AFC3023-F8A0-4F8E-AD18-F4F666A20CC4}"/>
    <cellStyle name="Normal 4 2 2 4 3 3 3 3" xfId="22451" xr:uid="{A079F6FD-0380-4F4D-89A8-6D37B1DF5C68}"/>
    <cellStyle name="Normal 4 2 2 4 3 3 3 4" xfId="30898" xr:uid="{63C59114-A4A0-430D-9320-F27B825424FE}"/>
    <cellStyle name="Normal 4 2 2 4 3 3 4" xfId="9786" xr:uid="{AC02100E-4FE1-49A6-BE5B-786E1E87DE21}"/>
    <cellStyle name="Normal 4 2 2 4 3 3 5" xfId="18234" xr:uid="{89418492-2856-4DD5-A4C6-51D5E9B9C712}"/>
    <cellStyle name="Normal 4 2 2 4 3 3 6" xfId="26681" xr:uid="{5DCB6D39-C641-46FE-9021-6136554CF384}"/>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AA00306E-EA88-431E-A5EC-6922726F8E6C}"/>
    <cellStyle name="Normal 4 2 2 4 3 4 2 2 3" xfId="25009" xr:uid="{42E7F742-D5F4-4BCF-B7B3-DA1078BB5D32}"/>
    <cellStyle name="Normal 4 2 2 4 3 4 2 2 4" xfId="33456" xr:uid="{4878E71B-55DE-4AC8-853B-BD34DCF5EBA3}"/>
    <cellStyle name="Normal 4 2 2 4 3 4 2 3" xfId="12344" xr:uid="{22DD01F7-18B5-4108-A7D3-B8E53DBC84B3}"/>
    <cellStyle name="Normal 4 2 2 4 3 4 2 4" xfId="20792" xr:uid="{508E975B-7957-4FCE-95D2-CE6891394FA7}"/>
    <cellStyle name="Normal 4 2 2 4 3 4 2 5" xfId="29239" xr:uid="{3F1893EE-A992-4629-A1EA-9AE4738AE7C5}"/>
    <cellStyle name="Normal 4 2 2 4 3 4 3" xfId="5967" xr:uid="{00000000-0005-0000-0000-0000C7120000}"/>
    <cellStyle name="Normal 4 2 2 4 3 4 3 2" xfId="14417" xr:uid="{5FBC150E-0A80-45C8-B48C-A0A6B6DE4D3F}"/>
    <cellStyle name="Normal 4 2 2 4 3 4 3 3" xfId="22864" xr:uid="{A5B47943-7CB5-493E-9B08-4C262C3F8605}"/>
    <cellStyle name="Normal 4 2 2 4 3 4 3 4" xfId="31311" xr:uid="{3F8E09F0-D7F4-49FC-B3C2-F09142DB4D10}"/>
    <cellStyle name="Normal 4 2 2 4 3 4 4" xfId="10199" xr:uid="{AFAACEAF-82B7-42BD-80BC-8B134D1DF09A}"/>
    <cellStyle name="Normal 4 2 2 4 3 4 5" xfId="18647" xr:uid="{274710F4-8F8F-41A7-BC6D-EDDE45CC8317}"/>
    <cellStyle name="Normal 4 2 2 4 3 4 6" xfId="27094" xr:uid="{BB5F8638-6BF8-4BE7-B468-33E447F82D57}"/>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ACC57FB5-FDA5-46C7-A2AE-0BB36B632BAC}"/>
    <cellStyle name="Normal 4 2 2 4 3 5 2 2 3" xfId="25422" xr:uid="{BE68EFF4-56BB-41AF-BC30-B2297B300F5D}"/>
    <cellStyle name="Normal 4 2 2 4 3 5 2 2 4" xfId="33869" xr:uid="{2F4DA966-74EB-4896-B57B-BC0D4101A48B}"/>
    <cellStyle name="Normal 4 2 2 4 3 5 2 3" xfId="12757" xr:uid="{99F656EE-5B18-49EE-9471-EAB770D16A43}"/>
    <cellStyle name="Normal 4 2 2 4 3 5 2 4" xfId="21205" xr:uid="{3A5F341D-2724-45A0-8326-D5D990379E3C}"/>
    <cellStyle name="Normal 4 2 2 4 3 5 2 5" xfId="29652" xr:uid="{AC42926A-5AFD-4145-B0E2-32B0631DC069}"/>
    <cellStyle name="Normal 4 2 2 4 3 5 3" xfId="6380" xr:uid="{00000000-0005-0000-0000-0000CB120000}"/>
    <cellStyle name="Normal 4 2 2 4 3 5 3 2" xfId="14830" xr:uid="{5FA22359-8B61-4901-B6F3-135F1A97028D}"/>
    <cellStyle name="Normal 4 2 2 4 3 5 3 3" xfId="23277" xr:uid="{B477317B-E046-445B-A5C6-EBD59FFB1CD0}"/>
    <cellStyle name="Normal 4 2 2 4 3 5 3 4" xfId="31724" xr:uid="{B4EA8294-CF69-402F-A1BC-B13F8F694249}"/>
    <cellStyle name="Normal 4 2 2 4 3 5 4" xfId="10612" xr:uid="{6866B59A-6AEB-403F-AF46-914343273C8F}"/>
    <cellStyle name="Normal 4 2 2 4 3 5 5" xfId="19060" xr:uid="{3CF5BFB6-9959-41AA-889B-D6FCEFD17F01}"/>
    <cellStyle name="Normal 4 2 2 4 3 5 6" xfId="27507" xr:uid="{BC1FEFC1-EC45-43CA-A103-E6C7A2C731E5}"/>
    <cellStyle name="Normal 4 2 2 4 3 6" xfId="2510" xr:uid="{00000000-0005-0000-0000-0000CC120000}"/>
    <cellStyle name="Normal 4 2 2 4 3 6 2" xfId="6793" xr:uid="{00000000-0005-0000-0000-0000CD120000}"/>
    <cellStyle name="Normal 4 2 2 4 3 6 2 2" xfId="15243" xr:uid="{E50C2B3F-193A-4BAE-9F92-CB628B112067}"/>
    <cellStyle name="Normal 4 2 2 4 3 6 2 3" xfId="23690" xr:uid="{DFC0AB8A-4692-458E-B428-0F148E66AA58}"/>
    <cellStyle name="Normal 4 2 2 4 3 6 2 4" xfId="32137" xr:uid="{ACCFFE72-1FCF-4C18-A4F5-217AE27A7B59}"/>
    <cellStyle name="Normal 4 2 2 4 3 6 3" xfId="11025" xr:uid="{1E7F7B36-97ED-49C8-9D81-0E536660EC65}"/>
    <cellStyle name="Normal 4 2 2 4 3 6 4" xfId="19473" xr:uid="{E1BF65CD-636A-49B4-A524-FEBB74B84BCA}"/>
    <cellStyle name="Normal 4 2 2 4 3 6 5" xfId="27920" xr:uid="{437DBBD6-8C14-46C2-9EF6-84393AF41CEE}"/>
    <cellStyle name="Normal 4 2 2 4 3 7" xfId="4728" xr:uid="{00000000-0005-0000-0000-0000CE120000}"/>
    <cellStyle name="Normal 4 2 2 4 3 7 2" xfId="13178" xr:uid="{3760AB12-5D52-4CDA-82B8-370786A0523C}"/>
    <cellStyle name="Normal 4 2 2 4 3 7 3" xfId="21625" xr:uid="{49CA215E-40B9-471D-A12C-FEE363DE5C43}"/>
    <cellStyle name="Normal 4 2 2 4 3 7 4" xfId="30072" xr:uid="{87C44DCB-A91A-4633-B9F3-2E3DF64830A3}"/>
    <cellStyle name="Normal 4 2 2 4 3 8" xfId="8960" xr:uid="{8F3D2598-D5FC-4A84-981C-F9D138F48F08}"/>
    <cellStyle name="Normal 4 2 2 4 3 9" xfId="17408" xr:uid="{F28BE7C3-2930-465A-B4D9-B7AA436D12C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A4D62DAE-30A6-4105-A7DF-C94DDF556D6C}"/>
    <cellStyle name="Normal 4 2 2 4 4 2 2 3" xfId="24180" xr:uid="{644BD3FB-B4F9-4A2E-AA0C-31C0BA278221}"/>
    <cellStyle name="Normal 4 2 2 4 4 2 2 4" xfId="32627" xr:uid="{F428E435-4A19-420A-A962-BF6F73DBD5B3}"/>
    <cellStyle name="Normal 4 2 2 4 4 2 3" xfId="11515" xr:uid="{B0BD1788-DAB7-477A-8E08-E286DA09D7BC}"/>
    <cellStyle name="Normal 4 2 2 4 4 2 4" xfId="19963" xr:uid="{CD139BC9-E4FF-409A-902D-565D1F0C2BBA}"/>
    <cellStyle name="Normal 4 2 2 4 4 2 5" xfId="28410" xr:uid="{9BA62E5F-68FF-4062-BD98-7357A4044D5B}"/>
    <cellStyle name="Normal 4 2 2 4 4 3" xfId="5138" xr:uid="{00000000-0005-0000-0000-0000D2120000}"/>
    <cellStyle name="Normal 4 2 2 4 4 3 2" xfId="13588" xr:uid="{54293077-8C75-460E-880D-1AFE460C3C24}"/>
    <cellStyle name="Normal 4 2 2 4 4 3 3" xfId="22035" xr:uid="{CDDF97C6-68DF-451A-8AF8-36211D7EF189}"/>
    <cellStyle name="Normal 4 2 2 4 4 3 4" xfId="30482" xr:uid="{5EE496D5-17EA-4529-96AB-7CD10DFACC72}"/>
    <cellStyle name="Normal 4 2 2 4 4 4" xfId="9370" xr:uid="{7AD1BC29-D08D-42B9-84AA-7A4964B67875}"/>
    <cellStyle name="Normal 4 2 2 4 4 5" xfId="17818" xr:uid="{F33AFC44-AE06-42A0-9FB0-66CCF5AAFAF4}"/>
    <cellStyle name="Normal 4 2 2 4 4 6" xfId="26265" xr:uid="{A0845624-C16F-49CD-8349-AC31749B0B51}"/>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02EE3CAA-20AB-4142-A537-E35C530D1F7E}"/>
    <cellStyle name="Normal 4 2 2 4 5 2 2 3" xfId="24593" xr:uid="{95998A03-BF0A-49E1-8C53-151C9EB54E65}"/>
    <cellStyle name="Normal 4 2 2 4 5 2 2 4" xfId="33040" xr:uid="{E1D5A4BE-EC7E-4A26-853B-635F49E662CA}"/>
    <cellStyle name="Normal 4 2 2 4 5 2 3" xfId="11928" xr:uid="{F4C13B93-A03D-4F32-A335-13D242256BDD}"/>
    <cellStyle name="Normal 4 2 2 4 5 2 4" xfId="20376" xr:uid="{876AF926-20D5-4790-8E6C-8B7D5213F412}"/>
    <cellStyle name="Normal 4 2 2 4 5 2 5" xfId="28823" xr:uid="{83A8962F-6026-460F-BB39-3E5263C30C07}"/>
    <cellStyle name="Normal 4 2 2 4 5 3" xfId="5551" xr:uid="{00000000-0005-0000-0000-0000D6120000}"/>
    <cellStyle name="Normal 4 2 2 4 5 3 2" xfId="14001" xr:uid="{5E25B57B-F927-4EA9-8448-D1B284B93C99}"/>
    <cellStyle name="Normal 4 2 2 4 5 3 3" xfId="22448" xr:uid="{463EDF9E-1A3D-4EAB-B415-8812B871AA47}"/>
    <cellStyle name="Normal 4 2 2 4 5 3 4" xfId="30895" xr:uid="{7BC75C09-665A-42CD-BE63-75052E34BCD9}"/>
    <cellStyle name="Normal 4 2 2 4 5 4" xfId="9783" xr:uid="{3AB955C7-E169-410F-9801-DFE2016F0CC9}"/>
    <cellStyle name="Normal 4 2 2 4 5 5" xfId="18231" xr:uid="{C694C73C-3FAE-43B6-A969-27041D777E68}"/>
    <cellStyle name="Normal 4 2 2 4 5 6" xfId="26678" xr:uid="{1121DA03-1C7B-4C18-8FD7-40A683FAD87C}"/>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67591D25-7727-467D-9EB9-13FFE08BC3B6}"/>
    <cellStyle name="Normal 4 2 2 4 6 2 2 3" xfId="25006" xr:uid="{17135C06-6F88-40BB-BCAE-FA03174A07A8}"/>
    <cellStyle name="Normal 4 2 2 4 6 2 2 4" xfId="33453" xr:uid="{92A49394-108B-427A-B188-E4AE8892249A}"/>
    <cellStyle name="Normal 4 2 2 4 6 2 3" xfId="12341" xr:uid="{725DD0DB-67EE-4AB2-B30D-8ACE5B8F778E}"/>
    <cellStyle name="Normal 4 2 2 4 6 2 4" xfId="20789" xr:uid="{3130FCDE-4785-4A34-9B06-3BC34FD31B43}"/>
    <cellStyle name="Normal 4 2 2 4 6 2 5" xfId="29236" xr:uid="{E61612B5-1E16-4B02-9926-9A1465DDCE38}"/>
    <cellStyle name="Normal 4 2 2 4 6 3" xfId="5964" xr:uid="{00000000-0005-0000-0000-0000DA120000}"/>
    <cellStyle name="Normal 4 2 2 4 6 3 2" xfId="14414" xr:uid="{287BB5DE-8A58-4D32-BA01-F96754B278E6}"/>
    <cellStyle name="Normal 4 2 2 4 6 3 3" xfId="22861" xr:uid="{DD0FF180-3220-4561-A772-8B37EAA2E53B}"/>
    <cellStyle name="Normal 4 2 2 4 6 3 4" xfId="31308" xr:uid="{8E142ED0-5269-4C10-833E-DEBC76B5A2DA}"/>
    <cellStyle name="Normal 4 2 2 4 6 4" xfId="10196" xr:uid="{5AD40B25-2F69-42E0-99E9-BE651C34E04D}"/>
    <cellStyle name="Normal 4 2 2 4 6 5" xfId="18644" xr:uid="{62D441D2-D201-4901-8AF6-18B6E749C805}"/>
    <cellStyle name="Normal 4 2 2 4 6 6" xfId="27091" xr:uid="{1F8C5507-E78E-40BA-8795-9C5066CB80A8}"/>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2B1C7616-3575-4640-BD9A-444FADB88BE7}"/>
    <cellStyle name="Normal 4 2 2 4 7 2 2 3" xfId="25419" xr:uid="{806217A0-3C0F-4477-BEB6-256612B1C25C}"/>
    <cellStyle name="Normal 4 2 2 4 7 2 2 4" xfId="33866" xr:uid="{0E543899-07E3-4C18-8041-B65346375A76}"/>
    <cellStyle name="Normal 4 2 2 4 7 2 3" xfId="12754" xr:uid="{9A725257-95DD-484A-AA4A-9CFA1E6EE2EC}"/>
    <cellStyle name="Normal 4 2 2 4 7 2 4" xfId="21202" xr:uid="{1F5F1E72-5DDB-4A7B-9802-200F5BAB3223}"/>
    <cellStyle name="Normal 4 2 2 4 7 2 5" xfId="29649" xr:uid="{13D1C180-3941-4CB4-9F1E-6F73F94E000A}"/>
    <cellStyle name="Normal 4 2 2 4 7 3" xfId="6377" xr:uid="{00000000-0005-0000-0000-0000DE120000}"/>
    <cellStyle name="Normal 4 2 2 4 7 3 2" xfId="14827" xr:uid="{E9032D89-E43A-458B-9107-838E38215CAE}"/>
    <cellStyle name="Normal 4 2 2 4 7 3 3" xfId="23274" xr:uid="{A043616E-D617-440B-81A1-960770E7DA3B}"/>
    <cellStyle name="Normal 4 2 2 4 7 3 4" xfId="31721" xr:uid="{06BB816F-7DB8-4BE3-80A3-9FF8C3283E16}"/>
    <cellStyle name="Normal 4 2 2 4 7 4" xfId="10609" xr:uid="{4E5107BF-AE08-4A85-A413-81D8FB0D5B69}"/>
    <cellStyle name="Normal 4 2 2 4 7 5" xfId="19057" xr:uid="{82DB7509-0882-4453-A211-E973A4DE1354}"/>
    <cellStyle name="Normal 4 2 2 4 7 6" xfId="27504" xr:uid="{4A270716-D860-48A3-9D71-263C417077E3}"/>
    <cellStyle name="Normal 4 2 2 4 8" xfId="2507" xr:uid="{00000000-0005-0000-0000-0000DF120000}"/>
    <cellStyle name="Normal 4 2 2 4 8 2" xfId="6790" xr:uid="{00000000-0005-0000-0000-0000E0120000}"/>
    <cellStyle name="Normal 4 2 2 4 8 2 2" xfId="15240" xr:uid="{DAF05BF7-7D60-4D55-A63C-5346580F98D1}"/>
    <cellStyle name="Normal 4 2 2 4 8 2 3" xfId="23687" xr:uid="{94313B3B-B743-4DB2-9D0B-DE9382AC08D3}"/>
    <cellStyle name="Normal 4 2 2 4 8 2 4" xfId="32134" xr:uid="{6F3C16EB-92AF-45F3-9478-D4A4AE2681C7}"/>
    <cellStyle name="Normal 4 2 2 4 8 3" xfId="11022" xr:uid="{5E26BAD5-AF71-4414-A2A2-FD0113BDC994}"/>
    <cellStyle name="Normal 4 2 2 4 8 4" xfId="19470" xr:uid="{9A04D0FB-7D3D-4564-8377-7948205C7E05}"/>
    <cellStyle name="Normal 4 2 2 4 8 5" xfId="27917" xr:uid="{F15824A9-532B-4BBD-88CC-D54F0CA17045}"/>
    <cellStyle name="Normal 4 2 2 4 9" xfId="4725" xr:uid="{00000000-0005-0000-0000-0000E1120000}"/>
    <cellStyle name="Normal 4 2 2 4 9 2" xfId="13175" xr:uid="{E04A38A0-8B5E-4321-B4EC-C13E1668CB12}"/>
    <cellStyle name="Normal 4 2 2 4 9 3" xfId="21622" xr:uid="{C897D1BF-DDE7-43C1-99C9-11C5829B747A}"/>
    <cellStyle name="Normal 4 2 2 4 9 4" xfId="30069" xr:uid="{2C2FB19F-8D4B-4AC1-8269-5C415B39F323}"/>
    <cellStyle name="Normal 4 2 2 5" xfId="351" xr:uid="{00000000-0005-0000-0000-0000E2120000}"/>
    <cellStyle name="Normal 4 2 2 5 10" xfId="17409" xr:uid="{B5E68BE3-32F6-41F0-A3B8-7C1AE1C4F136}"/>
    <cellStyle name="Normal 4 2 2 5 11" xfId="25856" xr:uid="{E4249957-D775-4F2B-837D-4DC15ED25EDB}"/>
    <cellStyle name="Normal 4 2 2 5 2" xfId="352" xr:uid="{00000000-0005-0000-0000-0000E3120000}"/>
    <cellStyle name="Normal 4 2 2 5 2 10" xfId="25857" xr:uid="{43A63889-8836-4B26-909C-DD3D689C7C46}"/>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4D14FAA8-F058-4D31-ACBC-8FEAA132022B}"/>
    <cellStyle name="Normal 4 2 2 5 2 2 2 2 3" xfId="24185" xr:uid="{587F0BAF-066A-42DD-8E01-876FAA7DEC34}"/>
    <cellStyle name="Normal 4 2 2 5 2 2 2 2 4" xfId="32632" xr:uid="{A35E7CCA-0B69-494D-A7EB-47A2A896BF45}"/>
    <cellStyle name="Normal 4 2 2 5 2 2 2 3" xfId="11520" xr:uid="{28365E0D-07DC-4FD2-8DF3-1DCB4062E2B3}"/>
    <cellStyle name="Normal 4 2 2 5 2 2 2 4" xfId="19968" xr:uid="{1C9E4DAC-A43B-4675-8109-7B720EB1D456}"/>
    <cellStyle name="Normal 4 2 2 5 2 2 2 5" xfId="28415" xr:uid="{283A93B5-C8C6-4E75-86D2-6C4AF0CB92CD}"/>
    <cellStyle name="Normal 4 2 2 5 2 2 3" xfId="5143" xr:uid="{00000000-0005-0000-0000-0000E7120000}"/>
    <cellStyle name="Normal 4 2 2 5 2 2 3 2" xfId="13593" xr:uid="{95188EFC-3355-4C39-A94B-14B318DF7BD2}"/>
    <cellStyle name="Normal 4 2 2 5 2 2 3 3" xfId="22040" xr:uid="{06A990E0-B2B9-442C-B4A1-F7534DF02A82}"/>
    <cellStyle name="Normal 4 2 2 5 2 2 3 4" xfId="30487" xr:uid="{3FAC80CD-ED89-4356-BE3B-6601EC685848}"/>
    <cellStyle name="Normal 4 2 2 5 2 2 4" xfId="9375" xr:uid="{19DDCC38-7517-48BE-8589-3107A3BFA7D5}"/>
    <cellStyle name="Normal 4 2 2 5 2 2 5" xfId="17823" xr:uid="{529DECF7-3763-4111-8296-3391231E4A15}"/>
    <cellStyle name="Normal 4 2 2 5 2 2 6" xfId="26270" xr:uid="{F0A641B1-A967-42EC-BDF3-88CD271A41E9}"/>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E02AB2E7-5928-4781-BDA9-4BD80FADA51F}"/>
    <cellStyle name="Normal 4 2 2 5 2 3 2 2 3" xfId="24598" xr:uid="{7DD1F44A-EE6B-4B5E-BDB6-EB4EFCF79A7F}"/>
    <cellStyle name="Normal 4 2 2 5 2 3 2 2 4" xfId="33045" xr:uid="{A3FB299D-CFA5-4149-AA38-0CADBDF5C1AF}"/>
    <cellStyle name="Normal 4 2 2 5 2 3 2 3" xfId="11933" xr:uid="{F23440B8-0770-4A26-AF15-2D1F6AAB02E0}"/>
    <cellStyle name="Normal 4 2 2 5 2 3 2 4" xfId="20381" xr:uid="{DDFEFFB5-4C21-4175-B7B7-DB5707924EAA}"/>
    <cellStyle name="Normal 4 2 2 5 2 3 2 5" xfId="28828" xr:uid="{4D3175D6-301B-4A3C-883A-E1A41C6DED8A}"/>
    <cellStyle name="Normal 4 2 2 5 2 3 3" xfId="5556" xr:uid="{00000000-0005-0000-0000-0000EB120000}"/>
    <cellStyle name="Normal 4 2 2 5 2 3 3 2" xfId="14006" xr:uid="{E34F2835-F30B-4BF6-A830-C287327C9790}"/>
    <cellStyle name="Normal 4 2 2 5 2 3 3 3" xfId="22453" xr:uid="{611B5FC6-F5C9-4D9D-98AC-D9D220B12D33}"/>
    <cellStyle name="Normal 4 2 2 5 2 3 3 4" xfId="30900" xr:uid="{D47EE3A8-0F9D-4F11-AB16-790F1D16EA6A}"/>
    <cellStyle name="Normal 4 2 2 5 2 3 4" xfId="9788" xr:uid="{83C85B62-2EC9-424A-A5F5-A524BEA4F230}"/>
    <cellStyle name="Normal 4 2 2 5 2 3 5" xfId="18236" xr:uid="{0565936D-8AAA-4203-82FD-9315402799B4}"/>
    <cellStyle name="Normal 4 2 2 5 2 3 6" xfId="26683" xr:uid="{6F52B247-9492-442D-AF26-5F91F62C6EF6}"/>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5502D86B-DE22-4922-A030-F559686BE14A}"/>
    <cellStyle name="Normal 4 2 2 5 2 4 2 2 3" xfId="25011" xr:uid="{FD29CDA6-DF61-4468-A11A-5D6326D9F43A}"/>
    <cellStyle name="Normal 4 2 2 5 2 4 2 2 4" xfId="33458" xr:uid="{BB077D41-38C6-430C-B7C1-4C5E97D0A8A7}"/>
    <cellStyle name="Normal 4 2 2 5 2 4 2 3" xfId="12346" xr:uid="{07B597D5-38E9-4D8B-9B7B-651E60496B04}"/>
    <cellStyle name="Normal 4 2 2 5 2 4 2 4" xfId="20794" xr:uid="{DD2D3497-8DAE-41F7-AC7E-F2EDC5F518E3}"/>
    <cellStyle name="Normal 4 2 2 5 2 4 2 5" xfId="29241" xr:uid="{6C207A86-1194-41BF-BEC3-EE2FD74F4367}"/>
    <cellStyle name="Normal 4 2 2 5 2 4 3" xfId="5969" xr:uid="{00000000-0005-0000-0000-0000EF120000}"/>
    <cellStyle name="Normal 4 2 2 5 2 4 3 2" xfId="14419" xr:uid="{9B392401-349D-4FA5-AF66-FA6D41792FBC}"/>
    <cellStyle name="Normal 4 2 2 5 2 4 3 3" xfId="22866" xr:uid="{5A585CA0-1842-4C2E-9471-C79C7C5A25FC}"/>
    <cellStyle name="Normal 4 2 2 5 2 4 3 4" xfId="31313" xr:uid="{063CB9CE-1A30-4C69-9C49-A03808564242}"/>
    <cellStyle name="Normal 4 2 2 5 2 4 4" xfId="10201" xr:uid="{8E2DD50D-FC2C-437B-BC22-73666182037C}"/>
    <cellStyle name="Normal 4 2 2 5 2 4 5" xfId="18649" xr:uid="{9FA2A23E-1EE6-4DAF-8BA2-89717C4E0321}"/>
    <cellStyle name="Normal 4 2 2 5 2 4 6" xfId="27096" xr:uid="{8E34D999-B6A0-4453-9574-88B935787704}"/>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4FF66CAB-94F3-4D80-BC44-385DC9E9B9C2}"/>
    <cellStyle name="Normal 4 2 2 5 2 5 2 2 3" xfId="25424" xr:uid="{34310FEA-E12D-48CB-B7DA-3C3D4993B1F4}"/>
    <cellStyle name="Normal 4 2 2 5 2 5 2 2 4" xfId="33871" xr:uid="{B838F7F4-3DE2-459A-B859-0A916F0905EF}"/>
    <cellStyle name="Normal 4 2 2 5 2 5 2 3" xfId="12759" xr:uid="{84441098-6B88-424F-9065-D1C2282F1E47}"/>
    <cellStyle name="Normal 4 2 2 5 2 5 2 4" xfId="21207" xr:uid="{540CC2DE-B9D2-4690-82E0-1F676717A713}"/>
    <cellStyle name="Normal 4 2 2 5 2 5 2 5" xfId="29654" xr:uid="{A931081B-8F90-4229-AFE4-EAC099ABAE04}"/>
    <cellStyle name="Normal 4 2 2 5 2 5 3" xfId="6382" xr:uid="{00000000-0005-0000-0000-0000F3120000}"/>
    <cellStyle name="Normal 4 2 2 5 2 5 3 2" xfId="14832" xr:uid="{590DAEC8-758F-4EF5-80D1-42BB2FD9AA4B}"/>
    <cellStyle name="Normal 4 2 2 5 2 5 3 3" xfId="23279" xr:uid="{F2F8ADE4-385D-41E8-B27C-1352B0EB6602}"/>
    <cellStyle name="Normal 4 2 2 5 2 5 3 4" xfId="31726" xr:uid="{07935110-3BE5-4D9D-B456-E406F7D4DF26}"/>
    <cellStyle name="Normal 4 2 2 5 2 5 4" xfId="10614" xr:uid="{E5CC7518-6745-46BE-998D-A93899C8B646}"/>
    <cellStyle name="Normal 4 2 2 5 2 5 5" xfId="19062" xr:uid="{3A9BCE2D-7866-48E3-BBE2-2C53689BC279}"/>
    <cellStyle name="Normal 4 2 2 5 2 5 6" xfId="27509" xr:uid="{1AAB4357-EF4E-4CDF-9199-708ECE722711}"/>
    <cellStyle name="Normal 4 2 2 5 2 6" xfId="2512" xr:uid="{00000000-0005-0000-0000-0000F4120000}"/>
    <cellStyle name="Normal 4 2 2 5 2 6 2" xfId="6795" xr:uid="{00000000-0005-0000-0000-0000F5120000}"/>
    <cellStyle name="Normal 4 2 2 5 2 6 2 2" xfId="15245" xr:uid="{1B645D27-A4C5-4C94-8611-C59A237358E2}"/>
    <cellStyle name="Normal 4 2 2 5 2 6 2 3" xfId="23692" xr:uid="{CC1DEF25-4C87-4C12-96C6-0DD9413A2DE1}"/>
    <cellStyle name="Normal 4 2 2 5 2 6 2 4" xfId="32139" xr:uid="{188CFF11-713C-41DD-BEC9-93C2F49740F7}"/>
    <cellStyle name="Normal 4 2 2 5 2 6 3" xfId="11027" xr:uid="{4EA9F9F8-65ED-4C81-AF64-236E6EA43F4A}"/>
    <cellStyle name="Normal 4 2 2 5 2 6 4" xfId="19475" xr:uid="{46A16627-437F-4097-A868-CF884503197A}"/>
    <cellStyle name="Normal 4 2 2 5 2 6 5" xfId="27922" xr:uid="{18B26B2E-A5BC-4FCC-8195-23D1EC6E3FEC}"/>
    <cellStyle name="Normal 4 2 2 5 2 7" xfId="4730" xr:uid="{00000000-0005-0000-0000-0000F6120000}"/>
    <cellStyle name="Normal 4 2 2 5 2 7 2" xfId="13180" xr:uid="{49435335-0951-46DC-95CB-0A167C05F2DE}"/>
    <cellStyle name="Normal 4 2 2 5 2 7 3" xfId="21627" xr:uid="{5AE20748-DCED-45A9-B15C-360AAB977988}"/>
    <cellStyle name="Normal 4 2 2 5 2 7 4" xfId="30074" xr:uid="{7635D98F-5C3B-4177-8033-87346EB77F87}"/>
    <cellStyle name="Normal 4 2 2 5 2 8" xfId="8962" xr:uid="{23A7A071-22A8-4EC1-8068-364DC46DD071}"/>
    <cellStyle name="Normal 4 2 2 5 2 9" xfId="17410" xr:uid="{96ADCD52-A01C-47D8-930D-659AAFAFAB4F}"/>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95BD8501-C86F-4C83-9407-CAE1DF1275C5}"/>
    <cellStyle name="Normal 4 2 2 5 3 2 2 3" xfId="24184" xr:uid="{1699D27A-D474-4242-892D-BCFF21A92E63}"/>
    <cellStyle name="Normal 4 2 2 5 3 2 2 4" xfId="32631" xr:uid="{326E5EFD-4CA0-4C3A-BEF0-E9CD8186785A}"/>
    <cellStyle name="Normal 4 2 2 5 3 2 3" xfId="11519" xr:uid="{16D4D241-85C6-4CEA-9FCB-A0490BE17874}"/>
    <cellStyle name="Normal 4 2 2 5 3 2 4" xfId="19967" xr:uid="{DB1B4399-2D13-46EF-A79B-FE0849D656C2}"/>
    <cellStyle name="Normal 4 2 2 5 3 2 5" xfId="28414" xr:uid="{3C2E8CA6-EE89-468F-9BB2-9BACC02B1E2A}"/>
    <cellStyle name="Normal 4 2 2 5 3 3" xfId="5142" xr:uid="{00000000-0005-0000-0000-0000FA120000}"/>
    <cellStyle name="Normal 4 2 2 5 3 3 2" xfId="13592" xr:uid="{E6024D58-9EAB-4A1E-A51B-1C200E975CF6}"/>
    <cellStyle name="Normal 4 2 2 5 3 3 3" xfId="22039" xr:uid="{FF07C102-3B2A-4C24-961C-6F581B1B6805}"/>
    <cellStyle name="Normal 4 2 2 5 3 3 4" xfId="30486" xr:uid="{6069BF8F-0AA2-4E36-842E-6F4B0E081117}"/>
    <cellStyle name="Normal 4 2 2 5 3 4" xfId="9374" xr:uid="{6209712A-B17E-4BC7-A2F0-CB1C1D33C3FB}"/>
    <cellStyle name="Normal 4 2 2 5 3 5" xfId="17822" xr:uid="{C25C34B9-36FC-43B8-B14C-B4A8D89EB0C2}"/>
    <cellStyle name="Normal 4 2 2 5 3 6" xfId="26269" xr:uid="{0F72B838-7973-43E7-970F-9A5486E52C5A}"/>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6595C06-98C4-4948-B435-3C012D7DA02E}"/>
    <cellStyle name="Normal 4 2 2 5 4 2 2 3" xfId="24597" xr:uid="{A0EA984E-A166-4A3E-91B7-4871DBAB7EA9}"/>
    <cellStyle name="Normal 4 2 2 5 4 2 2 4" xfId="33044" xr:uid="{C9813635-1DD3-4DAA-AFF3-546D7BC3C16F}"/>
    <cellStyle name="Normal 4 2 2 5 4 2 3" xfId="11932" xr:uid="{C39AE740-EFA8-4239-8488-933D7964BE8B}"/>
    <cellStyle name="Normal 4 2 2 5 4 2 4" xfId="20380" xr:uid="{65E3B46A-6F4A-490A-87E3-B5CF9396BB80}"/>
    <cellStyle name="Normal 4 2 2 5 4 2 5" xfId="28827" xr:uid="{82590CA8-6CA7-4175-A9E1-F3635A32E060}"/>
    <cellStyle name="Normal 4 2 2 5 4 3" xfId="5555" xr:uid="{00000000-0005-0000-0000-0000FE120000}"/>
    <cellStyle name="Normal 4 2 2 5 4 3 2" xfId="14005" xr:uid="{60C28B05-C146-449A-8BF1-4EF3D968D4B0}"/>
    <cellStyle name="Normal 4 2 2 5 4 3 3" xfId="22452" xr:uid="{4FF0D584-3F77-4216-9BB6-E07BA9563B30}"/>
    <cellStyle name="Normal 4 2 2 5 4 3 4" xfId="30899" xr:uid="{D5038B29-305D-4E3C-BBF0-E13885121A94}"/>
    <cellStyle name="Normal 4 2 2 5 4 4" xfId="9787" xr:uid="{70408EDD-F772-4A5E-B632-81F07C5F151F}"/>
    <cellStyle name="Normal 4 2 2 5 4 5" xfId="18235" xr:uid="{E971D1E5-2627-412F-A663-F753CD44E1B0}"/>
    <cellStyle name="Normal 4 2 2 5 4 6" xfId="26682" xr:uid="{028A9BF1-E877-44E8-B272-6B5BF239F50E}"/>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9F97BBB0-3169-4AC8-A2B3-7F721998DFB7}"/>
    <cellStyle name="Normal 4 2 2 5 5 2 2 3" xfId="25010" xr:uid="{5EE17D36-1917-4160-9107-D41BF23CBD94}"/>
    <cellStyle name="Normal 4 2 2 5 5 2 2 4" xfId="33457" xr:uid="{4DD4C856-FEAB-4175-9650-257AD3AE1542}"/>
    <cellStyle name="Normal 4 2 2 5 5 2 3" xfId="12345" xr:uid="{89D4AB11-0DC7-4845-9C4B-507E4A8DD91E}"/>
    <cellStyle name="Normal 4 2 2 5 5 2 4" xfId="20793" xr:uid="{6A9A11F4-9C08-4A4A-AC4F-8D8CBC6E51B7}"/>
    <cellStyle name="Normal 4 2 2 5 5 2 5" xfId="29240" xr:uid="{6C62D85C-BBEF-45D3-9393-5AF56510A8FE}"/>
    <cellStyle name="Normal 4 2 2 5 5 3" xfId="5968" xr:uid="{00000000-0005-0000-0000-000002130000}"/>
    <cellStyle name="Normal 4 2 2 5 5 3 2" xfId="14418" xr:uid="{F0FD5131-F8E9-4034-8335-56915234DB3A}"/>
    <cellStyle name="Normal 4 2 2 5 5 3 3" xfId="22865" xr:uid="{BA45AA10-87A7-4D61-BEE7-00D4D88CFC59}"/>
    <cellStyle name="Normal 4 2 2 5 5 3 4" xfId="31312" xr:uid="{4804212F-9ECE-40C1-B335-9E538350A6CA}"/>
    <cellStyle name="Normal 4 2 2 5 5 4" xfId="10200" xr:uid="{21D648D9-C489-4C95-9C79-B770104793D7}"/>
    <cellStyle name="Normal 4 2 2 5 5 5" xfId="18648" xr:uid="{7882821F-7456-48EF-976D-BAD667EA4BE8}"/>
    <cellStyle name="Normal 4 2 2 5 5 6" xfId="27095" xr:uid="{ED161A05-7FCC-41AE-80AE-3368B4AB780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6466E0AA-6B7B-4EEE-A5DF-5F0AE8CB9CE5}"/>
    <cellStyle name="Normal 4 2 2 5 6 2 2 3" xfId="25423" xr:uid="{A641004D-49EF-4FD0-A750-671920B7D42D}"/>
    <cellStyle name="Normal 4 2 2 5 6 2 2 4" xfId="33870" xr:uid="{4F3AF05F-5EF6-4509-80E2-9B03FAEA41AC}"/>
    <cellStyle name="Normal 4 2 2 5 6 2 3" xfId="12758" xr:uid="{6833F951-E2BA-4EA2-A41B-235FA9C7CF3F}"/>
    <cellStyle name="Normal 4 2 2 5 6 2 4" xfId="21206" xr:uid="{2ED31122-3018-4EF0-9FE7-8086D5DCD4A8}"/>
    <cellStyle name="Normal 4 2 2 5 6 2 5" xfId="29653" xr:uid="{DA0769AF-9CE5-4CD4-9AAE-71D0C33BBC27}"/>
    <cellStyle name="Normal 4 2 2 5 6 3" xfId="6381" xr:uid="{00000000-0005-0000-0000-000006130000}"/>
    <cellStyle name="Normal 4 2 2 5 6 3 2" xfId="14831" xr:uid="{06424215-A7F0-494F-8EBD-5D8357A9242E}"/>
    <cellStyle name="Normal 4 2 2 5 6 3 3" xfId="23278" xr:uid="{2DAE554D-0EAA-4DBF-9867-D38C25B8D6AB}"/>
    <cellStyle name="Normal 4 2 2 5 6 3 4" xfId="31725" xr:uid="{336F7B39-D1A1-41A4-8416-0655659C2C1D}"/>
    <cellStyle name="Normal 4 2 2 5 6 4" xfId="10613" xr:uid="{90C2D498-1394-497E-B17A-54023E98FD6B}"/>
    <cellStyle name="Normal 4 2 2 5 6 5" xfId="19061" xr:uid="{528EB5FA-F959-4521-B832-3AB2A28C5CFE}"/>
    <cellStyle name="Normal 4 2 2 5 6 6" xfId="27508" xr:uid="{AD768618-962B-4707-BDBB-76A8D04A3737}"/>
    <cellStyle name="Normal 4 2 2 5 7" xfId="2511" xr:uid="{00000000-0005-0000-0000-000007130000}"/>
    <cellStyle name="Normal 4 2 2 5 7 2" xfId="6794" xr:uid="{00000000-0005-0000-0000-000008130000}"/>
    <cellStyle name="Normal 4 2 2 5 7 2 2" xfId="15244" xr:uid="{832A119C-5E56-4B34-A9F7-7B4485E793F8}"/>
    <cellStyle name="Normal 4 2 2 5 7 2 3" xfId="23691" xr:uid="{068E9444-5AE1-4E15-AFDD-38E5BDC030D5}"/>
    <cellStyle name="Normal 4 2 2 5 7 2 4" xfId="32138" xr:uid="{AE2D2BB2-2729-4F18-81C7-4CA3F6559ED2}"/>
    <cellStyle name="Normal 4 2 2 5 7 3" xfId="11026" xr:uid="{1F8BE35A-0368-42EF-9CC5-A718BC4A3FCF}"/>
    <cellStyle name="Normal 4 2 2 5 7 4" xfId="19474" xr:uid="{AAB2A7CF-695C-4E0C-99BE-4D6B8410EB40}"/>
    <cellStyle name="Normal 4 2 2 5 7 5" xfId="27921" xr:uid="{B3F4330F-DB76-441F-A087-33C74A71EA73}"/>
    <cellStyle name="Normal 4 2 2 5 8" xfId="4729" xr:uid="{00000000-0005-0000-0000-000009130000}"/>
    <cellStyle name="Normal 4 2 2 5 8 2" xfId="13179" xr:uid="{624DCE2F-4259-4D78-808C-BFB532364163}"/>
    <cellStyle name="Normal 4 2 2 5 8 3" xfId="21626" xr:uid="{EBEAA0AF-B03C-4261-AB41-A9BDF35C3E34}"/>
    <cellStyle name="Normal 4 2 2 5 8 4" xfId="30073" xr:uid="{4F47E244-D4D6-4FFE-84C2-F35883901326}"/>
    <cellStyle name="Normal 4 2 2 5 9" xfId="8961" xr:uid="{D806658F-2139-434D-B026-1301C231A4BF}"/>
    <cellStyle name="Normal 4 2 2 6" xfId="353" xr:uid="{00000000-0005-0000-0000-00000A130000}"/>
    <cellStyle name="Normal 4 2 2 6 10" xfId="25858" xr:uid="{FD44352E-312D-46A9-A562-87DD04E2FE6A}"/>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1EC4B4A8-C2EE-48B3-B9FA-4798EA963A2E}"/>
    <cellStyle name="Normal 4 2 2 6 2 2 2 3" xfId="24186" xr:uid="{22411FF3-EC89-4C19-8336-65A99A98D35C}"/>
    <cellStyle name="Normal 4 2 2 6 2 2 2 4" xfId="32633" xr:uid="{E58F9C12-5F8C-4DE8-B398-EB7C52020400}"/>
    <cellStyle name="Normal 4 2 2 6 2 2 3" xfId="11521" xr:uid="{3F384ECD-F8A4-4870-BA47-78860F619B68}"/>
    <cellStyle name="Normal 4 2 2 6 2 2 4" xfId="19969" xr:uid="{C4A5376C-3CC1-4FA5-BF2C-085E329BC1FE}"/>
    <cellStyle name="Normal 4 2 2 6 2 2 5" xfId="28416" xr:uid="{E954660B-A72C-4339-8A0A-DFB873A4B8BA}"/>
    <cellStyle name="Normal 4 2 2 6 2 3" xfId="5144" xr:uid="{00000000-0005-0000-0000-00000E130000}"/>
    <cellStyle name="Normal 4 2 2 6 2 3 2" xfId="13594" xr:uid="{1BBDF4A7-A85C-4E61-AC91-D6C14FF80CD1}"/>
    <cellStyle name="Normal 4 2 2 6 2 3 3" xfId="22041" xr:uid="{EB410AFD-C49B-45FF-834F-7CD19B010C1A}"/>
    <cellStyle name="Normal 4 2 2 6 2 3 4" xfId="30488" xr:uid="{AABDA68B-038C-4E7D-B128-3B1E7F8FF2ED}"/>
    <cellStyle name="Normal 4 2 2 6 2 4" xfId="9376" xr:uid="{C0444A2A-B9D3-4CE7-8255-4139875DB09D}"/>
    <cellStyle name="Normal 4 2 2 6 2 5" xfId="17824" xr:uid="{E404BAC7-0051-4877-BAA9-ADD6FFC7048A}"/>
    <cellStyle name="Normal 4 2 2 6 2 6" xfId="26271" xr:uid="{D0E16735-CCAB-485D-843D-1C9EF4CF1EF7}"/>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86B9B4DB-FE09-448F-800F-6135EAB9B00C}"/>
    <cellStyle name="Normal 4 2 2 6 3 2 2 3" xfId="24599" xr:uid="{44F4C995-C6D0-46CF-804C-D7EAD341C257}"/>
    <cellStyle name="Normal 4 2 2 6 3 2 2 4" xfId="33046" xr:uid="{EB5DEED9-7C56-4FC5-9F85-B96C10697416}"/>
    <cellStyle name="Normal 4 2 2 6 3 2 3" xfId="11934" xr:uid="{71849DB5-9BD8-457B-BD8B-9122B633472C}"/>
    <cellStyle name="Normal 4 2 2 6 3 2 4" xfId="20382" xr:uid="{BFCDB3AC-3DDE-4331-A5EA-3E58B713A4AF}"/>
    <cellStyle name="Normal 4 2 2 6 3 2 5" xfId="28829" xr:uid="{804A1363-3974-4491-9844-BAB5FDE1CE34}"/>
    <cellStyle name="Normal 4 2 2 6 3 3" xfId="5557" xr:uid="{00000000-0005-0000-0000-000012130000}"/>
    <cellStyle name="Normal 4 2 2 6 3 3 2" xfId="14007" xr:uid="{F884F0A2-A3B9-4024-8576-CF50AC9BD019}"/>
    <cellStyle name="Normal 4 2 2 6 3 3 3" xfId="22454" xr:uid="{CA004297-12EC-43D5-91F5-C9218E4D01B8}"/>
    <cellStyle name="Normal 4 2 2 6 3 3 4" xfId="30901" xr:uid="{7AA3A7D0-24BB-4635-ADB5-75C7FC0C2854}"/>
    <cellStyle name="Normal 4 2 2 6 3 4" xfId="9789" xr:uid="{58EB581C-1C40-423B-A3E6-0228D86F75ED}"/>
    <cellStyle name="Normal 4 2 2 6 3 5" xfId="18237" xr:uid="{B253733C-AF2A-4415-BCED-79F43D0AE96B}"/>
    <cellStyle name="Normal 4 2 2 6 3 6" xfId="26684" xr:uid="{67D7544B-C6F1-4545-B85F-13F6D59F6D67}"/>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3D8B8BCE-4098-4741-A74C-9F4616F6423D}"/>
    <cellStyle name="Normal 4 2 2 6 4 2 2 3" xfId="25012" xr:uid="{911415A8-49EC-4FEC-AE5A-7BA68FBD92AD}"/>
    <cellStyle name="Normal 4 2 2 6 4 2 2 4" xfId="33459" xr:uid="{93FD65DE-BAF8-4BF1-80EB-909BACFD33EC}"/>
    <cellStyle name="Normal 4 2 2 6 4 2 3" xfId="12347" xr:uid="{0654C5DC-218C-4217-8B4B-21B45501D938}"/>
    <cellStyle name="Normal 4 2 2 6 4 2 4" xfId="20795" xr:uid="{ECE1D334-94E9-485E-A00D-348F52E3C50B}"/>
    <cellStyle name="Normal 4 2 2 6 4 2 5" xfId="29242" xr:uid="{0A2D7ADA-0526-4667-9467-AEEF719BF8AE}"/>
    <cellStyle name="Normal 4 2 2 6 4 3" xfId="5970" xr:uid="{00000000-0005-0000-0000-000016130000}"/>
    <cellStyle name="Normal 4 2 2 6 4 3 2" xfId="14420" xr:uid="{43FF81B6-C0F4-4796-A573-118B4DD2D151}"/>
    <cellStyle name="Normal 4 2 2 6 4 3 3" xfId="22867" xr:uid="{3BA43060-1C5F-4638-9E15-1CDACB876953}"/>
    <cellStyle name="Normal 4 2 2 6 4 3 4" xfId="31314" xr:uid="{8C7D8BC5-AD8F-48CB-AD3E-09A130AA87CE}"/>
    <cellStyle name="Normal 4 2 2 6 4 4" xfId="10202" xr:uid="{22046CE9-83A1-452D-83D6-13428E4C6DDA}"/>
    <cellStyle name="Normal 4 2 2 6 4 5" xfId="18650" xr:uid="{37ABF4AA-8994-4B07-B810-B21E37661954}"/>
    <cellStyle name="Normal 4 2 2 6 4 6" xfId="27097" xr:uid="{6D81B7FE-1015-4089-BE27-5E4446E82DC5}"/>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1F3D7901-46FE-4A07-9A9D-582959727E3C}"/>
    <cellStyle name="Normal 4 2 2 6 5 2 2 3" xfId="25425" xr:uid="{57793638-47CC-4B3A-9EFC-3CA35F0EFF63}"/>
    <cellStyle name="Normal 4 2 2 6 5 2 2 4" xfId="33872" xr:uid="{64C3515C-BBAE-4292-8D89-EBBE9690D15A}"/>
    <cellStyle name="Normal 4 2 2 6 5 2 3" xfId="12760" xr:uid="{1D9818EE-E569-45ED-B291-3CA87249FDC8}"/>
    <cellStyle name="Normal 4 2 2 6 5 2 4" xfId="21208" xr:uid="{1ACBB0E3-6E63-4ECE-B5BA-C619AB489911}"/>
    <cellStyle name="Normal 4 2 2 6 5 2 5" xfId="29655" xr:uid="{8055C657-58EC-48E7-95FF-C946ED56BCC8}"/>
    <cellStyle name="Normal 4 2 2 6 5 3" xfId="6383" xr:uid="{00000000-0005-0000-0000-00001A130000}"/>
    <cellStyle name="Normal 4 2 2 6 5 3 2" xfId="14833" xr:uid="{1C138340-7B5B-4E65-9F69-3D47B06A4EE7}"/>
    <cellStyle name="Normal 4 2 2 6 5 3 3" xfId="23280" xr:uid="{DFE79AB0-C904-4C58-8A8A-31B6A4A41C28}"/>
    <cellStyle name="Normal 4 2 2 6 5 3 4" xfId="31727" xr:uid="{E4CB6DFD-E499-45A6-A8C8-D3557AE8084A}"/>
    <cellStyle name="Normal 4 2 2 6 5 4" xfId="10615" xr:uid="{74B74626-1BFA-44DD-9D10-0DA1124C9FBF}"/>
    <cellStyle name="Normal 4 2 2 6 5 5" xfId="19063" xr:uid="{AC367CD6-E07F-4B07-A563-A7976ECF2EAC}"/>
    <cellStyle name="Normal 4 2 2 6 5 6" xfId="27510" xr:uid="{66458139-3147-4C40-90F0-1B84E520A5D7}"/>
    <cellStyle name="Normal 4 2 2 6 6" xfId="2513" xr:uid="{00000000-0005-0000-0000-00001B130000}"/>
    <cellStyle name="Normal 4 2 2 6 6 2" xfId="6796" xr:uid="{00000000-0005-0000-0000-00001C130000}"/>
    <cellStyle name="Normal 4 2 2 6 6 2 2" xfId="15246" xr:uid="{360EFF3F-0EED-4BFB-9FE8-83A865D7AF79}"/>
    <cellStyle name="Normal 4 2 2 6 6 2 3" xfId="23693" xr:uid="{24FEDFAE-12A0-4351-B841-7F936AF7590F}"/>
    <cellStyle name="Normal 4 2 2 6 6 2 4" xfId="32140" xr:uid="{AACA24BE-24ED-4EBF-BE1F-37476BAC27A3}"/>
    <cellStyle name="Normal 4 2 2 6 6 3" xfId="11028" xr:uid="{42FF32D9-3D34-4A8B-9C95-C5B2549BF4A1}"/>
    <cellStyle name="Normal 4 2 2 6 6 4" xfId="19476" xr:uid="{8D93D6F5-BB0F-4306-AEA1-DDE7027C6A59}"/>
    <cellStyle name="Normal 4 2 2 6 6 5" xfId="27923" xr:uid="{984EA1A3-6810-4562-97DF-6808ABBDE8CA}"/>
    <cellStyle name="Normal 4 2 2 6 7" xfId="4731" xr:uid="{00000000-0005-0000-0000-00001D130000}"/>
    <cellStyle name="Normal 4 2 2 6 7 2" xfId="13181" xr:uid="{FB85D21D-711B-4F2F-847C-71BFEA23B45D}"/>
    <cellStyle name="Normal 4 2 2 6 7 3" xfId="21628" xr:uid="{727B69AC-7881-464A-962E-7DC571ED2276}"/>
    <cellStyle name="Normal 4 2 2 6 7 4" xfId="30075" xr:uid="{B584CDFE-47FC-4658-9762-4FF7D8955186}"/>
    <cellStyle name="Normal 4 2 2 6 8" xfId="8963" xr:uid="{692E08F6-BBE3-473D-9727-6519D52D43E8}"/>
    <cellStyle name="Normal 4 2 2 6 9" xfId="17411" xr:uid="{CF568783-105E-48F6-B7DD-76DF5AF83340}"/>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63FF72FB-B9AB-4C74-B8D0-689AEC9F54F0}"/>
    <cellStyle name="Normal 4 2 2 7 2 2 3" xfId="24171" xr:uid="{B1F2535B-6E83-484D-B3CA-C2F92E151FBB}"/>
    <cellStyle name="Normal 4 2 2 7 2 2 4" xfId="32618" xr:uid="{D0EAED74-60BE-4AAA-9B08-EF6A2C48038F}"/>
    <cellStyle name="Normal 4 2 2 7 2 3" xfId="11506" xr:uid="{EAE34480-A40E-4137-95DB-F59064A574FB}"/>
    <cellStyle name="Normal 4 2 2 7 2 4" xfId="19954" xr:uid="{CB0CA82E-B413-4551-8DEC-019C0A47F48C}"/>
    <cellStyle name="Normal 4 2 2 7 2 5" xfId="28401" xr:uid="{17E71F81-3EE8-4505-A98C-B21AB181E84F}"/>
    <cellStyle name="Normal 4 2 2 7 3" xfId="5129" xr:uid="{00000000-0005-0000-0000-000021130000}"/>
    <cellStyle name="Normal 4 2 2 7 3 2" xfId="13579" xr:uid="{B2361762-0607-4C1F-8837-D6AB369D8644}"/>
    <cellStyle name="Normal 4 2 2 7 3 3" xfId="22026" xr:uid="{F282EF39-79EC-4011-A3DC-81D2E6ABE932}"/>
    <cellStyle name="Normal 4 2 2 7 3 4" xfId="30473" xr:uid="{B116A954-DC8E-403C-998A-D76B561157AA}"/>
    <cellStyle name="Normal 4 2 2 7 4" xfId="9361" xr:uid="{0BBADDF3-3279-4528-9308-6960E3F1CEAF}"/>
    <cellStyle name="Normal 4 2 2 7 5" xfId="17809" xr:uid="{FCC66E7C-E3EF-49B0-A63A-CED9A742E857}"/>
    <cellStyle name="Normal 4 2 2 7 6" xfId="26256" xr:uid="{1754A80E-F8BA-4BEF-AFA5-E08C7EFAA524}"/>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30FADAB5-C402-44F6-9276-0A25E169DB13}"/>
    <cellStyle name="Normal 4 2 2 8 2 2 3" xfId="24584" xr:uid="{F2E8EE2A-DC30-4DE0-AC7F-E3C81399F90C}"/>
    <cellStyle name="Normal 4 2 2 8 2 2 4" xfId="33031" xr:uid="{441673F5-59D7-4FE3-9284-BAD6C9FA8A40}"/>
    <cellStyle name="Normal 4 2 2 8 2 3" xfId="11919" xr:uid="{4CE02BD9-BC12-41DA-ACAB-2785712BCF2B}"/>
    <cellStyle name="Normal 4 2 2 8 2 4" xfId="20367" xr:uid="{C9255C8E-A44A-4037-9411-6BA07B57EB6C}"/>
    <cellStyle name="Normal 4 2 2 8 2 5" xfId="28814" xr:uid="{742B5BEF-47EF-4854-8041-3361EB4E4456}"/>
    <cellStyle name="Normal 4 2 2 8 3" xfId="5542" xr:uid="{00000000-0005-0000-0000-000025130000}"/>
    <cellStyle name="Normal 4 2 2 8 3 2" xfId="13992" xr:uid="{A332CF65-C565-4883-B713-9CE6FD98D40D}"/>
    <cellStyle name="Normal 4 2 2 8 3 3" xfId="22439" xr:uid="{972DC4C1-BCE3-412E-ADFE-9A2BEFE52D00}"/>
    <cellStyle name="Normal 4 2 2 8 3 4" xfId="30886" xr:uid="{5D42B57A-ECE0-4999-84C6-9465EE521601}"/>
    <cellStyle name="Normal 4 2 2 8 4" xfId="9774" xr:uid="{79D078A5-384E-42DF-8F8C-73807146FC17}"/>
    <cellStyle name="Normal 4 2 2 8 5" xfId="18222" xr:uid="{B9BD0325-0A3C-4528-9FF4-3F2C51EDA8E2}"/>
    <cellStyle name="Normal 4 2 2 8 6" xfId="26669" xr:uid="{D65C04D0-418C-41DB-83A1-FAEEF5078ECA}"/>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2DA6B0C6-BAB3-446F-B68E-3325355ED694}"/>
    <cellStyle name="Normal 4 2 2 9 2 2 3" xfId="24997" xr:uid="{068F9D61-9D66-416B-BFE7-06379870DE27}"/>
    <cellStyle name="Normal 4 2 2 9 2 2 4" xfId="33444" xr:uid="{D794DDA8-D33E-4041-A975-442878BAEFF3}"/>
    <cellStyle name="Normal 4 2 2 9 2 3" xfId="12332" xr:uid="{0DC77312-70E5-4107-A751-E14AFDC16DA8}"/>
    <cellStyle name="Normal 4 2 2 9 2 4" xfId="20780" xr:uid="{A8E4A562-99C7-4525-A164-CCBE74CD1553}"/>
    <cellStyle name="Normal 4 2 2 9 2 5" xfId="29227" xr:uid="{08358750-1578-45D3-BF8D-DC55F24E3654}"/>
    <cellStyle name="Normal 4 2 2 9 3" xfId="5955" xr:uid="{00000000-0005-0000-0000-000029130000}"/>
    <cellStyle name="Normal 4 2 2 9 3 2" xfId="14405" xr:uid="{38C604AC-0FF4-441E-BA8B-1F80AF1D6AF7}"/>
    <cellStyle name="Normal 4 2 2 9 3 3" xfId="22852" xr:uid="{3C83191E-45CA-4520-9B0A-F12559D25316}"/>
    <cellStyle name="Normal 4 2 2 9 3 4" xfId="31299" xr:uid="{9460C37B-797C-4812-8D3F-2359A4038B9D}"/>
    <cellStyle name="Normal 4 2 2 9 4" xfId="10187" xr:uid="{3677E3DA-2C87-4EC9-82B5-D0F82C40F5A4}"/>
    <cellStyle name="Normal 4 2 2 9 5" xfId="18635" xr:uid="{742D1ADD-1BA4-4574-BFAF-1798005D77B7}"/>
    <cellStyle name="Normal 4 2 2 9 6" xfId="27082" xr:uid="{B7093988-404A-46F8-B0A0-6EE4ADA681CF}"/>
    <cellStyle name="Normal 4 2 3" xfId="354" xr:uid="{00000000-0005-0000-0000-00002A130000}"/>
    <cellStyle name="Normal 4 2 4" xfId="355" xr:uid="{00000000-0005-0000-0000-00002B130000}"/>
    <cellStyle name="Normal 4 2 4 10" xfId="4732" xr:uid="{00000000-0005-0000-0000-00002C130000}"/>
    <cellStyle name="Normal 4 2 4 10 2" xfId="13182" xr:uid="{042427E1-F29E-45DF-86BA-1C4E05F3AEED}"/>
    <cellStyle name="Normal 4 2 4 10 3" xfId="21629" xr:uid="{C38C934A-6BF0-4675-B1A4-89041C5DC092}"/>
    <cellStyle name="Normal 4 2 4 10 4" xfId="30076" xr:uid="{7627B49E-BF92-46E7-8FAB-15B339A28EC6}"/>
    <cellStyle name="Normal 4 2 4 11" xfId="8964" xr:uid="{5E8CD45D-7389-43A8-A673-029618030281}"/>
    <cellStyle name="Normal 4 2 4 12" xfId="17412" xr:uid="{720F951A-F3D0-442F-92B4-DB950909BD12}"/>
    <cellStyle name="Normal 4 2 4 13" xfId="25859" xr:uid="{6B3C1854-6FAA-4533-BB21-30AB20AF2789}"/>
    <cellStyle name="Normal 4 2 4 2" xfId="356" xr:uid="{00000000-0005-0000-0000-00002D130000}"/>
    <cellStyle name="Normal 4 2 4 2 10" xfId="8965" xr:uid="{CC5C1AFB-00CA-4352-B0CD-F594BCFAE243}"/>
    <cellStyle name="Normal 4 2 4 2 11" xfId="17413" xr:uid="{79856C40-609E-4DDA-A4E2-3B3E40CDDDDE}"/>
    <cellStyle name="Normal 4 2 4 2 12" xfId="25860" xr:uid="{2E11D3DB-11DA-4EFC-9425-FB24FF1DF285}"/>
    <cellStyle name="Normal 4 2 4 2 2" xfId="357" xr:uid="{00000000-0005-0000-0000-00002E130000}"/>
    <cellStyle name="Normal 4 2 4 2 2 10" xfId="17414" xr:uid="{10FC165E-71B5-42D9-A848-DB7F44CFC8B6}"/>
    <cellStyle name="Normal 4 2 4 2 2 11" xfId="25861" xr:uid="{D21567E2-3B23-4F54-8F6B-2BA86A25EE78}"/>
    <cellStyle name="Normal 4 2 4 2 2 2" xfId="358" xr:uid="{00000000-0005-0000-0000-00002F130000}"/>
    <cellStyle name="Normal 4 2 4 2 2 2 10" xfId="25862" xr:uid="{808FCB79-200A-46EA-B450-17BDB4C76483}"/>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5D7DF39A-E9B8-48AB-AB47-65D9B1D057C1}"/>
    <cellStyle name="Normal 4 2 4 2 2 2 2 2 2 3" xfId="24190" xr:uid="{E54CFEE5-20A9-4A7E-948C-1E042ACF88B8}"/>
    <cellStyle name="Normal 4 2 4 2 2 2 2 2 2 4" xfId="32637" xr:uid="{FF32D30A-A5C5-41A4-9608-ADEDDD6B5F08}"/>
    <cellStyle name="Normal 4 2 4 2 2 2 2 2 3" xfId="11525" xr:uid="{E8FB1635-3C16-4A44-BCD8-160A1615B7E3}"/>
    <cellStyle name="Normal 4 2 4 2 2 2 2 2 4" xfId="19973" xr:uid="{A8B0A74A-3787-473C-8E42-4ACC81DB331D}"/>
    <cellStyle name="Normal 4 2 4 2 2 2 2 2 5" xfId="28420" xr:uid="{533F5E3F-DD4A-4876-B474-CA134DAC3F30}"/>
    <cellStyle name="Normal 4 2 4 2 2 2 2 3" xfId="5148" xr:uid="{00000000-0005-0000-0000-000033130000}"/>
    <cellStyle name="Normal 4 2 4 2 2 2 2 3 2" xfId="13598" xr:uid="{8FBC4CC0-5C5C-4DFD-B657-B95DD1682B0A}"/>
    <cellStyle name="Normal 4 2 4 2 2 2 2 3 3" xfId="22045" xr:uid="{C8930A34-9AEE-4891-8BDC-915254197D3B}"/>
    <cellStyle name="Normal 4 2 4 2 2 2 2 3 4" xfId="30492" xr:uid="{216982CD-DA18-459A-95AF-9B43BFDFDECE}"/>
    <cellStyle name="Normal 4 2 4 2 2 2 2 4" xfId="9380" xr:uid="{AE3BD105-A388-40FC-9097-75A520925EFD}"/>
    <cellStyle name="Normal 4 2 4 2 2 2 2 5" xfId="17828" xr:uid="{988A57BD-F34D-47B9-B7F2-E9858EF17ACC}"/>
    <cellStyle name="Normal 4 2 4 2 2 2 2 6" xfId="26275" xr:uid="{DCD6897E-C6FD-40D8-A451-E3D3B73A3C85}"/>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0C183FDB-1056-4E3F-8C90-77A8DE768799}"/>
    <cellStyle name="Normal 4 2 4 2 2 2 3 2 2 3" xfId="24603" xr:uid="{5B49EB5F-422C-43CF-8D11-C5AD6E22EE35}"/>
    <cellStyle name="Normal 4 2 4 2 2 2 3 2 2 4" xfId="33050" xr:uid="{C1CE2F92-EE59-4F32-8F70-281B50D6C9B7}"/>
    <cellStyle name="Normal 4 2 4 2 2 2 3 2 3" xfId="11938" xr:uid="{AE635035-4CC8-4DC4-9793-D493CE9A7A6D}"/>
    <cellStyle name="Normal 4 2 4 2 2 2 3 2 4" xfId="20386" xr:uid="{DB24B2A0-A006-4D9C-9312-10E06D5C8E03}"/>
    <cellStyle name="Normal 4 2 4 2 2 2 3 2 5" xfId="28833" xr:uid="{3450CF32-38FC-41C8-9EA5-B461F4B0A458}"/>
    <cellStyle name="Normal 4 2 4 2 2 2 3 3" xfId="5561" xr:uid="{00000000-0005-0000-0000-000037130000}"/>
    <cellStyle name="Normal 4 2 4 2 2 2 3 3 2" xfId="14011" xr:uid="{4C9CDED0-2B21-41F5-A92B-1234CA9D2365}"/>
    <cellStyle name="Normal 4 2 4 2 2 2 3 3 3" xfId="22458" xr:uid="{B12D327A-2F90-4A25-AA65-C00311E1E510}"/>
    <cellStyle name="Normal 4 2 4 2 2 2 3 3 4" xfId="30905" xr:uid="{B27CE692-4F62-4314-B0D6-FC8DE3FFFC07}"/>
    <cellStyle name="Normal 4 2 4 2 2 2 3 4" xfId="9793" xr:uid="{757AD1E7-FAA4-4D61-8DBB-8BA3E2918A38}"/>
    <cellStyle name="Normal 4 2 4 2 2 2 3 5" xfId="18241" xr:uid="{4F7F34C6-56F4-45D7-8E3C-BAC835830B48}"/>
    <cellStyle name="Normal 4 2 4 2 2 2 3 6" xfId="26688" xr:uid="{B5E86A15-AC0B-464D-9CA1-42D83968F5BB}"/>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5355D933-F7F0-41E1-B011-490FE2898DA1}"/>
    <cellStyle name="Normal 4 2 4 2 2 2 4 2 2 3" xfId="25016" xr:uid="{C754039A-3F11-4714-8F6C-6ADF7C8A9B7E}"/>
    <cellStyle name="Normal 4 2 4 2 2 2 4 2 2 4" xfId="33463" xr:uid="{FD9B33E2-6D65-4CEF-84EA-C11A9B9C9539}"/>
    <cellStyle name="Normal 4 2 4 2 2 2 4 2 3" xfId="12351" xr:uid="{E723B875-F3DC-4E4B-B454-413DCEB3095A}"/>
    <cellStyle name="Normal 4 2 4 2 2 2 4 2 4" xfId="20799" xr:uid="{2FF13047-CB22-448D-82B9-FE8DB19C4E03}"/>
    <cellStyle name="Normal 4 2 4 2 2 2 4 2 5" xfId="29246" xr:uid="{F976CEA4-B996-496D-927D-1F10C12F3A5D}"/>
    <cellStyle name="Normal 4 2 4 2 2 2 4 3" xfId="5974" xr:uid="{00000000-0005-0000-0000-00003B130000}"/>
    <cellStyle name="Normal 4 2 4 2 2 2 4 3 2" xfId="14424" xr:uid="{5781965E-2B57-474C-AE89-916774E8B8F2}"/>
    <cellStyle name="Normal 4 2 4 2 2 2 4 3 3" xfId="22871" xr:uid="{E9E6AE8D-C2A2-49F2-9636-5039CFB32574}"/>
    <cellStyle name="Normal 4 2 4 2 2 2 4 3 4" xfId="31318" xr:uid="{0BA931F9-6450-427C-89EF-09C9D923F20D}"/>
    <cellStyle name="Normal 4 2 4 2 2 2 4 4" xfId="10206" xr:uid="{FF0C4FA1-39E3-4BE5-897A-A8B2ECFC3A02}"/>
    <cellStyle name="Normal 4 2 4 2 2 2 4 5" xfId="18654" xr:uid="{832852CE-4422-4339-BE6E-7E63644B7A67}"/>
    <cellStyle name="Normal 4 2 4 2 2 2 4 6" xfId="27101" xr:uid="{BA6F5A2E-0B65-4DD5-AC2B-51375ADC3C0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F761DCDA-BBCC-443C-8AA1-E71094CAB2B9}"/>
    <cellStyle name="Normal 4 2 4 2 2 2 5 2 2 3" xfId="25429" xr:uid="{58094C0A-9E8F-4F7E-A995-E132A2559B01}"/>
    <cellStyle name="Normal 4 2 4 2 2 2 5 2 2 4" xfId="33876" xr:uid="{D924CDCA-C095-47CE-A2BB-008A0D3769BB}"/>
    <cellStyle name="Normal 4 2 4 2 2 2 5 2 3" xfId="12764" xr:uid="{BB6B9459-FA94-486B-A325-CD012DF0943B}"/>
    <cellStyle name="Normal 4 2 4 2 2 2 5 2 4" xfId="21212" xr:uid="{904180D1-7559-4961-9D33-6D16ACD52AA4}"/>
    <cellStyle name="Normal 4 2 4 2 2 2 5 2 5" xfId="29659" xr:uid="{821E3CF0-5508-4EF8-82CE-0FEA1D43A757}"/>
    <cellStyle name="Normal 4 2 4 2 2 2 5 3" xfId="6387" xr:uid="{00000000-0005-0000-0000-00003F130000}"/>
    <cellStyle name="Normal 4 2 4 2 2 2 5 3 2" xfId="14837" xr:uid="{A138F1F2-F27E-4633-8BC9-18651DDB6F13}"/>
    <cellStyle name="Normal 4 2 4 2 2 2 5 3 3" xfId="23284" xr:uid="{5F05E0B7-DFCA-40BA-85B2-568D2D430CF2}"/>
    <cellStyle name="Normal 4 2 4 2 2 2 5 3 4" xfId="31731" xr:uid="{F4780B54-3495-4BDC-BD48-9D9401216A66}"/>
    <cellStyle name="Normal 4 2 4 2 2 2 5 4" xfId="10619" xr:uid="{BBC203E4-E545-4EB3-9A72-C480796E1C3C}"/>
    <cellStyle name="Normal 4 2 4 2 2 2 5 5" xfId="19067" xr:uid="{BA1DA7CA-07E6-4253-864D-CAF3EA364AAC}"/>
    <cellStyle name="Normal 4 2 4 2 2 2 5 6" xfId="27514" xr:uid="{2DD69AED-BE23-4046-A2C8-7A8931E57E35}"/>
    <cellStyle name="Normal 4 2 4 2 2 2 6" xfId="2517" xr:uid="{00000000-0005-0000-0000-000040130000}"/>
    <cellStyle name="Normal 4 2 4 2 2 2 6 2" xfId="6800" xr:uid="{00000000-0005-0000-0000-000041130000}"/>
    <cellStyle name="Normal 4 2 4 2 2 2 6 2 2" xfId="15250" xr:uid="{F9D31B4D-6988-4A4A-BA4C-4B0529E687B1}"/>
    <cellStyle name="Normal 4 2 4 2 2 2 6 2 3" xfId="23697" xr:uid="{47E33212-12ED-4247-827E-76F68B0A60A8}"/>
    <cellStyle name="Normal 4 2 4 2 2 2 6 2 4" xfId="32144" xr:uid="{5D6FD34E-EB92-47CD-88BC-1041FFA1889B}"/>
    <cellStyle name="Normal 4 2 4 2 2 2 6 3" xfId="11032" xr:uid="{0676A0C3-C663-448F-978A-72A35F43E79C}"/>
    <cellStyle name="Normal 4 2 4 2 2 2 6 4" xfId="19480" xr:uid="{DB5652C4-262B-4C4D-97D7-10CCC400DDC2}"/>
    <cellStyle name="Normal 4 2 4 2 2 2 6 5" xfId="27927" xr:uid="{BE6CBF48-1EB5-44DA-AB92-8C93FF4093A5}"/>
    <cellStyle name="Normal 4 2 4 2 2 2 7" xfId="4735" xr:uid="{00000000-0005-0000-0000-000042130000}"/>
    <cellStyle name="Normal 4 2 4 2 2 2 7 2" xfId="13185" xr:uid="{3130B00D-80D5-47E3-8753-9EA9091AC6FD}"/>
    <cellStyle name="Normal 4 2 4 2 2 2 7 3" xfId="21632" xr:uid="{D6B6951D-B4CC-4758-A9AA-E8BB2DAFD76C}"/>
    <cellStyle name="Normal 4 2 4 2 2 2 7 4" xfId="30079" xr:uid="{72294D10-2863-499E-B999-197A7E810925}"/>
    <cellStyle name="Normal 4 2 4 2 2 2 8" xfId="8967" xr:uid="{3E3A8F62-48F3-44FC-BB7A-40CBC5341A0E}"/>
    <cellStyle name="Normal 4 2 4 2 2 2 9" xfId="17415" xr:uid="{FAA3CDDA-D718-4A1E-8955-17F4BDE575E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6E85C5DA-59B7-475C-9A75-EE45C02A4DBB}"/>
    <cellStyle name="Normal 4 2 4 2 2 3 2 2 3" xfId="24189" xr:uid="{3C15A4E3-13F1-419D-91A3-EA5280582618}"/>
    <cellStyle name="Normal 4 2 4 2 2 3 2 2 4" xfId="32636" xr:uid="{DA3ACCC0-F59F-405E-A904-84A95BA3F063}"/>
    <cellStyle name="Normal 4 2 4 2 2 3 2 3" xfId="11524" xr:uid="{9F08ACC3-010E-4FFD-A727-E88288B1C493}"/>
    <cellStyle name="Normal 4 2 4 2 2 3 2 4" xfId="19972" xr:uid="{E9B9515E-A0F7-4BC6-A146-0206FC2B6937}"/>
    <cellStyle name="Normal 4 2 4 2 2 3 2 5" xfId="28419" xr:uid="{8C0ED81A-8657-4708-8070-2A84E6CF4E9E}"/>
    <cellStyle name="Normal 4 2 4 2 2 3 3" xfId="5147" xr:uid="{00000000-0005-0000-0000-000046130000}"/>
    <cellStyle name="Normal 4 2 4 2 2 3 3 2" xfId="13597" xr:uid="{9181DC66-7A3F-46E1-AEBE-24A554524002}"/>
    <cellStyle name="Normal 4 2 4 2 2 3 3 3" xfId="22044" xr:uid="{D9B1A1E0-70D2-4442-9BA6-A9CE19BB6335}"/>
    <cellStyle name="Normal 4 2 4 2 2 3 3 4" xfId="30491" xr:uid="{35FF8931-3224-4FC9-A2EE-02177962BE21}"/>
    <cellStyle name="Normal 4 2 4 2 2 3 4" xfId="9379" xr:uid="{073BBB2C-3EB0-4B9C-84BC-FDFAD723C972}"/>
    <cellStyle name="Normal 4 2 4 2 2 3 5" xfId="17827" xr:uid="{8FB3DFE9-B491-43E7-9B38-9E3FAC7B692F}"/>
    <cellStyle name="Normal 4 2 4 2 2 3 6" xfId="26274" xr:uid="{F0B03BC6-F89C-4597-8441-D48E324A38B2}"/>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9E755C20-332C-46F3-B6DA-67F0B9509D1E}"/>
    <cellStyle name="Normal 4 2 4 2 2 4 2 2 3" xfId="24602" xr:uid="{4C5335C5-E281-492A-9E23-B519A5DB0BDE}"/>
    <cellStyle name="Normal 4 2 4 2 2 4 2 2 4" xfId="33049" xr:uid="{D45C6D3B-D886-44E2-AF07-36B7A88F29BD}"/>
    <cellStyle name="Normal 4 2 4 2 2 4 2 3" xfId="11937" xr:uid="{5E0740B4-C182-4CFC-AE10-1163ADE6C47A}"/>
    <cellStyle name="Normal 4 2 4 2 2 4 2 4" xfId="20385" xr:uid="{422DE279-699C-4CF3-A85A-A4ED94119293}"/>
    <cellStyle name="Normal 4 2 4 2 2 4 2 5" xfId="28832" xr:uid="{E3F1E6CB-266A-4E75-9CF5-D5B4D12E84A6}"/>
    <cellStyle name="Normal 4 2 4 2 2 4 3" xfId="5560" xr:uid="{00000000-0005-0000-0000-00004A130000}"/>
    <cellStyle name="Normal 4 2 4 2 2 4 3 2" xfId="14010" xr:uid="{47C6B559-26F5-49A3-8A73-005CB6100DA9}"/>
    <cellStyle name="Normal 4 2 4 2 2 4 3 3" xfId="22457" xr:uid="{2F859143-E368-4A61-9666-218BD8FDAF29}"/>
    <cellStyle name="Normal 4 2 4 2 2 4 3 4" xfId="30904" xr:uid="{C0B4F659-4A26-46D8-A00D-DCC144377435}"/>
    <cellStyle name="Normal 4 2 4 2 2 4 4" xfId="9792" xr:uid="{D2DB6C41-8141-43DA-8485-31F6778367E1}"/>
    <cellStyle name="Normal 4 2 4 2 2 4 5" xfId="18240" xr:uid="{18B2A0D8-795A-4E85-B8BD-F21C1F41DF9D}"/>
    <cellStyle name="Normal 4 2 4 2 2 4 6" xfId="26687" xr:uid="{E0F80EF7-30FB-4835-92FC-97DC0D271B1E}"/>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5BB133D2-42A1-4086-B994-88E603292B3F}"/>
    <cellStyle name="Normal 4 2 4 2 2 5 2 2 3" xfId="25015" xr:uid="{8BB7EC52-4A58-4109-A853-61CDEEA5D90E}"/>
    <cellStyle name="Normal 4 2 4 2 2 5 2 2 4" xfId="33462" xr:uid="{060B8699-F50B-4227-AF9D-6C4F3F5D4D9A}"/>
    <cellStyle name="Normal 4 2 4 2 2 5 2 3" xfId="12350" xr:uid="{DFE32991-30E3-45CF-AC54-FEB4D966024B}"/>
    <cellStyle name="Normal 4 2 4 2 2 5 2 4" xfId="20798" xr:uid="{A0E1B0A7-D3B7-46F1-83B3-EE0E182744B0}"/>
    <cellStyle name="Normal 4 2 4 2 2 5 2 5" xfId="29245" xr:uid="{43B82129-AABD-4CF3-8B7B-ED8F0477D8AD}"/>
    <cellStyle name="Normal 4 2 4 2 2 5 3" xfId="5973" xr:uid="{00000000-0005-0000-0000-00004E130000}"/>
    <cellStyle name="Normal 4 2 4 2 2 5 3 2" xfId="14423" xr:uid="{39875C73-0B0A-42B8-A753-5878A2AF7B4D}"/>
    <cellStyle name="Normal 4 2 4 2 2 5 3 3" xfId="22870" xr:uid="{BBA4CFC0-882C-4A6F-88ED-97C042CD4FAE}"/>
    <cellStyle name="Normal 4 2 4 2 2 5 3 4" xfId="31317" xr:uid="{CFF2AD09-BD8A-45AC-A18E-5BDD8EAA767E}"/>
    <cellStyle name="Normal 4 2 4 2 2 5 4" xfId="10205" xr:uid="{79BF06D2-E478-45B4-B9B6-881731481AF6}"/>
    <cellStyle name="Normal 4 2 4 2 2 5 5" xfId="18653" xr:uid="{2BC90D83-6A9B-4B4D-9655-A2356B212CE6}"/>
    <cellStyle name="Normal 4 2 4 2 2 5 6" xfId="27100" xr:uid="{F910B6E5-6644-4EA6-9575-AF217139C471}"/>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1A77B4DF-C1C7-41EB-B517-E4CA336011EF}"/>
    <cellStyle name="Normal 4 2 4 2 2 6 2 2 3" xfId="25428" xr:uid="{BA5550C8-8DC2-4AC0-8A07-D91F8D32BE61}"/>
    <cellStyle name="Normal 4 2 4 2 2 6 2 2 4" xfId="33875" xr:uid="{D8301635-1F30-4651-898F-385DBDA08749}"/>
    <cellStyle name="Normal 4 2 4 2 2 6 2 3" xfId="12763" xr:uid="{F903EAD6-CECD-458C-8F4D-CF11C2BFC046}"/>
    <cellStyle name="Normal 4 2 4 2 2 6 2 4" xfId="21211" xr:uid="{D028FE97-BC02-409A-853A-31B92EFDE54F}"/>
    <cellStyle name="Normal 4 2 4 2 2 6 2 5" xfId="29658" xr:uid="{5F68CA1E-4C8C-4B5C-A9DD-18BB914BCD7F}"/>
    <cellStyle name="Normal 4 2 4 2 2 6 3" xfId="6386" xr:uid="{00000000-0005-0000-0000-000052130000}"/>
    <cellStyle name="Normal 4 2 4 2 2 6 3 2" xfId="14836" xr:uid="{8333E893-BD0A-4350-BA49-3CB24377AD05}"/>
    <cellStyle name="Normal 4 2 4 2 2 6 3 3" xfId="23283" xr:uid="{B7ACBE5A-80D1-4F26-B1CF-32336B035004}"/>
    <cellStyle name="Normal 4 2 4 2 2 6 3 4" xfId="31730" xr:uid="{51E559C1-B593-40DC-BD00-1B8C296F827E}"/>
    <cellStyle name="Normal 4 2 4 2 2 6 4" xfId="10618" xr:uid="{7E01BDBC-7669-42DA-8A72-F060F91057A9}"/>
    <cellStyle name="Normal 4 2 4 2 2 6 5" xfId="19066" xr:uid="{FB98FB80-EECF-4D09-8A15-44216C2FF0B2}"/>
    <cellStyle name="Normal 4 2 4 2 2 6 6" xfId="27513" xr:uid="{391F0C10-9B0E-4F24-860A-1CFE674AEC42}"/>
    <cellStyle name="Normal 4 2 4 2 2 7" xfId="2516" xr:uid="{00000000-0005-0000-0000-000053130000}"/>
    <cellStyle name="Normal 4 2 4 2 2 7 2" xfId="6799" xr:uid="{00000000-0005-0000-0000-000054130000}"/>
    <cellStyle name="Normal 4 2 4 2 2 7 2 2" xfId="15249" xr:uid="{7C2D41E2-CD80-429B-9749-EA5480B68DF7}"/>
    <cellStyle name="Normal 4 2 4 2 2 7 2 3" xfId="23696" xr:uid="{811B4F67-9FB6-44C6-BABC-0A8FD851D7AB}"/>
    <cellStyle name="Normal 4 2 4 2 2 7 2 4" xfId="32143" xr:uid="{31613F5E-D0C1-4831-AAD7-DDE19C550F4D}"/>
    <cellStyle name="Normal 4 2 4 2 2 7 3" xfId="11031" xr:uid="{3D2F8F86-7ABB-4C39-86CD-DB5785D8599C}"/>
    <cellStyle name="Normal 4 2 4 2 2 7 4" xfId="19479" xr:uid="{927EE5F4-008A-4780-9CFD-3A5CFB67C913}"/>
    <cellStyle name="Normal 4 2 4 2 2 7 5" xfId="27926" xr:uid="{F26D8E2B-8489-4A94-96BC-F35C70B8B407}"/>
    <cellStyle name="Normal 4 2 4 2 2 8" xfId="4734" xr:uid="{00000000-0005-0000-0000-000055130000}"/>
    <cellStyle name="Normal 4 2 4 2 2 8 2" xfId="13184" xr:uid="{A35176E0-70F1-4D7F-8CC4-BD2705334327}"/>
    <cellStyle name="Normal 4 2 4 2 2 8 3" xfId="21631" xr:uid="{846A85FE-9940-4E33-838B-894C817690D6}"/>
    <cellStyle name="Normal 4 2 4 2 2 8 4" xfId="30078" xr:uid="{F72290D1-44F4-4402-909B-666D13A624E3}"/>
    <cellStyle name="Normal 4 2 4 2 2 9" xfId="8966" xr:uid="{F37068A6-5842-4869-848D-920CED7937F2}"/>
    <cellStyle name="Normal 4 2 4 2 3" xfId="359" xr:uid="{00000000-0005-0000-0000-000056130000}"/>
    <cellStyle name="Normal 4 2 4 2 3 10" xfId="25863" xr:uid="{1C74475F-6EA1-4446-8126-FC8F004EC1A2}"/>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8727CF0C-DF91-43F0-994F-BFCF17D14935}"/>
    <cellStyle name="Normal 4 2 4 2 3 2 2 2 3" xfId="24191" xr:uid="{701F4460-30BF-447C-AFD5-D30F5D556BFA}"/>
    <cellStyle name="Normal 4 2 4 2 3 2 2 2 4" xfId="32638" xr:uid="{BB586346-4FA7-4CA5-B29B-95AF27DA8496}"/>
    <cellStyle name="Normal 4 2 4 2 3 2 2 3" xfId="11526" xr:uid="{1FA7643D-7053-483C-B691-43700383F793}"/>
    <cellStyle name="Normal 4 2 4 2 3 2 2 4" xfId="19974" xr:uid="{38FE6358-85CB-4405-8579-B98D6F3BBBAC}"/>
    <cellStyle name="Normal 4 2 4 2 3 2 2 5" xfId="28421" xr:uid="{5C911A65-6FFE-4562-93AA-11763B0EF373}"/>
    <cellStyle name="Normal 4 2 4 2 3 2 3" xfId="5149" xr:uid="{00000000-0005-0000-0000-00005A130000}"/>
    <cellStyle name="Normal 4 2 4 2 3 2 3 2" xfId="13599" xr:uid="{6CFE102C-4EC7-48C6-B38D-9474C48A83B5}"/>
    <cellStyle name="Normal 4 2 4 2 3 2 3 3" xfId="22046" xr:uid="{02F818F8-8DA7-4438-924F-05866A8051FE}"/>
    <cellStyle name="Normal 4 2 4 2 3 2 3 4" xfId="30493" xr:uid="{48FE86F9-BEC2-4615-AA23-5ED2A1D8F7CC}"/>
    <cellStyle name="Normal 4 2 4 2 3 2 4" xfId="9381" xr:uid="{6E601070-6EE0-4FAC-97E2-D1D9A3590376}"/>
    <cellStyle name="Normal 4 2 4 2 3 2 5" xfId="17829" xr:uid="{27B11E53-CBCA-4992-89CF-B034A7CB51F5}"/>
    <cellStyle name="Normal 4 2 4 2 3 2 6" xfId="26276" xr:uid="{F60B74D6-F63F-4128-B119-9267B3939B4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D3C37729-0779-4A2D-AF23-E2D12943C053}"/>
    <cellStyle name="Normal 4 2 4 2 3 3 2 2 3" xfId="24604" xr:uid="{6E0A0C00-3B16-4897-838F-78D5C90CCA75}"/>
    <cellStyle name="Normal 4 2 4 2 3 3 2 2 4" xfId="33051" xr:uid="{1A951F28-6AFF-4817-9ED7-A9160A83DD4F}"/>
    <cellStyle name="Normal 4 2 4 2 3 3 2 3" xfId="11939" xr:uid="{13A23051-00C6-40C0-8B56-49ED64544B50}"/>
    <cellStyle name="Normal 4 2 4 2 3 3 2 4" xfId="20387" xr:uid="{2EC9F844-566C-438E-BF2A-EA5DFE00A7EC}"/>
    <cellStyle name="Normal 4 2 4 2 3 3 2 5" xfId="28834" xr:uid="{DA928504-BB51-494E-B0B8-2F18F63028D4}"/>
    <cellStyle name="Normal 4 2 4 2 3 3 3" xfId="5562" xr:uid="{00000000-0005-0000-0000-00005E130000}"/>
    <cellStyle name="Normal 4 2 4 2 3 3 3 2" xfId="14012" xr:uid="{E67DFD1E-A522-4012-B1EA-0B4BEF77FE61}"/>
    <cellStyle name="Normal 4 2 4 2 3 3 3 3" xfId="22459" xr:uid="{03F8B22D-B901-4355-801B-F0683665C2A8}"/>
    <cellStyle name="Normal 4 2 4 2 3 3 3 4" xfId="30906" xr:uid="{F3BC8A45-9832-4BFB-ABF7-4B4D9972458E}"/>
    <cellStyle name="Normal 4 2 4 2 3 3 4" xfId="9794" xr:uid="{9BCC1A39-B22F-42CF-B698-9BCDEA303117}"/>
    <cellStyle name="Normal 4 2 4 2 3 3 5" xfId="18242" xr:uid="{08A164B7-536E-44C1-B579-89E8087298EF}"/>
    <cellStyle name="Normal 4 2 4 2 3 3 6" xfId="26689" xr:uid="{000A4175-05AF-4430-85EF-111E8D5D636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8AE51171-A467-4FDB-B550-BCAF095CC2DE}"/>
    <cellStyle name="Normal 4 2 4 2 3 4 2 2 3" xfId="25017" xr:uid="{9144DB4D-9907-4251-91E4-647A8CBF8A48}"/>
    <cellStyle name="Normal 4 2 4 2 3 4 2 2 4" xfId="33464" xr:uid="{E037C77F-73E6-4BD9-9C39-EE036903AA87}"/>
    <cellStyle name="Normal 4 2 4 2 3 4 2 3" xfId="12352" xr:uid="{B97880EA-999A-4A13-B041-F27106E4CE49}"/>
    <cellStyle name="Normal 4 2 4 2 3 4 2 4" xfId="20800" xr:uid="{E7C9B326-8CF9-44FA-AD98-C24A22CC0DF5}"/>
    <cellStyle name="Normal 4 2 4 2 3 4 2 5" xfId="29247" xr:uid="{4C2D8386-D436-4EF7-91B7-0518A4D3E612}"/>
    <cellStyle name="Normal 4 2 4 2 3 4 3" xfId="5975" xr:uid="{00000000-0005-0000-0000-000062130000}"/>
    <cellStyle name="Normal 4 2 4 2 3 4 3 2" xfId="14425" xr:uid="{232AB4EA-5511-46B3-BFF9-67F207063DF4}"/>
    <cellStyle name="Normal 4 2 4 2 3 4 3 3" xfId="22872" xr:uid="{4C8E6E90-0C0B-473E-A7B7-12BED3D54F07}"/>
    <cellStyle name="Normal 4 2 4 2 3 4 3 4" xfId="31319" xr:uid="{9D3B307F-5922-4212-9DAC-1A7ABC475E7B}"/>
    <cellStyle name="Normal 4 2 4 2 3 4 4" xfId="10207" xr:uid="{817AEE55-288E-44A9-8164-72801C35F076}"/>
    <cellStyle name="Normal 4 2 4 2 3 4 5" xfId="18655" xr:uid="{CE05DA93-7195-451C-8219-9937F1D21A90}"/>
    <cellStyle name="Normal 4 2 4 2 3 4 6" xfId="27102" xr:uid="{C66B7DA4-0E36-4D75-AFAD-3B8E3A5C1F8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C846003-9160-4200-9270-0BFC448DD991}"/>
    <cellStyle name="Normal 4 2 4 2 3 5 2 2 3" xfId="25430" xr:uid="{D73E553E-0B76-4F14-BCD6-CEB77E7FC59D}"/>
    <cellStyle name="Normal 4 2 4 2 3 5 2 2 4" xfId="33877" xr:uid="{45DFE3C7-BCD3-46FA-9814-AAB1271FCC36}"/>
    <cellStyle name="Normal 4 2 4 2 3 5 2 3" xfId="12765" xr:uid="{857169DA-EA82-4588-9642-6A93D012E97A}"/>
    <cellStyle name="Normal 4 2 4 2 3 5 2 4" xfId="21213" xr:uid="{6F2E99ED-1F6A-4F24-85BC-C889F8AA099C}"/>
    <cellStyle name="Normal 4 2 4 2 3 5 2 5" xfId="29660" xr:uid="{755081D4-757B-4055-9A0F-5162CE728BF5}"/>
    <cellStyle name="Normal 4 2 4 2 3 5 3" xfId="6388" xr:uid="{00000000-0005-0000-0000-000066130000}"/>
    <cellStyle name="Normal 4 2 4 2 3 5 3 2" xfId="14838" xr:uid="{CE613955-FD35-40F6-AF39-7F5BB9C872A8}"/>
    <cellStyle name="Normal 4 2 4 2 3 5 3 3" xfId="23285" xr:uid="{5803207D-7ED9-4F40-ACFA-3016DA173C5B}"/>
    <cellStyle name="Normal 4 2 4 2 3 5 3 4" xfId="31732" xr:uid="{0DC515FA-AA3C-45AC-9A5F-99FEF9E3A540}"/>
    <cellStyle name="Normal 4 2 4 2 3 5 4" xfId="10620" xr:uid="{CD566303-1339-4ADE-B913-10A0FE8E11D6}"/>
    <cellStyle name="Normal 4 2 4 2 3 5 5" xfId="19068" xr:uid="{E55C84DF-84C2-4A48-9E97-1113C93FA397}"/>
    <cellStyle name="Normal 4 2 4 2 3 5 6" xfId="27515" xr:uid="{FCAA8560-74BE-4020-BDA8-77F44EC6A54F}"/>
    <cellStyle name="Normal 4 2 4 2 3 6" xfId="2518" xr:uid="{00000000-0005-0000-0000-000067130000}"/>
    <cellStyle name="Normal 4 2 4 2 3 6 2" xfId="6801" xr:uid="{00000000-0005-0000-0000-000068130000}"/>
    <cellStyle name="Normal 4 2 4 2 3 6 2 2" xfId="15251" xr:uid="{A218DD5D-E179-4604-BF08-63B7C0F6C982}"/>
    <cellStyle name="Normal 4 2 4 2 3 6 2 3" xfId="23698" xr:uid="{52FE2138-51F1-4E22-BF3E-9608427ADA95}"/>
    <cellStyle name="Normal 4 2 4 2 3 6 2 4" xfId="32145" xr:uid="{B8778708-2FCF-474E-9289-EF26F92481A9}"/>
    <cellStyle name="Normal 4 2 4 2 3 6 3" xfId="11033" xr:uid="{8BF76863-DA28-4FCE-82C7-DDE44E9F7AAF}"/>
    <cellStyle name="Normal 4 2 4 2 3 6 4" xfId="19481" xr:uid="{86D51069-14D1-4033-9748-B127AA9C29AB}"/>
    <cellStyle name="Normal 4 2 4 2 3 6 5" xfId="27928" xr:uid="{1857EC9B-220B-4926-B9AB-809714E72BB4}"/>
    <cellStyle name="Normal 4 2 4 2 3 7" xfId="4736" xr:uid="{00000000-0005-0000-0000-000069130000}"/>
    <cellStyle name="Normal 4 2 4 2 3 7 2" xfId="13186" xr:uid="{2BC9ED3E-FD0F-4B2B-93B9-51A30529671E}"/>
    <cellStyle name="Normal 4 2 4 2 3 7 3" xfId="21633" xr:uid="{32A5167D-A113-4493-AAF6-F1EC3ECF127A}"/>
    <cellStyle name="Normal 4 2 4 2 3 7 4" xfId="30080" xr:uid="{6A0549FD-4A53-4E4F-8E5D-EE6A57A76979}"/>
    <cellStyle name="Normal 4 2 4 2 3 8" xfId="8968" xr:uid="{EC0CB9C8-30FC-4E15-A94A-E540468B7866}"/>
    <cellStyle name="Normal 4 2 4 2 3 9" xfId="17416" xr:uid="{79A22F85-9060-47A3-9EDC-D73C46BA033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0DE3C994-8014-42E2-9B74-6F40B528514B}"/>
    <cellStyle name="Normal 4 2 4 2 4 2 2 3" xfId="24188" xr:uid="{B19F4933-371E-416D-BE82-3578E2E31A69}"/>
    <cellStyle name="Normal 4 2 4 2 4 2 2 4" xfId="32635" xr:uid="{1A377B5B-002B-4FEA-BEC5-99F3F9029CDF}"/>
    <cellStyle name="Normal 4 2 4 2 4 2 3" xfId="11523" xr:uid="{19720561-992C-4390-8D16-0E2495DBDA98}"/>
    <cellStyle name="Normal 4 2 4 2 4 2 4" xfId="19971" xr:uid="{A9D10CC1-D823-4E5A-8615-7D9E2218EF1C}"/>
    <cellStyle name="Normal 4 2 4 2 4 2 5" xfId="28418" xr:uid="{72EE822E-10ED-4BC6-A02A-483A0D869747}"/>
    <cellStyle name="Normal 4 2 4 2 4 3" xfId="5146" xr:uid="{00000000-0005-0000-0000-00006D130000}"/>
    <cellStyle name="Normal 4 2 4 2 4 3 2" xfId="13596" xr:uid="{B90364E2-A7C1-47D6-9382-6981AF10C0F3}"/>
    <cellStyle name="Normal 4 2 4 2 4 3 3" xfId="22043" xr:uid="{533E9598-FD36-4F69-B45B-6AB5928D9921}"/>
    <cellStyle name="Normal 4 2 4 2 4 3 4" xfId="30490" xr:uid="{228F0D50-D492-4F00-8B17-CFA18A6A3F85}"/>
    <cellStyle name="Normal 4 2 4 2 4 4" xfId="9378" xr:uid="{07087026-A968-4F59-A88B-CA7029B56FB5}"/>
    <cellStyle name="Normal 4 2 4 2 4 5" xfId="17826" xr:uid="{7FFDDF30-37E1-418F-913B-62F1725ABCD7}"/>
    <cellStyle name="Normal 4 2 4 2 4 6" xfId="26273" xr:uid="{4B304FC6-A75D-4F59-B346-88B702001E1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D18C2266-112C-4DD4-BDCB-03E18B1D13C6}"/>
    <cellStyle name="Normal 4 2 4 2 5 2 2 3" xfId="24601" xr:uid="{F0F66FF3-5FB1-4828-A82C-CF5F246FB101}"/>
    <cellStyle name="Normal 4 2 4 2 5 2 2 4" xfId="33048" xr:uid="{91EB4C81-1AF2-4C4E-B560-BA864B109BB7}"/>
    <cellStyle name="Normal 4 2 4 2 5 2 3" xfId="11936" xr:uid="{C54EC5D4-0FA2-4FDD-B57C-CB2EF968ABF8}"/>
    <cellStyle name="Normal 4 2 4 2 5 2 4" xfId="20384" xr:uid="{50FF9080-3D62-4955-8A43-FF0FEBB10E8B}"/>
    <cellStyle name="Normal 4 2 4 2 5 2 5" xfId="28831" xr:uid="{8D93AB0C-3EBE-43EE-BCBE-5D98A7AA0827}"/>
    <cellStyle name="Normal 4 2 4 2 5 3" xfId="5559" xr:uid="{00000000-0005-0000-0000-000071130000}"/>
    <cellStyle name="Normal 4 2 4 2 5 3 2" xfId="14009" xr:uid="{E3B39484-8B48-412E-AF01-7096927F4FEB}"/>
    <cellStyle name="Normal 4 2 4 2 5 3 3" xfId="22456" xr:uid="{5B67944D-6CF0-4125-9758-8CB0253D65D6}"/>
    <cellStyle name="Normal 4 2 4 2 5 3 4" xfId="30903" xr:uid="{A5CF1437-D52E-46D8-8A3A-BDC6BFE008F1}"/>
    <cellStyle name="Normal 4 2 4 2 5 4" xfId="9791" xr:uid="{DFB888BD-33AC-4042-AD6C-5A6F1AB9FCD6}"/>
    <cellStyle name="Normal 4 2 4 2 5 5" xfId="18239" xr:uid="{413AFF8A-541E-4759-ABFC-2F262E01E769}"/>
    <cellStyle name="Normal 4 2 4 2 5 6" xfId="26686" xr:uid="{CABF536B-FEEE-4F91-A3FF-27147889FE56}"/>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43ABAC25-9EF7-4C03-8CD0-F0FF2E526051}"/>
    <cellStyle name="Normal 4 2 4 2 6 2 2 3" xfId="25014" xr:uid="{A59072F2-5420-4FA1-A9C1-C17745469EA7}"/>
    <cellStyle name="Normal 4 2 4 2 6 2 2 4" xfId="33461" xr:uid="{F55D73CC-298A-474F-AE9F-7AA4D4B405D8}"/>
    <cellStyle name="Normal 4 2 4 2 6 2 3" xfId="12349" xr:uid="{27BD94C6-04D0-4606-839C-FBA6A826340B}"/>
    <cellStyle name="Normal 4 2 4 2 6 2 4" xfId="20797" xr:uid="{495286D0-F980-42AC-9EE4-01A17C964412}"/>
    <cellStyle name="Normal 4 2 4 2 6 2 5" xfId="29244" xr:uid="{EC76EC36-82F0-4D78-B0D6-60EC0DAB9962}"/>
    <cellStyle name="Normal 4 2 4 2 6 3" xfId="5972" xr:uid="{00000000-0005-0000-0000-000075130000}"/>
    <cellStyle name="Normal 4 2 4 2 6 3 2" xfId="14422" xr:uid="{47AF0119-31DB-4A25-BCE0-3F10538E20C9}"/>
    <cellStyle name="Normal 4 2 4 2 6 3 3" xfId="22869" xr:uid="{62217536-B35B-4A3A-9D79-0FAE448C8141}"/>
    <cellStyle name="Normal 4 2 4 2 6 3 4" xfId="31316" xr:uid="{69C32383-D90D-40A3-93B0-1ECE64981F60}"/>
    <cellStyle name="Normal 4 2 4 2 6 4" xfId="10204" xr:uid="{3305E528-481A-47FE-A33F-05D93DC453A3}"/>
    <cellStyle name="Normal 4 2 4 2 6 5" xfId="18652" xr:uid="{C3134EB3-9C39-44E0-A28B-7D44ED45445B}"/>
    <cellStyle name="Normal 4 2 4 2 6 6" xfId="27099" xr:uid="{828616A5-28DB-44B0-9C3D-10F1CE5970CA}"/>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141C3C47-CA05-4E29-AF17-2F20DFA8692D}"/>
    <cellStyle name="Normal 4 2 4 2 7 2 2 3" xfId="25427" xr:uid="{7BE4D5FD-0751-42AB-ADA4-79DA168E320A}"/>
    <cellStyle name="Normal 4 2 4 2 7 2 2 4" xfId="33874" xr:uid="{05DE6742-D717-4413-9433-80FEF114A59E}"/>
    <cellStyle name="Normal 4 2 4 2 7 2 3" xfId="12762" xr:uid="{04B7014E-DB8E-4084-B6CC-991906AAD9A7}"/>
    <cellStyle name="Normal 4 2 4 2 7 2 4" xfId="21210" xr:uid="{781386DF-C0F3-4E63-8AE6-AEEEB10EFE33}"/>
    <cellStyle name="Normal 4 2 4 2 7 2 5" xfId="29657" xr:uid="{A780E0FC-2EBE-4790-A97F-D75D17A3D9AF}"/>
    <cellStyle name="Normal 4 2 4 2 7 3" xfId="6385" xr:uid="{00000000-0005-0000-0000-000079130000}"/>
    <cellStyle name="Normal 4 2 4 2 7 3 2" xfId="14835" xr:uid="{0C0B8977-5248-4841-B757-479739B56015}"/>
    <cellStyle name="Normal 4 2 4 2 7 3 3" xfId="23282" xr:uid="{F740DAEE-82B4-4F46-A905-D119C9A8E2E1}"/>
    <cellStyle name="Normal 4 2 4 2 7 3 4" xfId="31729" xr:uid="{DD0B3500-5ACF-460A-A0D0-0723AB7C3C09}"/>
    <cellStyle name="Normal 4 2 4 2 7 4" xfId="10617" xr:uid="{5DC50A41-8CB6-4A89-860D-B63F0A5B5555}"/>
    <cellStyle name="Normal 4 2 4 2 7 5" xfId="19065" xr:uid="{BD1E6C57-4E6D-4C0F-8A0E-99B50B54249A}"/>
    <cellStyle name="Normal 4 2 4 2 7 6" xfId="27512" xr:uid="{DD84C015-880E-4DCE-A043-4EFD570A86CD}"/>
    <cellStyle name="Normal 4 2 4 2 8" xfId="2515" xr:uid="{00000000-0005-0000-0000-00007A130000}"/>
    <cellStyle name="Normal 4 2 4 2 8 2" xfId="6798" xr:uid="{00000000-0005-0000-0000-00007B130000}"/>
    <cellStyle name="Normal 4 2 4 2 8 2 2" xfId="15248" xr:uid="{180A4C36-54DE-4322-8800-CE40D661BB5C}"/>
    <cellStyle name="Normal 4 2 4 2 8 2 3" xfId="23695" xr:uid="{FD05DCB3-54AE-4C8B-9380-D36E7BEFA251}"/>
    <cellStyle name="Normal 4 2 4 2 8 2 4" xfId="32142" xr:uid="{0B89F9CB-751D-4D2C-B7C8-04B59970A798}"/>
    <cellStyle name="Normal 4 2 4 2 8 3" xfId="11030" xr:uid="{A4455B7A-1B96-4C2B-8664-2A25B3F2EA6C}"/>
    <cellStyle name="Normal 4 2 4 2 8 4" xfId="19478" xr:uid="{20F18051-41D9-4D06-9DDD-B745F4840FAD}"/>
    <cellStyle name="Normal 4 2 4 2 8 5" xfId="27925" xr:uid="{78C7F175-AD37-4A01-8B75-3E04B489FF04}"/>
    <cellStyle name="Normal 4 2 4 2 9" xfId="4733" xr:uid="{00000000-0005-0000-0000-00007C130000}"/>
    <cellStyle name="Normal 4 2 4 2 9 2" xfId="13183" xr:uid="{E7D95AAF-ECA2-45E8-A0FB-D7287919DB17}"/>
    <cellStyle name="Normal 4 2 4 2 9 3" xfId="21630" xr:uid="{AA01E124-2B26-41F0-9976-5BB39943A8B4}"/>
    <cellStyle name="Normal 4 2 4 2 9 4" xfId="30077" xr:uid="{2484C85A-5A86-42DF-BB0C-AC3A4BCB02F1}"/>
    <cellStyle name="Normal 4 2 4 3" xfId="360" xr:uid="{00000000-0005-0000-0000-00007D130000}"/>
    <cellStyle name="Normal 4 2 4 3 10" xfId="17417" xr:uid="{A7103858-D251-444C-9FF5-D7B01868A808}"/>
    <cellStyle name="Normal 4 2 4 3 11" xfId="25864" xr:uid="{2A9C28A0-D338-445E-AD20-44F138A3F720}"/>
    <cellStyle name="Normal 4 2 4 3 2" xfId="361" xr:uid="{00000000-0005-0000-0000-00007E130000}"/>
    <cellStyle name="Normal 4 2 4 3 2 10" xfId="25865" xr:uid="{AB752CBF-7380-48E3-8927-3A5F30B77A41}"/>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E8117BB3-16CB-45FF-A1ED-C1A0BB950AD5}"/>
    <cellStyle name="Normal 4 2 4 3 2 2 2 2 3" xfId="24193" xr:uid="{EB66E5B9-C85C-48E0-9D01-BB1831298517}"/>
    <cellStyle name="Normal 4 2 4 3 2 2 2 2 4" xfId="32640" xr:uid="{F9451DEE-350D-41A1-B1FE-5D3DB3FB9B88}"/>
    <cellStyle name="Normal 4 2 4 3 2 2 2 3" xfId="11528" xr:uid="{AAF88DA5-DB2F-43C3-BAF0-6F541C4F8AB4}"/>
    <cellStyle name="Normal 4 2 4 3 2 2 2 4" xfId="19976" xr:uid="{1752828A-D9C1-497A-B454-FD0F5AA3C9D4}"/>
    <cellStyle name="Normal 4 2 4 3 2 2 2 5" xfId="28423" xr:uid="{27A6DAC6-9F53-41E3-AEB9-F700FC4E4E9E}"/>
    <cellStyle name="Normal 4 2 4 3 2 2 3" xfId="5151" xr:uid="{00000000-0005-0000-0000-000082130000}"/>
    <cellStyle name="Normal 4 2 4 3 2 2 3 2" xfId="13601" xr:uid="{016217D0-070F-4C06-86C1-8E5F0BF6B2E3}"/>
    <cellStyle name="Normal 4 2 4 3 2 2 3 3" xfId="22048" xr:uid="{A45BB683-F562-4980-9E53-A1ADB3869B7C}"/>
    <cellStyle name="Normal 4 2 4 3 2 2 3 4" xfId="30495" xr:uid="{28F34BF1-30EE-4DDD-8D50-C67C71A09C22}"/>
    <cellStyle name="Normal 4 2 4 3 2 2 4" xfId="9383" xr:uid="{7834A502-2FCE-4D41-946F-AFA1195D9A74}"/>
    <cellStyle name="Normal 4 2 4 3 2 2 5" xfId="17831" xr:uid="{2000B120-579D-438B-A9B5-156FCFCB3FA7}"/>
    <cellStyle name="Normal 4 2 4 3 2 2 6" xfId="26278" xr:uid="{28A6E4AA-0155-4CBB-AF73-DD79E04FF487}"/>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A8BD2D11-CC8D-4050-A76C-EA4928059473}"/>
    <cellStyle name="Normal 4 2 4 3 2 3 2 2 3" xfId="24606" xr:uid="{1D107EA5-31B0-41CD-AAD2-9AF7205C25B0}"/>
    <cellStyle name="Normal 4 2 4 3 2 3 2 2 4" xfId="33053" xr:uid="{34217D21-D35C-4419-B435-50F692277CAE}"/>
    <cellStyle name="Normal 4 2 4 3 2 3 2 3" xfId="11941" xr:uid="{0D3DB4BB-F9FF-403E-AF31-E0214D34E4A1}"/>
    <cellStyle name="Normal 4 2 4 3 2 3 2 4" xfId="20389" xr:uid="{38A8E2AA-7814-445E-BE37-17C5B964CBEF}"/>
    <cellStyle name="Normal 4 2 4 3 2 3 2 5" xfId="28836" xr:uid="{67C311FC-3DFC-4FAB-A529-9DBCD5817A7E}"/>
    <cellStyle name="Normal 4 2 4 3 2 3 3" xfId="5564" xr:uid="{00000000-0005-0000-0000-000086130000}"/>
    <cellStyle name="Normal 4 2 4 3 2 3 3 2" xfId="14014" xr:uid="{41992E93-B708-440F-B391-0AD34FA58A1C}"/>
    <cellStyle name="Normal 4 2 4 3 2 3 3 3" xfId="22461" xr:uid="{37DAC342-6471-4550-9B2D-2D58E6EADC25}"/>
    <cellStyle name="Normal 4 2 4 3 2 3 3 4" xfId="30908" xr:uid="{D06A9DC7-CB62-4FFB-BB85-A2ADFB7AFC98}"/>
    <cellStyle name="Normal 4 2 4 3 2 3 4" xfId="9796" xr:uid="{44CC9AD3-DF24-4B00-BDC7-A00804384652}"/>
    <cellStyle name="Normal 4 2 4 3 2 3 5" xfId="18244" xr:uid="{712EE391-984A-4E89-A167-C7D9D1544A98}"/>
    <cellStyle name="Normal 4 2 4 3 2 3 6" xfId="26691" xr:uid="{F1D99836-7424-4D74-AB07-228BBA68DBA2}"/>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FB2F5945-A38B-493A-A028-4D015145288F}"/>
    <cellStyle name="Normal 4 2 4 3 2 4 2 2 3" xfId="25019" xr:uid="{B09876EE-0097-47D1-B61A-988F71059362}"/>
    <cellStyle name="Normal 4 2 4 3 2 4 2 2 4" xfId="33466" xr:uid="{1789C964-6BB6-4C18-971E-9CF8562385E5}"/>
    <cellStyle name="Normal 4 2 4 3 2 4 2 3" xfId="12354" xr:uid="{D45DCE27-FABA-46CE-9EF6-0ABF9DE5FAD2}"/>
    <cellStyle name="Normal 4 2 4 3 2 4 2 4" xfId="20802" xr:uid="{B0F4BAA7-FC70-489D-AF3A-3CA1C9B89011}"/>
    <cellStyle name="Normal 4 2 4 3 2 4 2 5" xfId="29249" xr:uid="{E26CA5FB-EB25-4EFC-BFFD-E02F1859FA7D}"/>
    <cellStyle name="Normal 4 2 4 3 2 4 3" xfId="5977" xr:uid="{00000000-0005-0000-0000-00008A130000}"/>
    <cellStyle name="Normal 4 2 4 3 2 4 3 2" xfId="14427" xr:uid="{D9D49214-3919-4221-A65D-E7D8E42AB3D0}"/>
    <cellStyle name="Normal 4 2 4 3 2 4 3 3" xfId="22874" xr:uid="{0EB91F4B-AB1B-444C-8AAB-C6C7B21D7B1D}"/>
    <cellStyle name="Normal 4 2 4 3 2 4 3 4" xfId="31321" xr:uid="{A38646CA-DF2B-4187-8AB1-A7CC72CC25E2}"/>
    <cellStyle name="Normal 4 2 4 3 2 4 4" xfId="10209" xr:uid="{FFCE9A17-CD2B-4D7D-91BA-3B8378AD7202}"/>
    <cellStyle name="Normal 4 2 4 3 2 4 5" xfId="18657" xr:uid="{BE3C59BC-C668-4D12-B7D8-17D541D373EA}"/>
    <cellStyle name="Normal 4 2 4 3 2 4 6" xfId="27104" xr:uid="{A8D4A97D-E0BF-4E7A-AB0F-6A4E591D94A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A7DABE96-1839-49A8-8312-46DF87C2E427}"/>
    <cellStyle name="Normal 4 2 4 3 2 5 2 2 3" xfId="25432" xr:uid="{8C00F68B-B79D-44B8-94FC-92E46C9F2E7F}"/>
    <cellStyle name="Normal 4 2 4 3 2 5 2 2 4" xfId="33879" xr:uid="{AD72E0C6-9425-4E2E-9ECD-508601AB9D63}"/>
    <cellStyle name="Normal 4 2 4 3 2 5 2 3" xfId="12767" xr:uid="{FD023CB6-70B1-45DD-AE64-202AA9686FC6}"/>
    <cellStyle name="Normal 4 2 4 3 2 5 2 4" xfId="21215" xr:uid="{ACA4DE48-1D2C-4F51-B463-515116DD04AA}"/>
    <cellStyle name="Normal 4 2 4 3 2 5 2 5" xfId="29662" xr:uid="{166D0E41-6625-4D6C-8BA7-7CADDF1D192A}"/>
    <cellStyle name="Normal 4 2 4 3 2 5 3" xfId="6390" xr:uid="{00000000-0005-0000-0000-00008E130000}"/>
    <cellStyle name="Normal 4 2 4 3 2 5 3 2" xfId="14840" xr:uid="{D4BFC74D-D909-4F05-8F22-ECE322C43DBF}"/>
    <cellStyle name="Normal 4 2 4 3 2 5 3 3" xfId="23287" xr:uid="{A1F8A0AA-EFF0-4F15-A16A-AC73118DC4BC}"/>
    <cellStyle name="Normal 4 2 4 3 2 5 3 4" xfId="31734" xr:uid="{298D1119-481B-47C8-BEF8-B60137115DEB}"/>
    <cellStyle name="Normal 4 2 4 3 2 5 4" xfId="10622" xr:uid="{255D4872-8585-422E-8A69-DF621627FF4F}"/>
    <cellStyle name="Normal 4 2 4 3 2 5 5" xfId="19070" xr:uid="{4E6802F5-B0D9-4B9E-BE34-87EF244A09D6}"/>
    <cellStyle name="Normal 4 2 4 3 2 5 6" xfId="27517" xr:uid="{F7E0B3A3-B5D8-49F4-99DF-D76E1F476178}"/>
    <cellStyle name="Normal 4 2 4 3 2 6" xfId="2520" xr:uid="{00000000-0005-0000-0000-00008F130000}"/>
    <cellStyle name="Normal 4 2 4 3 2 6 2" xfId="6803" xr:uid="{00000000-0005-0000-0000-000090130000}"/>
    <cellStyle name="Normal 4 2 4 3 2 6 2 2" xfId="15253" xr:uid="{56F221C8-A549-46FD-8EFD-E98BB0595A5B}"/>
    <cellStyle name="Normal 4 2 4 3 2 6 2 3" xfId="23700" xr:uid="{C4087304-FB43-444D-BE6C-99CF9E9DD593}"/>
    <cellStyle name="Normal 4 2 4 3 2 6 2 4" xfId="32147" xr:uid="{6134E783-B48E-48E1-9FCB-034D76DB51A2}"/>
    <cellStyle name="Normal 4 2 4 3 2 6 3" xfId="11035" xr:uid="{FB3369CD-4AAE-4942-B33A-16012DBA8272}"/>
    <cellStyle name="Normal 4 2 4 3 2 6 4" xfId="19483" xr:uid="{95EE350E-D89B-4FA4-AF7B-2C4D888115B2}"/>
    <cellStyle name="Normal 4 2 4 3 2 6 5" xfId="27930" xr:uid="{A6B155AB-676F-4DC1-B1A3-1DD7633492BD}"/>
    <cellStyle name="Normal 4 2 4 3 2 7" xfId="4738" xr:uid="{00000000-0005-0000-0000-000091130000}"/>
    <cellStyle name="Normal 4 2 4 3 2 7 2" xfId="13188" xr:uid="{65159632-71C8-4344-8FB9-A5B02DD8A48B}"/>
    <cellStyle name="Normal 4 2 4 3 2 7 3" xfId="21635" xr:uid="{78AF8595-01F7-43C4-830A-899AFD798A86}"/>
    <cellStyle name="Normal 4 2 4 3 2 7 4" xfId="30082" xr:uid="{0B578BCC-C06E-4749-ABEE-07AE2AE9DD73}"/>
    <cellStyle name="Normal 4 2 4 3 2 8" xfId="8970" xr:uid="{5F2B11FE-B303-40AF-8F59-99233735F20D}"/>
    <cellStyle name="Normal 4 2 4 3 2 9" xfId="17418" xr:uid="{A7AF0B74-8F8B-4364-B4E2-D094D2A760F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7578E28A-1C47-4AE5-9B5C-433C1FC203A4}"/>
    <cellStyle name="Normal 4 2 4 3 3 2 2 3" xfId="24192" xr:uid="{E796EA90-CFFE-449B-8DCE-B0FFD8C9255D}"/>
    <cellStyle name="Normal 4 2 4 3 3 2 2 4" xfId="32639" xr:uid="{99CE9AAC-F75A-4F35-BD38-E23B0FB05278}"/>
    <cellStyle name="Normal 4 2 4 3 3 2 3" xfId="11527" xr:uid="{93B4DB02-7042-4763-AC36-7F576C472A1D}"/>
    <cellStyle name="Normal 4 2 4 3 3 2 4" xfId="19975" xr:uid="{7055F6DC-1F90-4A7B-A7D4-F47480C3F9FB}"/>
    <cellStyle name="Normal 4 2 4 3 3 2 5" xfId="28422" xr:uid="{502B597B-4EE5-4C6D-B88F-5D45DDB1261B}"/>
    <cellStyle name="Normal 4 2 4 3 3 3" xfId="5150" xr:uid="{00000000-0005-0000-0000-000095130000}"/>
    <cellStyle name="Normal 4 2 4 3 3 3 2" xfId="13600" xr:uid="{8C7D4311-831B-44FB-89D8-CF2662FF2F8C}"/>
    <cellStyle name="Normal 4 2 4 3 3 3 3" xfId="22047" xr:uid="{D6BA5B90-5FEA-4AC7-A7C1-DF4C49A323CC}"/>
    <cellStyle name="Normal 4 2 4 3 3 3 4" xfId="30494" xr:uid="{5E615E08-D199-40DD-8475-A0A30DFFF230}"/>
    <cellStyle name="Normal 4 2 4 3 3 4" xfId="9382" xr:uid="{7ACB6A3C-428F-4A30-A127-B05CE6C17312}"/>
    <cellStyle name="Normal 4 2 4 3 3 5" xfId="17830" xr:uid="{9BAA188F-17A1-4D13-9719-C97AD6BD23FA}"/>
    <cellStyle name="Normal 4 2 4 3 3 6" xfId="26277" xr:uid="{543D4FD7-DBFE-4E42-A79E-AAECDBA668BB}"/>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E09A9DB1-5A87-4CAE-B3F9-E4A868F8DEB8}"/>
    <cellStyle name="Normal 4 2 4 3 4 2 2 3" xfId="24605" xr:uid="{8E078B51-8870-469D-BDD6-1AE8A73377EB}"/>
    <cellStyle name="Normal 4 2 4 3 4 2 2 4" xfId="33052" xr:uid="{B304C4D7-76F7-44A4-ABC0-E9FF27CCA566}"/>
    <cellStyle name="Normal 4 2 4 3 4 2 3" xfId="11940" xr:uid="{4E92925C-7B2E-412D-B13A-4229B122BA47}"/>
    <cellStyle name="Normal 4 2 4 3 4 2 4" xfId="20388" xr:uid="{AD7D52CD-33FA-4847-9F72-D349C4AEEB92}"/>
    <cellStyle name="Normal 4 2 4 3 4 2 5" xfId="28835" xr:uid="{6DCB4CE2-B269-463A-B820-DF0247F0F683}"/>
    <cellStyle name="Normal 4 2 4 3 4 3" xfId="5563" xr:uid="{00000000-0005-0000-0000-000099130000}"/>
    <cellStyle name="Normal 4 2 4 3 4 3 2" xfId="14013" xr:uid="{8580D5DE-7370-4717-A185-A7C19B042C9D}"/>
    <cellStyle name="Normal 4 2 4 3 4 3 3" xfId="22460" xr:uid="{2D5020BD-BAD9-4F7D-B646-B38CB83AB412}"/>
    <cellStyle name="Normal 4 2 4 3 4 3 4" xfId="30907" xr:uid="{DD87CF17-E0E9-4D08-9B5F-FE508C9CA233}"/>
    <cellStyle name="Normal 4 2 4 3 4 4" xfId="9795" xr:uid="{EF598069-AFA2-4285-885F-E6188D37CBCC}"/>
    <cellStyle name="Normal 4 2 4 3 4 5" xfId="18243" xr:uid="{A8BBD66B-2AE2-45A0-AFFA-024DDFB09497}"/>
    <cellStyle name="Normal 4 2 4 3 4 6" xfId="26690" xr:uid="{82996A24-4B93-462C-9298-597DBA376801}"/>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870BEBB2-651A-4331-90A2-AB6345271774}"/>
    <cellStyle name="Normal 4 2 4 3 5 2 2 3" xfId="25018" xr:uid="{A01C822D-3B24-44FD-ADF2-9FBED4149545}"/>
    <cellStyle name="Normal 4 2 4 3 5 2 2 4" xfId="33465" xr:uid="{01214AE0-4F9F-4F8F-AF5B-40EB644530A9}"/>
    <cellStyle name="Normal 4 2 4 3 5 2 3" xfId="12353" xr:uid="{E170AADB-8DEC-40F4-A296-4DEF7C7BB34E}"/>
    <cellStyle name="Normal 4 2 4 3 5 2 4" xfId="20801" xr:uid="{E7543646-A8D4-4405-924D-78E47187A851}"/>
    <cellStyle name="Normal 4 2 4 3 5 2 5" xfId="29248" xr:uid="{4AE5E2D1-7049-43F9-A9DB-66A802C1CAEC}"/>
    <cellStyle name="Normal 4 2 4 3 5 3" xfId="5976" xr:uid="{00000000-0005-0000-0000-00009D130000}"/>
    <cellStyle name="Normal 4 2 4 3 5 3 2" xfId="14426" xr:uid="{F0771C73-67D5-480B-B7C3-FD2AA2D00385}"/>
    <cellStyle name="Normal 4 2 4 3 5 3 3" xfId="22873" xr:uid="{0D59B2BC-5F07-4833-AEF0-FCBC60649F80}"/>
    <cellStyle name="Normal 4 2 4 3 5 3 4" xfId="31320" xr:uid="{8E77AB86-6F0F-429B-8991-EC74ECD2BEAC}"/>
    <cellStyle name="Normal 4 2 4 3 5 4" xfId="10208" xr:uid="{F2FDF950-14D5-4CE5-81DD-E6BC115DA133}"/>
    <cellStyle name="Normal 4 2 4 3 5 5" xfId="18656" xr:uid="{50FF84F4-356D-4790-8BDE-54761BF55D08}"/>
    <cellStyle name="Normal 4 2 4 3 5 6" xfId="27103" xr:uid="{19F3C7B1-0457-4960-9866-6DCB7977C98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555F9D87-10BE-4D57-BDDE-95FBA3F3DE05}"/>
    <cellStyle name="Normal 4 2 4 3 6 2 2 3" xfId="25431" xr:uid="{343FF2DF-31EC-48B8-9248-474E22BF4ED3}"/>
    <cellStyle name="Normal 4 2 4 3 6 2 2 4" xfId="33878" xr:uid="{8FAEFCA7-BCE8-490C-897C-7F529CF45CE4}"/>
    <cellStyle name="Normal 4 2 4 3 6 2 3" xfId="12766" xr:uid="{609AAB0B-1AB3-4569-AFDA-F92EBFB86A50}"/>
    <cellStyle name="Normal 4 2 4 3 6 2 4" xfId="21214" xr:uid="{56A68245-B547-4D5A-AD3E-FC79BE7F4343}"/>
    <cellStyle name="Normal 4 2 4 3 6 2 5" xfId="29661" xr:uid="{5589A018-68A3-43C7-A694-9779FB53B594}"/>
    <cellStyle name="Normal 4 2 4 3 6 3" xfId="6389" xr:uid="{00000000-0005-0000-0000-0000A1130000}"/>
    <cellStyle name="Normal 4 2 4 3 6 3 2" xfId="14839" xr:uid="{DB17B762-2D5C-402B-BDB2-CB2DEDB5AEAA}"/>
    <cellStyle name="Normal 4 2 4 3 6 3 3" xfId="23286" xr:uid="{F5CD903F-35D2-44D1-928A-D7692227D9F8}"/>
    <cellStyle name="Normal 4 2 4 3 6 3 4" xfId="31733" xr:uid="{A830CDD9-9715-4B7F-80A9-69B995902BD1}"/>
    <cellStyle name="Normal 4 2 4 3 6 4" xfId="10621" xr:uid="{450867EA-4A0F-4B40-A231-4E6236EE07AB}"/>
    <cellStyle name="Normal 4 2 4 3 6 5" xfId="19069" xr:uid="{D5636B0A-D747-4522-B124-0FFCE8B80C30}"/>
    <cellStyle name="Normal 4 2 4 3 6 6" xfId="27516" xr:uid="{85CD988A-6F92-413A-A129-33D5889F6B1E}"/>
    <cellStyle name="Normal 4 2 4 3 7" xfId="2519" xr:uid="{00000000-0005-0000-0000-0000A2130000}"/>
    <cellStyle name="Normal 4 2 4 3 7 2" xfId="6802" xr:uid="{00000000-0005-0000-0000-0000A3130000}"/>
    <cellStyle name="Normal 4 2 4 3 7 2 2" xfId="15252" xr:uid="{9E0C0230-0DCF-43D2-835A-BA77FD3FB0D9}"/>
    <cellStyle name="Normal 4 2 4 3 7 2 3" xfId="23699" xr:uid="{3182279F-295C-4DDF-B1CB-28044EF864FA}"/>
    <cellStyle name="Normal 4 2 4 3 7 2 4" xfId="32146" xr:uid="{9D7ADDC4-AD04-4F28-BC05-05E974D9047A}"/>
    <cellStyle name="Normal 4 2 4 3 7 3" xfId="11034" xr:uid="{E102A611-15E6-4F36-8ECF-0EC8B5899ACF}"/>
    <cellStyle name="Normal 4 2 4 3 7 4" xfId="19482" xr:uid="{50A147A3-7C33-41BF-82E3-E16FB5B358FB}"/>
    <cellStyle name="Normal 4 2 4 3 7 5" xfId="27929" xr:uid="{F708FF48-AA56-476C-B074-C6995084DB99}"/>
    <cellStyle name="Normal 4 2 4 3 8" xfId="4737" xr:uid="{00000000-0005-0000-0000-0000A4130000}"/>
    <cellStyle name="Normal 4 2 4 3 8 2" xfId="13187" xr:uid="{BDE72B29-C10A-440C-A879-6067DFAE557E}"/>
    <cellStyle name="Normal 4 2 4 3 8 3" xfId="21634" xr:uid="{47F8F54D-1F61-43C7-9D61-D74C76058BAC}"/>
    <cellStyle name="Normal 4 2 4 3 8 4" xfId="30081" xr:uid="{FF2AB571-BEB6-40D3-B0C0-59451610FFA8}"/>
    <cellStyle name="Normal 4 2 4 3 9" xfId="8969" xr:uid="{68AD1162-F342-4A35-B595-323E3B03F3BE}"/>
    <cellStyle name="Normal 4 2 4 4" xfId="362" xr:uid="{00000000-0005-0000-0000-0000A5130000}"/>
    <cellStyle name="Normal 4 2 4 4 10" xfId="25866" xr:uid="{6AD9398D-74B4-4E3C-AA32-EBBDF9CFB8B1}"/>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6E5D66A9-4D7E-4956-B386-8ADB7B964753}"/>
    <cellStyle name="Normal 4 2 4 4 2 2 2 3" xfId="24194" xr:uid="{D8143409-81C3-41B9-BDD7-9100185EEA2F}"/>
    <cellStyle name="Normal 4 2 4 4 2 2 2 4" xfId="32641" xr:uid="{76F44A13-4D50-4F0E-B175-A65B257BF772}"/>
    <cellStyle name="Normal 4 2 4 4 2 2 3" xfId="11529" xr:uid="{1612482C-5163-41AA-AEBF-697935447767}"/>
    <cellStyle name="Normal 4 2 4 4 2 2 4" xfId="19977" xr:uid="{1C29CF96-1038-4AE9-AC77-790F398DBBB1}"/>
    <cellStyle name="Normal 4 2 4 4 2 2 5" xfId="28424" xr:uid="{CC4FE681-8EAF-49D2-BF05-08AF7145AF20}"/>
    <cellStyle name="Normal 4 2 4 4 2 3" xfId="5152" xr:uid="{00000000-0005-0000-0000-0000A9130000}"/>
    <cellStyle name="Normal 4 2 4 4 2 3 2" xfId="13602" xr:uid="{51100458-39F8-4585-9FB7-01006B7D6727}"/>
    <cellStyle name="Normal 4 2 4 4 2 3 3" xfId="22049" xr:uid="{30FBED03-250B-4870-8C2F-A239D3472DB7}"/>
    <cellStyle name="Normal 4 2 4 4 2 3 4" xfId="30496" xr:uid="{D54F3F12-A35B-49FD-B2E8-2F77C1A7DE77}"/>
    <cellStyle name="Normal 4 2 4 4 2 4" xfId="9384" xr:uid="{3BAEC296-7E18-457B-A30E-5130B2A104C6}"/>
    <cellStyle name="Normal 4 2 4 4 2 5" xfId="17832" xr:uid="{68F8353D-61C2-4ED3-9D85-2B8E88948CDB}"/>
    <cellStyle name="Normal 4 2 4 4 2 6" xfId="26279" xr:uid="{6EA07BE2-F997-4031-B103-86E9C9D3961F}"/>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F62A554F-57D7-4EE8-BECF-18A51F70E3D9}"/>
    <cellStyle name="Normal 4 2 4 4 3 2 2 3" xfId="24607" xr:uid="{19A5C55C-59FB-491F-B276-026E72C807B3}"/>
    <cellStyle name="Normal 4 2 4 4 3 2 2 4" xfId="33054" xr:uid="{EA3A35DD-AB4C-42D6-86BE-FD8E9FB30D3A}"/>
    <cellStyle name="Normal 4 2 4 4 3 2 3" xfId="11942" xr:uid="{A269BE69-1A14-4138-9C93-88B489C4DC6F}"/>
    <cellStyle name="Normal 4 2 4 4 3 2 4" xfId="20390" xr:uid="{1F984FF8-C21F-4D75-87B5-CD17237CEB8B}"/>
    <cellStyle name="Normal 4 2 4 4 3 2 5" xfId="28837" xr:uid="{AA03A4EF-BE17-4A7E-A9FA-94E71FF498DD}"/>
    <cellStyle name="Normal 4 2 4 4 3 3" xfId="5565" xr:uid="{00000000-0005-0000-0000-0000AD130000}"/>
    <cellStyle name="Normal 4 2 4 4 3 3 2" xfId="14015" xr:uid="{AC615819-9317-4771-935D-C0392E313E98}"/>
    <cellStyle name="Normal 4 2 4 4 3 3 3" xfId="22462" xr:uid="{0F36757B-6D4D-4A20-804A-593C38C4E71A}"/>
    <cellStyle name="Normal 4 2 4 4 3 3 4" xfId="30909" xr:uid="{5A5E958C-0F1E-472D-A999-A4D9597A10CD}"/>
    <cellStyle name="Normal 4 2 4 4 3 4" xfId="9797" xr:uid="{5B490B57-9EB8-43D4-9FC6-6FF75DD58078}"/>
    <cellStyle name="Normal 4 2 4 4 3 5" xfId="18245" xr:uid="{45676380-36AB-4691-8632-8015A14B8429}"/>
    <cellStyle name="Normal 4 2 4 4 3 6" xfId="26692" xr:uid="{45F2CBF5-9563-4AAA-8FFD-AF8064A32745}"/>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0BEE45E5-D0B4-4CA0-BC69-44BBA9B032C8}"/>
    <cellStyle name="Normal 4 2 4 4 4 2 2 3" xfId="25020" xr:uid="{409ADEE4-1629-41D8-90E6-0833D75FE0F9}"/>
    <cellStyle name="Normal 4 2 4 4 4 2 2 4" xfId="33467" xr:uid="{F86D594E-CB68-4A08-9A21-58B03865308B}"/>
    <cellStyle name="Normal 4 2 4 4 4 2 3" xfId="12355" xr:uid="{ED7B8914-E6D3-4F28-BFCC-670708DEBE89}"/>
    <cellStyle name="Normal 4 2 4 4 4 2 4" xfId="20803" xr:uid="{7DDA87E1-D8C7-46F2-8BE5-2718E0504C02}"/>
    <cellStyle name="Normal 4 2 4 4 4 2 5" xfId="29250" xr:uid="{170D1403-C5B9-43C7-9184-999F1D6B13EB}"/>
    <cellStyle name="Normal 4 2 4 4 4 3" xfId="5978" xr:uid="{00000000-0005-0000-0000-0000B1130000}"/>
    <cellStyle name="Normal 4 2 4 4 4 3 2" xfId="14428" xr:uid="{26D195DB-8D74-435F-B2D5-DCA560671CB7}"/>
    <cellStyle name="Normal 4 2 4 4 4 3 3" xfId="22875" xr:uid="{2D385CE5-B65F-42C8-BDBC-B6BB2696A7F5}"/>
    <cellStyle name="Normal 4 2 4 4 4 3 4" xfId="31322" xr:uid="{A8B52C56-941A-4083-AA7D-35BB9AC4A2B4}"/>
    <cellStyle name="Normal 4 2 4 4 4 4" xfId="10210" xr:uid="{EE891581-6E1B-455E-9982-02AA76DD3A54}"/>
    <cellStyle name="Normal 4 2 4 4 4 5" xfId="18658" xr:uid="{5E615B4A-D3C0-485D-B70E-172604D71082}"/>
    <cellStyle name="Normal 4 2 4 4 4 6" xfId="27105" xr:uid="{F3C7C098-6032-4FE1-BFC5-BF367F4260D0}"/>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BFD33C10-7907-4E96-AAC4-38F8A513EBD7}"/>
    <cellStyle name="Normal 4 2 4 4 5 2 2 3" xfId="25433" xr:uid="{AC7338E6-7DC4-45A0-B0E2-A451E1D5976B}"/>
    <cellStyle name="Normal 4 2 4 4 5 2 2 4" xfId="33880" xr:uid="{F89E2007-14A3-448D-9956-1B5BD0ECBC76}"/>
    <cellStyle name="Normal 4 2 4 4 5 2 3" xfId="12768" xr:uid="{39AED276-6256-4C95-AEC5-083E2CAF8941}"/>
    <cellStyle name="Normal 4 2 4 4 5 2 4" xfId="21216" xr:uid="{D0C36CA6-5C8A-4972-A048-66780179D416}"/>
    <cellStyle name="Normal 4 2 4 4 5 2 5" xfId="29663" xr:uid="{E72D3B6C-FF53-4924-BFDA-171C7BAB0824}"/>
    <cellStyle name="Normal 4 2 4 4 5 3" xfId="6391" xr:uid="{00000000-0005-0000-0000-0000B5130000}"/>
    <cellStyle name="Normal 4 2 4 4 5 3 2" xfId="14841" xr:uid="{8686412C-D71E-4558-9066-3D9E06EB7F87}"/>
    <cellStyle name="Normal 4 2 4 4 5 3 3" xfId="23288" xr:uid="{24300861-F796-476F-B2D4-AA5DA83A9BBC}"/>
    <cellStyle name="Normal 4 2 4 4 5 3 4" xfId="31735" xr:uid="{B2F8303E-CA3A-4464-AA70-5B1F5C2F0824}"/>
    <cellStyle name="Normal 4 2 4 4 5 4" xfId="10623" xr:uid="{B3D4210D-3C1B-451E-95DC-C4DD68D82AC8}"/>
    <cellStyle name="Normal 4 2 4 4 5 5" xfId="19071" xr:uid="{19B9DABE-0D8E-498E-8F45-75DDD66EA0BE}"/>
    <cellStyle name="Normal 4 2 4 4 5 6" xfId="27518" xr:uid="{41B842E8-EDA5-4E5C-B73B-31F776AC1781}"/>
    <cellStyle name="Normal 4 2 4 4 6" xfId="2521" xr:uid="{00000000-0005-0000-0000-0000B6130000}"/>
    <cellStyle name="Normal 4 2 4 4 6 2" xfId="6804" xr:uid="{00000000-0005-0000-0000-0000B7130000}"/>
    <cellStyle name="Normal 4 2 4 4 6 2 2" xfId="15254" xr:uid="{3A137FB9-8020-4730-B819-1277F2EEF26E}"/>
    <cellStyle name="Normal 4 2 4 4 6 2 3" xfId="23701" xr:uid="{A4CF80FD-01A3-4820-BEC5-FB13DFC9C949}"/>
    <cellStyle name="Normal 4 2 4 4 6 2 4" xfId="32148" xr:uid="{1DD882E2-ECC4-48EE-8326-3D1FCC01142C}"/>
    <cellStyle name="Normal 4 2 4 4 6 3" xfId="11036" xr:uid="{C9FBB8CC-A7C8-4F32-9D20-9DF121F8E0C4}"/>
    <cellStyle name="Normal 4 2 4 4 6 4" xfId="19484" xr:uid="{59B830EA-6BCB-428C-A11B-63F9AA50A1E0}"/>
    <cellStyle name="Normal 4 2 4 4 6 5" xfId="27931" xr:uid="{881D7B1A-BD85-4A78-8FB6-BF2FDEF3A085}"/>
    <cellStyle name="Normal 4 2 4 4 7" xfId="4739" xr:uid="{00000000-0005-0000-0000-0000B8130000}"/>
    <cellStyle name="Normal 4 2 4 4 7 2" xfId="13189" xr:uid="{F1CDE027-4163-4090-81E2-261E414F6F2E}"/>
    <cellStyle name="Normal 4 2 4 4 7 3" xfId="21636" xr:uid="{98DF57C8-5D07-4905-809E-1B35F61ABA08}"/>
    <cellStyle name="Normal 4 2 4 4 7 4" xfId="30083" xr:uid="{623841DB-82EB-4D35-970E-8EDA661E62BD}"/>
    <cellStyle name="Normal 4 2 4 4 8" xfId="8971" xr:uid="{C6820724-9BC3-4011-AD46-F620BF9FC21D}"/>
    <cellStyle name="Normal 4 2 4 4 9" xfId="17419" xr:uid="{CD002B84-9E8C-4FC3-93F1-61974196F234}"/>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A340A2B0-1116-41D6-AC1A-758C696F0B84}"/>
    <cellStyle name="Normal 4 2 4 5 2 2 3" xfId="24187" xr:uid="{87D9FB2F-EDD6-443B-92E7-D0AC8D35710D}"/>
    <cellStyle name="Normal 4 2 4 5 2 2 4" xfId="32634" xr:uid="{52FA133D-DC21-4D05-AA2D-AC9B2D956D51}"/>
    <cellStyle name="Normal 4 2 4 5 2 3" xfId="11522" xr:uid="{85DDA45F-1D46-42F4-AFB7-E1045D70E3AF}"/>
    <cellStyle name="Normal 4 2 4 5 2 4" xfId="19970" xr:uid="{ADD88BC1-40BA-40EA-9556-772FAD39E7EB}"/>
    <cellStyle name="Normal 4 2 4 5 2 5" xfId="28417" xr:uid="{FB097E2F-5311-4A74-A439-738970CD8A17}"/>
    <cellStyle name="Normal 4 2 4 5 3" xfId="5145" xr:uid="{00000000-0005-0000-0000-0000BC130000}"/>
    <cellStyle name="Normal 4 2 4 5 3 2" xfId="13595" xr:uid="{8B8D521C-0C05-4A23-A21B-E1A7DD6DED86}"/>
    <cellStyle name="Normal 4 2 4 5 3 3" xfId="22042" xr:uid="{7DD02A9C-FB7F-4949-8694-925548F02586}"/>
    <cellStyle name="Normal 4 2 4 5 3 4" xfId="30489" xr:uid="{A85C0231-AA58-4D9F-A217-C4A291A4685D}"/>
    <cellStyle name="Normal 4 2 4 5 4" xfId="9377" xr:uid="{59B1260B-9EFF-4C8E-B425-88B9A915C211}"/>
    <cellStyle name="Normal 4 2 4 5 5" xfId="17825" xr:uid="{90A00F87-C249-4940-B60A-002A16D1EB56}"/>
    <cellStyle name="Normal 4 2 4 5 6" xfId="26272" xr:uid="{9666A273-7BDD-40BE-BB0B-ADD1A554C9CE}"/>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DE59CF5F-F2BA-47E9-B65D-40B055D27057}"/>
    <cellStyle name="Normal 4 2 4 6 2 2 3" xfId="24600" xr:uid="{09E5D1FF-C655-47C2-83C7-1269324804F3}"/>
    <cellStyle name="Normal 4 2 4 6 2 2 4" xfId="33047" xr:uid="{EE5584EF-62C7-4DA1-96D4-B45071D74E25}"/>
    <cellStyle name="Normal 4 2 4 6 2 3" xfId="11935" xr:uid="{290233D6-B2C5-457A-92D2-E32E92758E91}"/>
    <cellStyle name="Normal 4 2 4 6 2 4" xfId="20383" xr:uid="{386DD594-1AC4-43DC-86D5-9B990ED475F5}"/>
    <cellStyle name="Normal 4 2 4 6 2 5" xfId="28830" xr:uid="{18C30FB7-F167-4B4E-8FA4-765ECA9C2AD1}"/>
    <cellStyle name="Normal 4 2 4 6 3" xfId="5558" xr:uid="{00000000-0005-0000-0000-0000C0130000}"/>
    <cellStyle name="Normal 4 2 4 6 3 2" xfId="14008" xr:uid="{C3D9287A-6448-4351-9F3C-8E9DAEAD1738}"/>
    <cellStyle name="Normal 4 2 4 6 3 3" xfId="22455" xr:uid="{BE15DEF6-6DED-461C-801F-385ABFBAB048}"/>
    <cellStyle name="Normal 4 2 4 6 3 4" xfId="30902" xr:uid="{E41BE07C-42E7-4D19-B9BC-413B673F4413}"/>
    <cellStyle name="Normal 4 2 4 6 4" xfId="9790" xr:uid="{51126F35-28CA-42C9-9F6E-825CC726EB08}"/>
    <cellStyle name="Normal 4 2 4 6 5" xfId="18238" xr:uid="{E85521C2-6733-4066-8970-52C42D1D0E91}"/>
    <cellStyle name="Normal 4 2 4 6 6" xfId="26685" xr:uid="{88317F25-8321-41F1-A737-57C98965CCB6}"/>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AFAC7803-08C7-4433-B21A-16D8631435DE}"/>
    <cellStyle name="Normal 4 2 4 7 2 2 3" xfId="25013" xr:uid="{7554A4B7-005B-41A3-AC40-909C4CC47F31}"/>
    <cellStyle name="Normal 4 2 4 7 2 2 4" xfId="33460" xr:uid="{5CCE797A-B35F-48A1-A38A-724A44039036}"/>
    <cellStyle name="Normal 4 2 4 7 2 3" xfId="12348" xr:uid="{F53EF35E-8601-4C3E-85B5-2F8CC6F59952}"/>
    <cellStyle name="Normal 4 2 4 7 2 4" xfId="20796" xr:uid="{648B08BB-4217-40B4-AA0E-64757FE3C626}"/>
    <cellStyle name="Normal 4 2 4 7 2 5" xfId="29243" xr:uid="{B9A1A436-00E7-4D76-AC29-CF28B3DD5BB7}"/>
    <cellStyle name="Normal 4 2 4 7 3" xfId="5971" xr:uid="{00000000-0005-0000-0000-0000C4130000}"/>
    <cellStyle name="Normal 4 2 4 7 3 2" xfId="14421" xr:uid="{097C3CE2-3B7D-4EAC-9500-C2E7A36869A0}"/>
    <cellStyle name="Normal 4 2 4 7 3 3" xfId="22868" xr:uid="{9AE14BCB-1418-4103-9916-36AE6A138ED7}"/>
    <cellStyle name="Normal 4 2 4 7 3 4" xfId="31315" xr:uid="{9A51F6AE-ECD5-4EB8-85A0-1D1E99D42AF2}"/>
    <cellStyle name="Normal 4 2 4 7 4" xfId="10203" xr:uid="{C45F3A45-0360-4A70-AA47-6634B8036BB6}"/>
    <cellStyle name="Normal 4 2 4 7 5" xfId="18651" xr:uid="{7008229A-6AF7-4E77-AFCC-001B7DEB539B}"/>
    <cellStyle name="Normal 4 2 4 7 6" xfId="27098" xr:uid="{328547B8-724F-4A16-8855-20AF8E64A36D}"/>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C4D17A53-1183-4F78-9B3A-9A67468D02F4}"/>
    <cellStyle name="Normal 4 2 4 8 2 2 3" xfId="25426" xr:uid="{D75FF353-0B4E-4AA2-B542-5E106C57AA8C}"/>
    <cellStyle name="Normal 4 2 4 8 2 2 4" xfId="33873" xr:uid="{C5E71981-9F68-4356-8A06-DF3FF0BF9BF6}"/>
    <cellStyle name="Normal 4 2 4 8 2 3" xfId="12761" xr:uid="{D12519FC-35EA-4825-97D5-65FF5F54155B}"/>
    <cellStyle name="Normal 4 2 4 8 2 4" xfId="21209" xr:uid="{2D62E8B1-AC27-4E7B-90CF-B1018C370E6D}"/>
    <cellStyle name="Normal 4 2 4 8 2 5" xfId="29656" xr:uid="{BAC15126-B56C-4224-ADA5-C84429660833}"/>
    <cellStyle name="Normal 4 2 4 8 3" xfId="6384" xr:uid="{00000000-0005-0000-0000-0000C8130000}"/>
    <cellStyle name="Normal 4 2 4 8 3 2" xfId="14834" xr:uid="{7D00E31C-D3BC-4745-BDBE-155C9AC2D999}"/>
    <cellStyle name="Normal 4 2 4 8 3 3" xfId="23281" xr:uid="{F977949E-5523-4B1F-81FF-D71825D10D09}"/>
    <cellStyle name="Normal 4 2 4 8 3 4" xfId="31728" xr:uid="{B63BDE14-3867-43C2-A23F-6924355DCBE1}"/>
    <cellStyle name="Normal 4 2 4 8 4" xfId="10616" xr:uid="{3815C0FA-7F34-4B49-98F8-BD17D91966B1}"/>
    <cellStyle name="Normal 4 2 4 8 5" xfId="19064" xr:uid="{5B246EFC-54B7-4BF8-987A-CB1FF8BEAA8E}"/>
    <cellStyle name="Normal 4 2 4 8 6" xfId="27511" xr:uid="{A2BCD6F9-4ED3-4FE5-82FF-472F5F5DD7EB}"/>
    <cellStyle name="Normal 4 2 4 9" xfId="2514" xr:uid="{00000000-0005-0000-0000-0000C9130000}"/>
    <cellStyle name="Normal 4 2 4 9 2" xfId="6797" xr:uid="{00000000-0005-0000-0000-0000CA130000}"/>
    <cellStyle name="Normal 4 2 4 9 2 2" xfId="15247" xr:uid="{6550625E-A0CC-4D60-A604-3FC9C400F65E}"/>
    <cellStyle name="Normal 4 2 4 9 2 3" xfId="23694" xr:uid="{EB3999ED-41C5-48A5-8F5C-63CB8872594C}"/>
    <cellStyle name="Normal 4 2 4 9 2 4" xfId="32141" xr:uid="{2651ECF2-67B8-4E43-8F00-6CEAA536032B}"/>
    <cellStyle name="Normal 4 2 4 9 3" xfId="11029" xr:uid="{662619B8-E4E1-4404-A33F-78915A1466E5}"/>
    <cellStyle name="Normal 4 2 4 9 4" xfId="19477" xr:uid="{24945B92-854D-495D-8D55-5B28F58257CF}"/>
    <cellStyle name="Normal 4 2 4 9 5" xfId="27924" xr:uid="{94D9AE6B-C4F4-41B0-8D9C-18B782170E5C}"/>
    <cellStyle name="Normal 4 2 5" xfId="363" xr:uid="{00000000-0005-0000-0000-0000CB130000}"/>
    <cellStyle name="Normal 4 2 5 10" xfId="17420" xr:uid="{DB42059D-D21F-4145-A92E-B49B2939BFA5}"/>
    <cellStyle name="Normal 4 2 5 11" xfId="25867" xr:uid="{8450BC72-079B-44D1-8742-D01494860CEE}"/>
    <cellStyle name="Normal 4 2 5 2" xfId="364" xr:uid="{00000000-0005-0000-0000-0000CC130000}"/>
    <cellStyle name="Normal 4 2 5 2 10" xfId="25868" xr:uid="{304E9217-5677-4315-9088-F349045B7F46}"/>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1C7B8498-0BE8-4DDE-93C6-788C64E4B7AB}"/>
    <cellStyle name="Normal 4 2 5 2 2 2 2 3" xfId="24196" xr:uid="{B061529B-2007-4D76-B094-4953AC9F107B}"/>
    <cellStyle name="Normal 4 2 5 2 2 2 2 4" xfId="32643" xr:uid="{244D32DF-CAA1-40CC-A321-A8EA74271CAF}"/>
    <cellStyle name="Normal 4 2 5 2 2 2 3" xfId="11531" xr:uid="{AAA6C816-8D02-49E6-AD06-5E05919B4AC2}"/>
    <cellStyle name="Normal 4 2 5 2 2 2 4" xfId="19979" xr:uid="{8055E9F2-A22D-4B8B-9FEF-9F876AF98FC8}"/>
    <cellStyle name="Normal 4 2 5 2 2 2 5" xfId="28426" xr:uid="{CB84A969-1AF7-4CFE-A691-BCC85A9E621F}"/>
    <cellStyle name="Normal 4 2 5 2 2 3" xfId="5154" xr:uid="{00000000-0005-0000-0000-0000D0130000}"/>
    <cellStyle name="Normal 4 2 5 2 2 3 2" xfId="13604" xr:uid="{2E07FE22-5713-4FC6-8381-680DBF06FD5C}"/>
    <cellStyle name="Normal 4 2 5 2 2 3 3" xfId="22051" xr:uid="{F7A49FA5-CE34-472A-8EDA-EA69F1E6F595}"/>
    <cellStyle name="Normal 4 2 5 2 2 3 4" xfId="30498" xr:uid="{DA787B79-93B4-4B35-8337-B932E0A07BE6}"/>
    <cellStyle name="Normal 4 2 5 2 2 4" xfId="9386" xr:uid="{9F843561-699E-4D94-AB65-D8BD82321664}"/>
    <cellStyle name="Normal 4 2 5 2 2 5" xfId="17834" xr:uid="{E1BDBD2B-C1CE-4738-9BAE-D33332FECBC7}"/>
    <cellStyle name="Normal 4 2 5 2 2 6" xfId="26281" xr:uid="{13091257-DA31-445D-8F1D-72A1788F478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6A49ADC3-17CE-4E47-9EEA-3209EAAB1886}"/>
    <cellStyle name="Normal 4 2 5 2 3 2 2 3" xfId="24609" xr:uid="{055E6131-A705-4AEF-AF28-8358133EACE0}"/>
    <cellStyle name="Normal 4 2 5 2 3 2 2 4" xfId="33056" xr:uid="{74BB13CC-D4C4-4D09-A097-FFC1766F261F}"/>
    <cellStyle name="Normal 4 2 5 2 3 2 3" xfId="11944" xr:uid="{9078ED80-4DA3-43CB-9A82-39CF65CEB433}"/>
    <cellStyle name="Normal 4 2 5 2 3 2 4" xfId="20392" xr:uid="{03876663-8D4E-421B-9CEF-A2A3AC632D17}"/>
    <cellStyle name="Normal 4 2 5 2 3 2 5" xfId="28839" xr:uid="{FB0B84CE-F8F7-4B19-931A-57389376A02A}"/>
    <cellStyle name="Normal 4 2 5 2 3 3" xfId="5567" xr:uid="{00000000-0005-0000-0000-0000D4130000}"/>
    <cellStyle name="Normal 4 2 5 2 3 3 2" xfId="14017" xr:uid="{A689605B-182A-4164-AA74-BF7DE302B818}"/>
    <cellStyle name="Normal 4 2 5 2 3 3 3" xfId="22464" xr:uid="{BACD24FC-8D87-4D03-80B1-6800DAB24319}"/>
    <cellStyle name="Normal 4 2 5 2 3 3 4" xfId="30911" xr:uid="{605C5069-596A-4F8A-9A32-9374818DAFAE}"/>
    <cellStyle name="Normal 4 2 5 2 3 4" xfId="9799" xr:uid="{DCF56FBF-76D6-4C10-A7E7-62F32EF87C26}"/>
    <cellStyle name="Normal 4 2 5 2 3 5" xfId="18247" xr:uid="{E2D94C3B-621C-4747-9244-DE866A742645}"/>
    <cellStyle name="Normal 4 2 5 2 3 6" xfId="26694" xr:uid="{459E6BC2-17F8-4180-9044-B6ECDFBE32E8}"/>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A0DF1252-98D5-4F38-8157-FC35B9EC9DFD}"/>
    <cellStyle name="Normal 4 2 5 2 4 2 2 3" xfId="25022" xr:uid="{A0307EF2-571F-4919-AEC2-88E501A36F43}"/>
    <cellStyle name="Normal 4 2 5 2 4 2 2 4" xfId="33469" xr:uid="{DF566BE1-557E-47E8-B410-591F706F99C3}"/>
    <cellStyle name="Normal 4 2 5 2 4 2 3" xfId="12357" xr:uid="{EFC9C684-C67D-44F5-8B24-871CACC588B9}"/>
    <cellStyle name="Normal 4 2 5 2 4 2 4" xfId="20805" xr:uid="{DC8E40D9-4020-4600-81EF-6C46FC2FB3B8}"/>
    <cellStyle name="Normal 4 2 5 2 4 2 5" xfId="29252" xr:uid="{762B2AD9-1A53-4720-AA6F-A52284D63712}"/>
    <cellStyle name="Normal 4 2 5 2 4 3" xfId="5980" xr:uid="{00000000-0005-0000-0000-0000D8130000}"/>
    <cellStyle name="Normal 4 2 5 2 4 3 2" xfId="14430" xr:uid="{BD773B4D-031A-4ACD-A364-66C24749B983}"/>
    <cellStyle name="Normal 4 2 5 2 4 3 3" xfId="22877" xr:uid="{82F03CD6-7C32-45C0-9008-BD1F7113EE75}"/>
    <cellStyle name="Normal 4 2 5 2 4 3 4" xfId="31324" xr:uid="{350DD79C-89B6-4C43-B899-9B3888AF83DE}"/>
    <cellStyle name="Normal 4 2 5 2 4 4" xfId="10212" xr:uid="{D96EF41F-4E17-491B-850C-F2058B22F838}"/>
    <cellStyle name="Normal 4 2 5 2 4 5" xfId="18660" xr:uid="{1ABCFBC8-4C7A-4331-AAF5-58FD4399B078}"/>
    <cellStyle name="Normal 4 2 5 2 4 6" xfId="27107" xr:uid="{BE57714C-3F22-4052-8673-E225A9AAC379}"/>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579AC517-DC7C-4D97-97DC-ED33CECA0DF6}"/>
    <cellStyle name="Normal 4 2 5 2 5 2 2 3" xfId="25435" xr:uid="{AFA7A963-248D-4F08-9119-1072E878B8C6}"/>
    <cellStyle name="Normal 4 2 5 2 5 2 2 4" xfId="33882" xr:uid="{517C59C4-055D-4D57-BD0A-98F011AC7B9B}"/>
    <cellStyle name="Normal 4 2 5 2 5 2 3" xfId="12770" xr:uid="{53BADE8E-0BA4-49C0-950A-D0FFE0BCC422}"/>
    <cellStyle name="Normal 4 2 5 2 5 2 4" xfId="21218" xr:uid="{45BF9D50-6781-4488-B3DF-368EF218840F}"/>
    <cellStyle name="Normal 4 2 5 2 5 2 5" xfId="29665" xr:uid="{29D15DFF-F059-4DCD-9F1D-4C53CF29CF82}"/>
    <cellStyle name="Normal 4 2 5 2 5 3" xfId="6393" xr:uid="{00000000-0005-0000-0000-0000DC130000}"/>
    <cellStyle name="Normal 4 2 5 2 5 3 2" xfId="14843" xr:uid="{FBE572E5-D909-4F15-A92C-382F32B17BC0}"/>
    <cellStyle name="Normal 4 2 5 2 5 3 3" xfId="23290" xr:uid="{1D81883E-3D67-4659-BABE-B08B14650F47}"/>
    <cellStyle name="Normal 4 2 5 2 5 3 4" xfId="31737" xr:uid="{4C6E41A6-435E-4973-847C-2078E04425B9}"/>
    <cellStyle name="Normal 4 2 5 2 5 4" xfId="10625" xr:uid="{A535C358-A156-4A09-BB2D-83FF2B27FBDC}"/>
    <cellStyle name="Normal 4 2 5 2 5 5" xfId="19073" xr:uid="{FD176F3D-C40C-439F-87B7-E198E3C9D312}"/>
    <cellStyle name="Normal 4 2 5 2 5 6" xfId="27520" xr:uid="{45E471B7-CC8C-495F-9FE0-A6077EC193B2}"/>
    <cellStyle name="Normal 4 2 5 2 6" xfId="2523" xr:uid="{00000000-0005-0000-0000-0000DD130000}"/>
    <cellStyle name="Normal 4 2 5 2 6 2" xfId="6806" xr:uid="{00000000-0005-0000-0000-0000DE130000}"/>
    <cellStyle name="Normal 4 2 5 2 6 2 2" xfId="15256" xr:uid="{84977D50-FBB9-41D3-A9CB-350647D0AC67}"/>
    <cellStyle name="Normal 4 2 5 2 6 2 3" xfId="23703" xr:uid="{6EFB0077-17A7-4295-9036-DD380B4ACD2E}"/>
    <cellStyle name="Normal 4 2 5 2 6 2 4" xfId="32150" xr:uid="{E4C0C776-237D-4F37-8E18-A6BBCE1A309A}"/>
    <cellStyle name="Normal 4 2 5 2 6 3" xfId="11038" xr:uid="{29C442D4-93CF-40C9-A246-90C5616CD72A}"/>
    <cellStyle name="Normal 4 2 5 2 6 4" xfId="19486" xr:uid="{37C2B347-ECB4-4CFB-B700-7563D41984B9}"/>
    <cellStyle name="Normal 4 2 5 2 6 5" xfId="27933" xr:uid="{725C3951-DB6F-475E-80DB-953EB3A6E257}"/>
    <cellStyle name="Normal 4 2 5 2 7" xfId="4741" xr:uid="{00000000-0005-0000-0000-0000DF130000}"/>
    <cellStyle name="Normal 4 2 5 2 7 2" xfId="13191" xr:uid="{11EF94C9-66CB-4F16-9B16-3EBD2AC0B9B7}"/>
    <cellStyle name="Normal 4 2 5 2 7 3" xfId="21638" xr:uid="{3DCECDD7-7A9B-4536-A228-2492FA9C8183}"/>
    <cellStyle name="Normal 4 2 5 2 7 4" xfId="30085" xr:uid="{EAE212C0-3620-492E-B0C6-8BB36166FBC0}"/>
    <cellStyle name="Normal 4 2 5 2 8" xfId="8973" xr:uid="{D6AC11E8-A5B7-47C8-AA02-BE4C4F0E93E1}"/>
    <cellStyle name="Normal 4 2 5 2 9" xfId="17421" xr:uid="{649319EA-5842-47A0-A12C-87DF51538759}"/>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A830664B-DAA1-4ADC-84B7-77A8CF8FC3B7}"/>
    <cellStyle name="Normal 4 2 5 3 2 2 3" xfId="24195" xr:uid="{2A73A89D-83FB-469A-B98B-AF6A8BD6C808}"/>
    <cellStyle name="Normal 4 2 5 3 2 2 4" xfId="32642" xr:uid="{81807696-5098-4AAA-A360-6C9B4B9ECED1}"/>
    <cellStyle name="Normal 4 2 5 3 2 3" xfId="11530" xr:uid="{C0B9AD67-0DBD-4922-BB6C-4CF4AE84B8DA}"/>
    <cellStyle name="Normal 4 2 5 3 2 4" xfId="19978" xr:uid="{7DEF63B4-79DA-43E3-B648-5A44C9EA7876}"/>
    <cellStyle name="Normal 4 2 5 3 2 5" xfId="28425" xr:uid="{22E8D7E9-3BB8-4DF1-83F4-9787550616D9}"/>
    <cellStyle name="Normal 4 2 5 3 3" xfId="5153" xr:uid="{00000000-0005-0000-0000-0000E3130000}"/>
    <cellStyle name="Normal 4 2 5 3 3 2" xfId="13603" xr:uid="{F404D3F8-6AC0-4F6C-BEED-2552A919CF45}"/>
    <cellStyle name="Normal 4 2 5 3 3 3" xfId="22050" xr:uid="{D4DD7FB6-100B-4104-BFB2-ED1502ED2AC6}"/>
    <cellStyle name="Normal 4 2 5 3 3 4" xfId="30497" xr:uid="{44FEAA0A-0506-4FD4-9CE4-42AB12867517}"/>
    <cellStyle name="Normal 4 2 5 3 4" xfId="9385" xr:uid="{088D7793-5478-41C8-93BB-BED1BD52EF7F}"/>
    <cellStyle name="Normal 4 2 5 3 5" xfId="17833" xr:uid="{C08A6DC0-42DA-4E51-8DEF-B5B8E4E81A5A}"/>
    <cellStyle name="Normal 4 2 5 3 6" xfId="26280" xr:uid="{51869029-E267-4F84-B2F4-5A6DB1E04677}"/>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FB3F9DDF-6EC9-4FEC-BC07-148C416054EB}"/>
    <cellStyle name="Normal 4 2 5 4 2 2 3" xfId="24608" xr:uid="{F4316E62-CEFE-4363-8FC9-59C0AF8B665A}"/>
    <cellStyle name="Normal 4 2 5 4 2 2 4" xfId="33055" xr:uid="{1D3911A3-D18C-4E66-A83F-E10F69BCE3AA}"/>
    <cellStyle name="Normal 4 2 5 4 2 3" xfId="11943" xr:uid="{56864334-3319-4C7D-83EB-29044061BF41}"/>
    <cellStyle name="Normal 4 2 5 4 2 4" xfId="20391" xr:uid="{50DA21C1-1EE0-4966-802F-52F8DD304F88}"/>
    <cellStyle name="Normal 4 2 5 4 2 5" xfId="28838" xr:uid="{AEDCFFA7-C578-482A-A42A-FBBF180571FD}"/>
    <cellStyle name="Normal 4 2 5 4 3" xfId="5566" xr:uid="{00000000-0005-0000-0000-0000E7130000}"/>
    <cellStyle name="Normal 4 2 5 4 3 2" xfId="14016" xr:uid="{0E80275D-C52F-4814-AAD0-E5E089ACAA53}"/>
    <cellStyle name="Normal 4 2 5 4 3 3" xfId="22463" xr:uid="{BB3EC059-0C6A-4649-8FFB-1CB0FD2AAFD3}"/>
    <cellStyle name="Normal 4 2 5 4 3 4" xfId="30910" xr:uid="{2504E63E-7895-4FDA-B2B0-EB534221422A}"/>
    <cellStyle name="Normal 4 2 5 4 4" xfId="9798" xr:uid="{6473E475-E4D1-4CBF-961A-524187A2E03F}"/>
    <cellStyle name="Normal 4 2 5 4 5" xfId="18246" xr:uid="{8EEC6ED7-FEC3-40D2-B0FA-50EE6EE06D00}"/>
    <cellStyle name="Normal 4 2 5 4 6" xfId="26693" xr:uid="{968FEC96-517A-48F4-B31F-9BCE317BA336}"/>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A820539-0A65-44D2-803B-53A7EBD63F46}"/>
    <cellStyle name="Normal 4 2 5 5 2 2 3" xfId="25021" xr:uid="{4DE5F457-941D-4217-A1DB-891EF3E86063}"/>
    <cellStyle name="Normal 4 2 5 5 2 2 4" xfId="33468" xr:uid="{57FF21BA-DB93-4C89-A599-FCAE52E22EB5}"/>
    <cellStyle name="Normal 4 2 5 5 2 3" xfId="12356" xr:uid="{47B5059F-DA94-4903-BE32-286B628791EE}"/>
    <cellStyle name="Normal 4 2 5 5 2 4" xfId="20804" xr:uid="{2F12170C-6F1E-42C7-A7F0-23186C88B7BA}"/>
    <cellStyle name="Normal 4 2 5 5 2 5" xfId="29251" xr:uid="{4C89A673-5EB2-4A46-8A16-E3415902C15E}"/>
    <cellStyle name="Normal 4 2 5 5 3" xfId="5979" xr:uid="{00000000-0005-0000-0000-0000EB130000}"/>
    <cellStyle name="Normal 4 2 5 5 3 2" xfId="14429" xr:uid="{39EE2A03-1549-493D-8723-9275B3319CFC}"/>
    <cellStyle name="Normal 4 2 5 5 3 3" xfId="22876" xr:uid="{3F3C532E-A292-4315-877F-C1FFCDC730D8}"/>
    <cellStyle name="Normal 4 2 5 5 3 4" xfId="31323" xr:uid="{A9DCBEF3-5BE1-468D-9987-87696BD07076}"/>
    <cellStyle name="Normal 4 2 5 5 4" xfId="10211" xr:uid="{D8062389-5436-41E4-8777-8BF49C2D29E6}"/>
    <cellStyle name="Normal 4 2 5 5 5" xfId="18659" xr:uid="{A15D5B6D-2B1F-43C2-B5C5-69ED1ACACF73}"/>
    <cellStyle name="Normal 4 2 5 5 6" xfId="27106" xr:uid="{46551161-8227-4997-8E9F-F51AA9CBADB8}"/>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DD00D8E0-15F3-4382-B55A-7158BF0B9C3F}"/>
    <cellStyle name="Normal 4 2 5 6 2 2 3" xfId="25434" xr:uid="{3E924AF0-FCF0-4A1C-B843-DD48FC4E3669}"/>
    <cellStyle name="Normal 4 2 5 6 2 2 4" xfId="33881" xr:uid="{59D28B7D-49D1-411E-AF70-127EB6A0E113}"/>
    <cellStyle name="Normal 4 2 5 6 2 3" xfId="12769" xr:uid="{DC7F8BD5-9243-4747-8518-3594F58A4B58}"/>
    <cellStyle name="Normal 4 2 5 6 2 4" xfId="21217" xr:uid="{458CDC8F-DF17-4C90-BE57-BDCE8FA7889F}"/>
    <cellStyle name="Normal 4 2 5 6 2 5" xfId="29664" xr:uid="{16237196-AED4-4D83-ADD3-E2A1FB9FC80C}"/>
    <cellStyle name="Normal 4 2 5 6 3" xfId="6392" xr:uid="{00000000-0005-0000-0000-0000EF130000}"/>
    <cellStyle name="Normal 4 2 5 6 3 2" xfId="14842" xr:uid="{6918A6C8-226C-4504-874C-41E86F80E493}"/>
    <cellStyle name="Normal 4 2 5 6 3 3" xfId="23289" xr:uid="{3A41C80E-2733-441A-8741-382D83495269}"/>
    <cellStyle name="Normal 4 2 5 6 3 4" xfId="31736" xr:uid="{E7A0FA75-5BB2-4DFF-8759-D312EF5B4423}"/>
    <cellStyle name="Normal 4 2 5 6 4" xfId="10624" xr:uid="{404FB106-B531-4E98-9248-94058F7B80D3}"/>
    <cellStyle name="Normal 4 2 5 6 5" xfId="19072" xr:uid="{1B327746-F984-44EB-A47F-2EEC54AD4A7F}"/>
    <cellStyle name="Normal 4 2 5 6 6" xfId="27519" xr:uid="{501598FB-17CD-4702-A050-31DA1FCEBF74}"/>
    <cellStyle name="Normal 4 2 5 7" xfId="2522" xr:uid="{00000000-0005-0000-0000-0000F0130000}"/>
    <cellStyle name="Normal 4 2 5 7 2" xfId="6805" xr:uid="{00000000-0005-0000-0000-0000F1130000}"/>
    <cellStyle name="Normal 4 2 5 7 2 2" xfId="15255" xr:uid="{A8406913-8388-4A69-9275-8BC96F23B729}"/>
    <cellStyle name="Normal 4 2 5 7 2 3" xfId="23702" xr:uid="{B4DDAF5C-F438-4EF7-9557-DC6DF791D3C9}"/>
    <cellStyle name="Normal 4 2 5 7 2 4" xfId="32149" xr:uid="{200C7C59-F945-4F9C-909C-D7E27B09701A}"/>
    <cellStyle name="Normal 4 2 5 7 3" xfId="11037" xr:uid="{C0B0CF3D-C604-475E-AB46-321235EB17E6}"/>
    <cellStyle name="Normal 4 2 5 7 4" xfId="19485" xr:uid="{0684D5CA-D29A-452A-AC8D-868EB66EC4F0}"/>
    <cellStyle name="Normal 4 2 5 7 5" xfId="27932" xr:uid="{814D58E3-72A4-4196-8331-06B1BA7F1DA8}"/>
    <cellStyle name="Normal 4 2 5 8" xfId="4740" xr:uid="{00000000-0005-0000-0000-0000F2130000}"/>
    <cellStyle name="Normal 4 2 5 8 2" xfId="13190" xr:uid="{6A55FB4E-45B9-41D7-9933-C0EAB42C5C44}"/>
    <cellStyle name="Normal 4 2 5 8 3" xfId="21637" xr:uid="{F50610A7-F507-4CD8-A16C-7E1AF1931578}"/>
    <cellStyle name="Normal 4 2 5 8 4" xfId="30084" xr:uid="{CC8C7D08-746D-4F19-8571-D8D2BFA242A7}"/>
    <cellStyle name="Normal 4 2 5 9" xfId="8972" xr:uid="{606D4F88-E738-4948-A016-0C19E891D84B}"/>
    <cellStyle name="Normal 4 2 6" xfId="365" xr:uid="{00000000-0005-0000-0000-0000F3130000}"/>
    <cellStyle name="Normal 4 2 6 10" xfId="25869" xr:uid="{A2D608CF-8D8A-4A92-BB3C-C8BE695B6C2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D115691F-0318-452A-8A0A-FF6C637477FD}"/>
    <cellStyle name="Normal 4 2 6 2 2 2 3" xfId="24197" xr:uid="{25BEF2CE-5E30-4178-B3AA-1B3E3558067C}"/>
    <cellStyle name="Normal 4 2 6 2 2 2 4" xfId="32644" xr:uid="{2EDBB5A8-EEF7-4958-BDD5-93D6C2A2F473}"/>
    <cellStyle name="Normal 4 2 6 2 2 3" xfId="11532" xr:uid="{E277F9F3-1A29-44BE-88D0-AA4362F4A839}"/>
    <cellStyle name="Normal 4 2 6 2 2 4" xfId="19980" xr:uid="{27D464BE-5BD0-4A82-9906-B652549F4A29}"/>
    <cellStyle name="Normal 4 2 6 2 2 5" xfId="28427" xr:uid="{A7634D69-A85E-4BFF-A67E-CBE91F2C155B}"/>
    <cellStyle name="Normal 4 2 6 2 3" xfId="5155" xr:uid="{00000000-0005-0000-0000-0000F7130000}"/>
    <cellStyle name="Normal 4 2 6 2 3 2" xfId="13605" xr:uid="{2956D114-A1E8-4CAC-B058-4C24610CD624}"/>
    <cellStyle name="Normal 4 2 6 2 3 3" xfId="22052" xr:uid="{54363C66-D3A5-4F48-9C92-8629D75FCA1C}"/>
    <cellStyle name="Normal 4 2 6 2 3 4" xfId="30499" xr:uid="{AAA56340-E08A-42BF-8EBD-DA66CF431BA1}"/>
    <cellStyle name="Normal 4 2 6 2 4" xfId="9387" xr:uid="{35EB88E1-95E5-4525-8B70-B96D59A10734}"/>
    <cellStyle name="Normal 4 2 6 2 5" xfId="17835" xr:uid="{2D878501-5C52-4A56-B870-8C6F17D5DA6B}"/>
    <cellStyle name="Normal 4 2 6 2 6" xfId="26282" xr:uid="{06C1ABB3-80DA-400C-812C-3F22DB1D9A03}"/>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DA89E634-1374-48E7-9031-790352AE6830}"/>
    <cellStyle name="Normal 4 2 6 3 2 2 3" xfId="24610" xr:uid="{8A7EF032-3BBA-4D61-99F4-10F5BF5771F9}"/>
    <cellStyle name="Normal 4 2 6 3 2 2 4" xfId="33057" xr:uid="{8A570F52-5425-46B1-81E0-03EEA908AAA7}"/>
    <cellStyle name="Normal 4 2 6 3 2 3" xfId="11945" xr:uid="{F23B87DF-625F-4990-AF00-CFDD020A5B4E}"/>
    <cellStyle name="Normal 4 2 6 3 2 4" xfId="20393" xr:uid="{E8E5E2F8-860A-4BD8-84BE-985B080458E2}"/>
    <cellStyle name="Normal 4 2 6 3 2 5" xfId="28840" xr:uid="{26601E5F-2100-435C-8C65-A42F467F97DF}"/>
    <cellStyle name="Normal 4 2 6 3 3" xfId="5568" xr:uid="{00000000-0005-0000-0000-0000FB130000}"/>
    <cellStyle name="Normal 4 2 6 3 3 2" xfId="14018" xr:uid="{D8440280-EAD6-41BC-B430-6B231D682FD9}"/>
    <cellStyle name="Normal 4 2 6 3 3 3" xfId="22465" xr:uid="{6D0ADF30-F537-4108-9849-3C4E7B6785FC}"/>
    <cellStyle name="Normal 4 2 6 3 3 4" xfId="30912" xr:uid="{E9CFF9E8-68BA-4F7F-9F41-62797BF63185}"/>
    <cellStyle name="Normal 4 2 6 3 4" xfId="9800" xr:uid="{C76645C4-CE80-4A2D-8831-325876EE26C6}"/>
    <cellStyle name="Normal 4 2 6 3 5" xfId="18248" xr:uid="{70457F78-D9CA-4956-8C16-E8F23749A759}"/>
    <cellStyle name="Normal 4 2 6 3 6" xfId="26695" xr:uid="{7890AA40-26D4-4409-A058-6660290FC649}"/>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7950ADC3-D5FF-4516-AEE6-FE465B4EA427}"/>
    <cellStyle name="Normal 4 2 6 4 2 2 3" xfId="25023" xr:uid="{3623687E-0336-41CA-BD0A-9125774CBBAA}"/>
    <cellStyle name="Normal 4 2 6 4 2 2 4" xfId="33470" xr:uid="{E118EE12-C83B-42E9-926A-1DC427F7276A}"/>
    <cellStyle name="Normal 4 2 6 4 2 3" xfId="12358" xr:uid="{5F123C38-9EB0-49D0-8A3C-D0330827BB1D}"/>
    <cellStyle name="Normal 4 2 6 4 2 4" xfId="20806" xr:uid="{5C80E6FF-C6D6-4326-BC86-40112FA4BA4A}"/>
    <cellStyle name="Normal 4 2 6 4 2 5" xfId="29253" xr:uid="{4AF3455A-2D0B-4CFB-B1E4-0B8C91297E36}"/>
    <cellStyle name="Normal 4 2 6 4 3" xfId="5981" xr:uid="{00000000-0005-0000-0000-0000FF130000}"/>
    <cellStyle name="Normal 4 2 6 4 3 2" xfId="14431" xr:uid="{10CF92BD-5294-4D2F-A05F-0A8A5ACC01EE}"/>
    <cellStyle name="Normal 4 2 6 4 3 3" xfId="22878" xr:uid="{2FED37FD-2B79-401F-8D44-63CEB2B2D30C}"/>
    <cellStyle name="Normal 4 2 6 4 3 4" xfId="31325" xr:uid="{26876605-12DA-4255-BF53-33E99CBDC640}"/>
    <cellStyle name="Normal 4 2 6 4 4" xfId="10213" xr:uid="{934B2BDC-3FA3-4F17-A253-452607C76C24}"/>
    <cellStyle name="Normal 4 2 6 4 5" xfId="18661" xr:uid="{BDB5409A-D18A-4A67-AB57-90A4A007D1DD}"/>
    <cellStyle name="Normal 4 2 6 4 6" xfId="27108" xr:uid="{60ABEB47-088C-4D2F-84DF-EBEEC43B4590}"/>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BEA74076-FBFA-4893-A85D-DFC64CE0C877}"/>
    <cellStyle name="Normal 4 2 6 5 2 2 3" xfId="25436" xr:uid="{AD2042FF-21E3-40FA-A256-E1394C61A0B8}"/>
    <cellStyle name="Normal 4 2 6 5 2 2 4" xfId="33883" xr:uid="{00818B8F-E30C-41A3-86EE-E851B68E6E1F}"/>
    <cellStyle name="Normal 4 2 6 5 2 3" xfId="12771" xr:uid="{7DDF0807-CABE-4311-B44B-2C233ED05DF8}"/>
    <cellStyle name="Normal 4 2 6 5 2 4" xfId="21219" xr:uid="{0BA649CB-9BE5-43F9-AABC-1184C4D71FB6}"/>
    <cellStyle name="Normal 4 2 6 5 2 5" xfId="29666" xr:uid="{BA483AAB-EEFA-4CCD-AD85-ACAF6D59F04C}"/>
    <cellStyle name="Normal 4 2 6 5 3" xfId="6394" xr:uid="{00000000-0005-0000-0000-000003140000}"/>
    <cellStyle name="Normal 4 2 6 5 3 2" xfId="14844" xr:uid="{92E81F5C-2271-461E-AD6E-908CD357886A}"/>
    <cellStyle name="Normal 4 2 6 5 3 3" xfId="23291" xr:uid="{3A3CB777-3190-4317-8B07-9E4346C2A30F}"/>
    <cellStyle name="Normal 4 2 6 5 3 4" xfId="31738" xr:uid="{4D470288-AA6E-4F15-AEF4-1E28668AC799}"/>
    <cellStyle name="Normal 4 2 6 5 4" xfId="10626" xr:uid="{FD5BDA03-58E0-407F-80D7-321C56D2FA81}"/>
    <cellStyle name="Normal 4 2 6 5 5" xfId="19074" xr:uid="{DB668C56-24FB-4A9A-9143-C1137C2D6268}"/>
    <cellStyle name="Normal 4 2 6 5 6" xfId="27521" xr:uid="{E80D001B-4647-4E32-B76A-E69E9BCF1300}"/>
    <cellStyle name="Normal 4 2 6 6" xfId="2524" xr:uid="{00000000-0005-0000-0000-000004140000}"/>
    <cellStyle name="Normal 4 2 6 6 2" xfId="6807" xr:uid="{00000000-0005-0000-0000-000005140000}"/>
    <cellStyle name="Normal 4 2 6 6 2 2" xfId="15257" xr:uid="{BD521CFB-9E0C-455F-80B5-7EB9003CFFE9}"/>
    <cellStyle name="Normal 4 2 6 6 2 3" xfId="23704" xr:uid="{E7BFD736-20D5-4E45-9F8D-29F732DAAED7}"/>
    <cellStyle name="Normal 4 2 6 6 2 4" xfId="32151" xr:uid="{FCD37F41-DA05-4F7A-99B7-072ADD8D5914}"/>
    <cellStyle name="Normal 4 2 6 6 3" xfId="11039" xr:uid="{E8CEF0B0-E63B-4FB3-807C-ED5CB93A5FCA}"/>
    <cellStyle name="Normal 4 2 6 6 4" xfId="19487" xr:uid="{420ABCFE-2538-4AD1-93AA-D74C284B5E32}"/>
    <cellStyle name="Normal 4 2 6 6 5" xfId="27934" xr:uid="{A40F4355-A434-41C5-A6E9-2602C831A04A}"/>
    <cellStyle name="Normal 4 2 6 7" xfId="4742" xr:uid="{00000000-0005-0000-0000-000006140000}"/>
    <cellStyle name="Normal 4 2 6 7 2" xfId="13192" xr:uid="{10892CD3-162E-4D67-BDCE-3EA7AC9EEEB0}"/>
    <cellStyle name="Normal 4 2 6 7 3" xfId="21639" xr:uid="{3D6AE6B1-0949-4759-9AD7-BE1E2132F358}"/>
    <cellStyle name="Normal 4 2 6 7 4" xfId="30086" xr:uid="{E35AAC5B-CBC2-4F9A-A702-F8E6B76525A6}"/>
    <cellStyle name="Normal 4 2 6 8" xfId="8974" xr:uid="{E2D24594-EE28-40BF-8DE9-6C89C27CEEAB}"/>
    <cellStyle name="Normal 4 2 6 9" xfId="17422" xr:uid="{D43ED0F2-C4B3-4CC1-9DD7-779C140E4F8D}"/>
    <cellStyle name="Normal 4 3" xfId="366" xr:uid="{00000000-0005-0000-0000-000007140000}"/>
    <cellStyle name="Normal 4 3 10" xfId="8975" xr:uid="{C3BE3274-D8A9-4924-9FE5-2A12DF68F0E0}"/>
    <cellStyle name="Normal 4 3 11" xfId="17423" xr:uid="{AF6AB175-7A75-45E1-8694-943F4CCA2CAE}"/>
    <cellStyle name="Normal 4 3 12" xfId="25870" xr:uid="{AE8FF17E-5E2B-4E7B-9A25-F5FC6270E7D2}"/>
    <cellStyle name="Normal 4 3 2" xfId="367" xr:uid="{00000000-0005-0000-0000-000008140000}"/>
    <cellStyle name="Normal 4 3 2 2" xfId="368" xr:uid="{00000000-0005-0000-0000-000009140000}"/>
    <cellStyle name="Normal 4 3 2 2 2" xfId="369" xr:uid="{00000000-0005-0000-0000-00000A140000}"/>
    <cellStyle name="Normal 4 3 2 2 2 10" xfId="8976" xr:uid="{49E495F7-35BB-4923-8EF7-D6DD5BA359FD}"/>
    <cellStyle name="Normal 4 3 2 2 2 11" xfId="17424" xr:uid="{AE3ADEEF-298C-4A4F-9C18-CD93C09659A6}"/>
    <cellStyle name="Normal 4 3 2 2 2 12" xfId="25871" xr:uid="{35F96A85-14D2-455A-9416-867F4AB9A423}"/>
    <cellStyle name="Normal 4 3 2 2 2 2" xfId="370" xr:uid="{00000000-0005-0000-0000-00000B140000}"/>
    <cellStyle name="Normal 4 3 2 2 2 2 10" xfId="17425" xr:uid="{E9B6614C-0162-463F-A1A9-B821CF1EBF10}"/>
    <cellStyle name="Normal 4 3 2 2 2 2 11" xfId="25872" xr:uid="{9419BDF5-87A5-4485-81EA-C53D6453B5C0}"/>
    <cellStyle name="Normal 4 3 2 2 2 2 2" xfId="371" xr:uid="{00000000-0005-0000-0000-00000C140000}"/>
    <cellStyle name="Normal 4 3 2 2 2 2 2 10" xfId="25873" xr:uid="{23D58EC4-273C-47C2-8645-38E4FF989197}"/>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31165B3A-81A6-4606-82AA-CE2A5E6117EB}"/>
    <cellStyle name="Normal 4 3 2 2 2 2 2 2 2 2 3" xfId="24201" xr:uid="{FF079E0A-228C-44F6-9A65-07DD50DAD5CF}"/>
    <cellStyle name="Normal 4 3 2 2 2 2 2 2 2 2 4" xfId="32648" xr:uid="{67B35D2B-C1C4-4FA6-9DFC-9FF7F2637DC4}"/>
    <cellStyle name="Normal 4 3 2 2 2 2 2 2 2 3" xfId="11536" xr:uid="{ED71E5B1-03F8-4912-BBCD-9460135B33D4}"/>
    <cellStyle name="Normal 4 3 2 2 2 2 2 2 2 4" xfId="19984" xr:uid="{1EC0D226-C369-440E-A2CE-150438A025C7}"/>
    <cellStyle name="Normal 4 3 2 2 2 2 2 2 2 5" xfId="28431" xr:uid="{368AFF8A-D867-4A72-93B8-8EBEF9555B94}"/>
    <cellStyle name="Normal 4 3 2 2 2 2 2 2 3" xfId="5159" xr:uid="{00000000-0005-0000-0000-000010140000}"/>
    <cellStyle name="Normal 4 3 2 2 2 2 2 2 3 2" xfId="13609" xr:uid="{3D062C3A-9204-4D21-8FA3-F627CE8CE8C6}"/>
    <cellStyle name="Normal 4 3 2 2 2 2 2 2 3 3" xfId="22056" xr:uid="{A61F8C7A-2905-4097-B90B-8F8892CAEE91}"/>
    <cellStyle name="Normal 4 3 2 2 2 2 2 2 3 4" xfId="30503" xr:uid="{AD1E5510-4299-4BC0-AB07-31D150AD719E}"/>
    <cellStyle name="Normal 4 3 2 2 2 2 2 2 4" xfId="9391" xr:uid="{DA209FB6-9965-4531-A2F8-80C59D7C16E5}"/>
    <cellStyle name="Normal 4 3 2 2 2 2 2 2 5" xfId="17839" xr:uid="{3F5B24FD-5120-493C-ADD7-385348C4E198}"/>
    <cellStyle name="Normal 4 3 2 2 2 2 2 2 6" xfId="26286" xr:uid="{F41C3B13-2644-4F2E-A883-8B2540293B6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60CEEC95-3ABD-4726-A4D3-567012560E87}"/>
    <cellStyle name="Normal 4 3 2 2 2 2 2 3 2 2 3" xfId="24614" xr:uid="{EFCD3C7B-939B-405B-BBBE-27306B4995F5}"/>
    <cellStyle name="Normal 4 3 2 2 2 2 2 3 2 2 4" xfId="33061" xr:uid="{F5A6126D-A1BE-43EC-BB07-8D9CAD13A48B}"/>
    <cellStyle name="Normal 4 3 2 2 2 2 2 3 2 3" xfId="11949" xr:uid="{73C94723-8A8A-46DD-BB86-588E2C8FA6D6}"/>
    <cellStyle name="Normal 4 3 2 2 2 2 2 3 2 4" xfId="20397" xr:uid="{30F69281-3F07-481C-B0AF-86CD49D0F6C8}"/>
    <cellStyle name="Normal 4 3 2 2 2 2 2 3 2 5" xfId="28844" xr:uid="{E78B9049-13F0-4F27-BAD9-FC4EDA95F508}"/>
    <cellStyle name="Normal 4 3 2 2 2 2 2 3 3" xfId="5572" xr:uid="{00000000-0005-0000-0000-000014140000}"/>
    <cellStyle name="Normal 4 3 2 2 2 2 2 3 3 2" xfId="14022" xr:uid="{D9437601-5082-492B-9DCC-43780E7B6DA7}"/>
    <cellStyle name="Normal 4 3 2 2 2 2 2 3 3 3" xfId="22469" xr:uid="{DB49A07C-C307-480C-A233-2DBAF5E0150F}"/>
    <cellStyle name="Normal 4 3 2 2 2 2 2 3 3 4" xfId="30916" xr:uid="{DB883644-3655-4B40-A38B-1C28E63689C2}"/>
    <cellStyle name="Normal 4 3 2 2 2 2 2 3 4" xfId="9804" xr:uid="{7EE31B00-D2D3-4CEE-A95C-8D76C6BEF4D3}"/>
    <cellStyle name="Normal 4 3 2 2 2 2 2 3 5" xfId="18252" xr:uid="{38B9C853-48AD-4E34-8D20-8ACD4CCEB0AF}"/>
    <cellStyle name="Normal 4 3 2 2 2 2 2 3 6" xfId="26699" xr:uid="{2139AE01-600C-4AB7-8C6E-765920E3A20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D479797C-3985-4087-90D3-355BC87D1358}"/>
    <cellStyle name="Normal 4 3 2 2 2 2 2 4 2 2 3" xfId="25027" xr:uid="{23C1BD66-1CBD-4FD8-A319-80C67B6EE1E7}"/>
    <cellStyle name="Normal 4 3 2 2 2 2 2 4 2 2 4" xfId="33474" xr:uid="{6C2B6E3D-CFF1-43E1-BBD4-339E7CF43911}"/>
    <cellStyle name="Normal 4 3 2 2 2 2 2 4 2 3" xfId="12362" xr:uid="{880CBF99-4375-4271-8E84-3BFE7CF51A57}"/>
    <cellStyle name="Normal 4 3 2 2 2 2 2 4 2 4" xfId="20810" xr:uid="{D60EAE79-CC53-4E10-94D1-20771DACDA2A}"/>
    <cellStyle name="Normal 4 3 2 2 2 2 2 4 2 5" xfId="29257" xr:uid="{AAA0AC2C-ADEA-4216-8286-DF9539BB4881}"/>
    <cellStyle name="Normal 4 3 2 2 2 2 2 4 3" xfId="5985" xr:uid="{00000000-0005-0000-0000-000018140000}"/>
    <cellStyle name="Normal 4 3 2 2 2 2 2 4 3 2" xfId="14435" xr:uid="{4D04B8C1-383E-493F-9DB8-6DB4F7CA95B0}"/>
    <cellStyle name="Normal 4 3 2 2 2 2 2 4 3 3" xfId="22882" xr:uid="{3741D556-6A67-452E-ADD1-74B559819E0B}"/>
    <cellStyle name="Normal 4 3 2 2 2 2 2 4 3 4" xfId="31329" xr:uid="{75A8F066-0E32-4506-A053-503D94CD65B4}"/>
    <cellStyle name="Normal 4 3 2 2 2 2 2 4 4" xfId="10217" xr:uid="{7676986D-F75E-4413-BA85-7DA77DD1B4D5}"/>
    <cellStyle name="Normal 4 3 2 2 2 2 2 4 5" xfId="18665" xr:uid="{E4FF073F-D97F-4CDA-B253-68B7007593EC}"/>
    <cellStyle name="Normal 4 3 2 2 2 2 2 4 6" xfId="27112" xr:uid="{C0813CAF-F501-4E4B-9AAD-E581A0B19F4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59A684B6-9592-4EAC-A40E-E49392CB03DA}"/>
    <cellStyle name="Normal 4 3 2 2 2 2 2 5 2 2 3" xfId="25440" xr:uid="{936B1ED4-E057-4B90-BC40-471A6A1E05FB}"/>
    <cellStyle name="Normal 4 3 2 2 2 2 2 5 2 2 4" xfId="33887" xr:uid="{05CAAED2-99E1-474D-9BFF-6256E2DFF6BE}"/>
    <cellStyle name="Normal 4 3 2 2 2 2 2 5 2 3" xfId="12775" xr:uid="{B0783BF7-D8B0-4E65-856D-685862613266}"/>
    <cellStyle name="Normal 4 3 2 2 2 2 2 5 2 4" xfId="21223" xr:uid="{9D7BF039-1ABF-41DF-8567-F900969A492E}"/>
    <cellStyle name="Normal 4 3 2 2 2 2 2 5 2 5" xfId="29670" xr:uid="{4013A943-E462-43F1-9647-F4D1797FB5ED}"/>
    <cellStyle name="Normal 4 3 2 2 2 2 2 5 3" xfId="6398" xr:uid="{00000000-0005-0000-0000-00001C140000}"/>
    <cellStyle name="Normal 4 3 2 2 2 2 2 5 3 2" xfId="14848" xr:uid="{EF2EBCEA-884A-43F2-94F5-BBD422787E72}"/>
    <cellStyle name="Normal 4 3 2 2 2 2 2 5 3 3" xfId="23295" xr:uid="{E28EBB41-C21D-4C5B-8C04-B377A9DB9712}"/>
    <cellStyle name="Normal 4 3 2 2 2 2 2 5 3 4" xfId="31742" xr:uid="{4382EB01-D398-4452-AF75-6F09005B419C}"/>
    <cellStyle name="Normal 4 3 2 2 2 2 2 5 4" xfId="10630" xr:uid="{A338756F-50E4-45DD-ABB5-2C3306F06D84}"/>
    <cellStyle name="Normal 4 3 2 2 2 2 2 5 5" xfId="19078" xr:uid="{9EA1FB64-38F0-4CED-95F2-4773E591306A}"/>
    <cellStyle name="Normal 4 3 2 2 2 2 2 5 6" xfId="27525" xr:uid="{1152E470-A23E-4A83-ACB3-C9B3DDBE238E}"/>
    <cellStyle name="Normal 4 3 2 2 2 2 2 6" xfId="2528" xr:uid="{00000000-0005-0000-0000-00001D140000}"/>
    <cellStyle name="Normal 4 3 2 2 2 2 2 6 2" xfId="6811" xr:uid="{00000000-0005-0000-0000-00001E140000}"/>
    <cellStyle name="Normal 4 3 2 2 2 2 2 6 2 2" xfId="15261" xr:uid="{5219657A-A819-47FE-9477-BAAB0C4EB66E}"/>
    <cellStyle name="Normal 4 3 2 2 2 2 2 6 2 3" xfId="23708" xr:uid="{6720EFF8-1999-4ACC-852E-CCD7950E3453}"/>
    <cellStyle name="Normal 4 3 2 2 2 2 2 6 2 4" xfId="32155" xr:uid="{CB52CB43-9A22-4F08-8B5F-56293481EB31}"/>
    <cellStyle name="Normal 4 3 2 2 2 2 2 6 3" xfId="11043" xr:uid="{7EFD2744-A05F-4469-A5FD-11EA30957C98}"/>
    <cellStyle name="Normal 4 3 2 2 2 2 2 6 4" xfId="19491" xr:uid="{2154E468-8F49-4F88-B404-25596322008D}"/>
    <cellStyle name="Normal 4 3 2 2 2 2 2 6 5" xfId="27938" xr:uid="{F98BD543-B08F-4CFE-B878-5EE4A578E31D}"/>
    <cellStyle name="Normal 4 3 2 2 2 2 2 7" xfId="4746" xr:uid="{00000000-0005-0000-0000-00001F140000}"/>
    <cellStyle name="Normal 4 3 2 2 2 2 2 7 2" xfId="13196" xr:uid="{0D5272C0-CB65-4640-BE82-3DCA56DB64EB}"/>
    <cellStyle name="Normal 4 3 2 2 2 2 2 7 3" xfId="21643" xr:uid="{D5C42663-3567-4753-A099-61F4EAF51D59}"/>
    <cellStyle name="Normal 4 3 2 2 2 2 2 7 4" xfId="30090" xr:uid="{F90E946E-285A-4F4A-97C2-37CFF87EFFA7}"/>
    <cellStyle name="Normal 4 3 2 2 2 2 2 8" xfId="8978" xr:uid="{CFEC07C9-1BB5-4928-93C6-98AA4FB04274}"/>
    <cellStyle name="Normal 4 3 2 2 2 2 2 9" xfId="17426" xr:uid="{3DD38937-B180-4EB9-B074-E39E73B225F8}"/>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1383D355-22EF-4CFA-8E16-3E171DBE8E6D}"/>
    <cellStyle name="Normal 4 3 2 2 2 2 3 2 2 3" xfId="24200" xr:uid="{0DEF2BE9-BF3A-4FBE-A0A1-557DA4755C5D}"/>
    <cellStyle name="Normal 4 3 2 2 2 2 3 2 2 4" xfId="32647" xr:uid="{6B11B17C-1072-4DAB-B23F-453425AF2BFB}"/>
    <cellStyle name="Normal 4 3 2 2 2 2 3 2 3" xfId="11535" xr:uid="{359C1B83-169F-4D23-8B14-80D18255A00E}"/>
    <cellStyle name="Normal 4 3 2 2 2 2 3 2 4" xfId="19983" xr:uid="{E44BDB68-FA9F-48A3-A28B-66DB39E5C256}"/>
    <cellStyle name="Normal 4 3 2 2 2 2 3 2 5" xfId="28430" xr:uid="{2807C253-B4A9-4A96-A7EC-926EF727B3AD}"/>
    <cellStyle name="Normal 4 3 2 2 2 2 3 3" xfId="5158" xr:uid="{00000000-0005-0000-0000-000023140000}"/>
    <cellStyle name="Normal 4 3 2 2 2 2 3 3 2" xfId="13608" xr:uid="{68DEF95E-8946-4D2D-A21B-C258658C1948}"/>
    <cellStyle name="Normal 4 3 2 2 2 2 3 3 3" xfId="22055" xr:uid="{DE81C8C7-4B7C-4662-A5C8-4ABD6B83EB85}"/>
    <cellStyle name="Normal 4 3 2 2 2 2 3 3 4" xfId="30502" xr:uid="{747F991E-F75F-498E-84BB-46B58BDC51BD}"/>
    <cellStyle name="Normal 4 3 2 2 2 2 3 4" xfId="9390" xr:uid="{E970ECEB-F484-4C99-89B0-F283A7C8291A}"/>
    <cellStyle name="Normal 4 3 2 2 2 2 3 5" xfId="17838" xr:uid="{A3D1D438-9F5F-403B-A3A4-CEBE7AD8740C}"/>
    <cellStyle name="Normal 4 3 2 2 2 2 3 6" xfId="26285" xr:uid="{AE117ED8-8235-4CEF-92DF-A1F4D4C2D691}"/>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CDC6083C-5F67-47CA-BA7D-08EB7776E580}"/>
    <cellStyle name="Normal 4 3 2 2 2 2 4 2 2 3" xfId="24613" xr:uid="{51E0A8CB-BE84-49B8-AC5D-B8F29697ED18}"/>
    <cellStyle name="Normal 4 3 2 2 2 2 4 2 2 4" xfId="33060" xr:uid="{3A6A5F50-50F4-4C67-B298-B6B811F3F3CC}"/>
    <cellStyle name="Normal 4 3 2 2 2 2 4 2 3" xfId="11948" xr:uid="{1178FBCA-5E98-40A4-B068-6A4EBA67F9F0}"/>
    <cellStyle name="Normal 4 3 2 2 2 2 4 2 4" xfId="20396" xr:uid="{308CD075-DC56-4C18-81E3-E0B14930F409}"/>
    <cellStyle name="Normal 4 3 2 2 2 2 4 2 5" xfId="28843" xr:uid="{9CB0BD3E-A321-4ED4-9A08-9C0A158BB173}"/>
    <cellStyle name="Normal 4 3 2 2 2 2 4 3" xfId="5571" xr:uid="{00000000-0005-0000-0000-000027140000}"/>
    <cellStyle name="Normal 4 3 2 2 2 2 4 3 2" xfId="14021" xr:uid="{39595A11-F5D1-4D0F-A81D-D86C415DD839}"/>
    <cellStyle name="Normal 4 3 2 2 2 2 4 3 3" xfId="22468" xr:uid="{7AD8F792-E8B7-4E7B-82B5-1BD42059EB29}"/>
    <cellStyle name="Normal 4 3 2 2 2 2 4 3 4" xfId="30915" xr:uid="{DF0FB19D-26E6-4486-8B87-22CEF66E6AD9}"/>
    <cellStyle name="Normal 4 3 2 2 2 2 4 4" xfId="9803" xr:uid="{19676693-A4B7-45C3-9CE6-681E8026A475}"/>
    <cellStyle name="Normal 4 3 2 2 2 2 4 5" xfId="18251" xr:uid="{18748346-3778-4EBA-9EBF-65DCE595D7AA}"/>
    <cellStyle name="Normal 4 3 2 2 2 2 4 6" xfId="26698" xr:uid="{175DF265-7CC5-421A-8102-4CEA528AAEF4}"/>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5F97CDB3-5E6A-49E9-BB38-1D9F4C729CC1}"/>
    <cellStyle name="Normal 4 3 2 2 2 2 5 2 2 3" xfId="25026" xr:uid="{FB93FBBF-BFC8-46A6-B92D-E6427330BA5E}"/>
    <cellStyle name="Normal 4 3 2 2 2 2 5 2 2 4" xfId="33473" xr:uid="{A3320719-36F9-4BDE-BC6C-5F89FE9500D2}"/>
    <cellStyle name="Normal 4 3 2 2 2 2 5 2 3" xfId="12361" xr:uid="{09181A42-3AD9-4E03-B9FE-C66B60F4EFF1}"/>
    <cellStyle name="Normal 4 3 2 2 2 2 5 2 4" xfId="20809" xr:uid="{87B8C2BB-F76E-4B8B-BB94-3EDF1FC3A2D7}"/>
    <cellStyle name="Normal 4 3 2 2 2 2 5 2 5" xfId="29256" xr:uid="{923D7B83-812A-47F7-A8B5-51817C6D83BD}"/>
    <cellStyle name="Normal 4 3 2 2 2 2 5 3" xfId="5984" xr:uid="{00000000-0005-0000-0000-00002B140000}"/>
    <cellStyle name="Normal 4 3 2 2 2 2 5 3 2" xfId="14434" xr:uid="{A283A70A-C43D-4BB0-B58A-6A3A505DC089}"/>
    <cellStyle name="Normal 4 3 2 2 2 2 5 3 3" xfId="22881" xr:uid="{EE2CFE2B-6751-437F-8D0C-25ED948421D9}"/>
    <cellStyle name="Normal 4 3 2 2 2 2 5 3 4" xfId="31328" xr:uid="{68B02F17-6678-4FAD-9F65-06A745382061}"/>
    <cellStyle name="Normal 4 3 2 2 2 2 5 4" xfId="10216" xr:uid="{4E29B389-A8AB-4408-A0C8-EAE3D9AB22CE}"/>
    <cellStyle name="Normal 4 3 2 2 2 2 5 5" xfId="18664" xr:uid="{55A801B7-4D3F-416B-B777-955923FE4DA7}"/>
    <cellStyle name="Normal 4 3 2 2 2 2 5 6" xfId="27111" xr:uid="{2638B5FE-3F94-4E4C-9EC1-88BC1ECC587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9D07CDD5-677E-4228-B077-4702C8C940CC}"/>
    <cellStyle name="Normal 4 3 2 2 2 2 6 2 2 3" xfId="25439" xr:uid="{ACB0B41E-6358-4D5C-BD88-956108AA10E9}"/>
    <cellStyle name="Normal 4 3 2 2 2 2 6 2 2 4" xfId="33886" xr:uid="{158D57DE-9A90-4233-B13D-BD489956929A}"/>
    <cellStyle name="Normal 4 3 2 2 2 2 6 2 3" xfId="12774" xr:uid="{87ECF882-1DDC-446F-BE35-7D0A631FF44C}"/>
    <cellStyle name="Normal 4 3 2 2 2 2 6 2 4" xfId="21222" xr:uid="{2216BD27-3863-47C2-A157-0ACC13F10698}"/>
    <cellStyle name="Normal 4 3 2 2 2 2 6 2 5" xfId="29669" xr:uid="{A2AF96D6-003A-4B99-B972-13D48F70CE08}"/>
    <cellStyle name="Normal 4 3 2 2 2 2 6 3" xfId="6397" xr:uid="{00000000-0005-0000-0000-00002F140000}"/>
    <cellStyle name="Normal 4 3 2 2 2 2 6 3 2" xfId="14847" xr:uid="{3E81EE27-EF3A-451B-8DE4-D8EBDB08ED86}"/>
    <cellStyle name="Normal 4 3 2 2 2 2 6 3 3" xfId="23294" xr:uid="{E6C9D5E4-4673-45E7-9379-2EF711287C16}"/>
    <cellStyle name="Normal 4 3 2 2 2 2 6 3 4" xfId="31741" xr:uid="{3D3C96CB-E8C4-4CEB-B88E-F312039B336E}"/>
    <cellStyle name="Normal 4 3 2 2 2 2 6 4" xfId="10629" xr:uid="{53C67B9A-9977-4A90-8382-B905709182AF}"/>
    <cellStyle name="Normal 4 3 2 2 2 2 6 5" xfId="19077" xr:uid="{58111EAD-B221-4772-96A0-24A3C56263FB}"/>
    <cellStyle name="Normal 4 3 2 2 2 2 6 6" xfId="27524" xr:uid="{940BDBE3-B07A-42EE-AFAC-898855AFB477}"/>
    <cellStyle name="Normal 4 3 2 2 2 2 7" xfId="2527" xr:uid="{00000000-0005-0000-0000-000030140000}"/>
    <cellStyle name="Normal 4 3 2 2 2 2 7 2" xfId="6810" xr:uid="{00000000-0005-0000-0000-000031140000}"/>
    <cellStyle name="Normal 4 3 2 2 2 2 7 2 2" xfId="15260" xr:uid="{3D55676B-8BB9-45FF-B1DB-B9DEE65E8B1C}"/>
    <cellStyle name="Normal 4 3 2 2 2 2 7 2 3" xfId="23707" xr:uid="{8636F941-2703-4E0C-A603-663900AA989E}"/>
    <cellStyle name="Normal 4 3 2 2 2 2 7 2 4" xfId="32154" xr:uid="{9E6F3CBE-4381-4435-A03F-38CB1D6DA7EC}"/>
    <cellStyle name="Normal 4 3 2 2 2 2 7 3" xfId="11042" xr:uid="{6AE02CA3-7AF9-4C9F-BB81-1D0E2FAF3B15}"/>
    <cellStyle name="Normal 4 3 2 2 2 2 7 4" xfId="19490" xr:uid="{0DC78785-F3E9-4474-9BCF-EAB40984E07E}"/>
    <cellStyle name="Normal 4 3 2 2 2 2 7 5" xfId="27937" xr:uid="{E2A9E160-922E-469B-AEAE-338724975B4C}"/>
    <cellStyle name="Normal 4 3 2 2 2 2 8" xfId="4745" xr:uid="{00000000-0005-0000-0000-000032140000}"/>
    <cellStyle name="Normal 4 3 2 2 2 2 8 2" xfId="13195" xr:uid="{1CC5C097-C3E0-41CD-9844-0DECC8B2983A}"/>
    <cellStyle name="Normal 4 3 2 2 2 2 8 3" xfId="21642" xr:uid="{52A69A45-A1C5-41AC-89A5-C552F8AB1C19}"/>
    <cellStyle name="Normal 4 3 2 2 2 2 8 4" xfId="30089" xr:uid="{48BD3216-E740-4403-819D-5F380AF46F42}"/>
    <cellStyle name="Normal 4 3 2 2 2 2 9" xfId="8977" xr:uid="{5EAC1345-66DD-4417-811C-EB552CF62F2B}"/>
    <cellStyle name="Normal 4 3 2 2 2 3" xfId="372" xr:uid="{00000000-0005-0000-0000-000033140000}"/>
    <cellStyle name="Normal 4 3 2 2 2 3 10" xfId="25874" xr:uid="{BD9DFCD4-4248-4FFF-9586-54E64BD2D883}"/>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883C6F34-39E8-4A82-A6D6-CD6B9F7F5F22}"/>
    <cellStyle name="Normal 4 3 2 2 2 3 2 2 2 3" xfId="24202" xr:uid="{4750EF03-E35D-4245-A1CF-379FD5DACC29}"/>
    <cellStyle name="Normal 4 3 2 2 2 3 2 2 2 4" xfId="32649" xr:uid="{23E75BC8-FF75-4835-849A-50A4AA5B3493}"/>
    <cellStyle name="Normal 4 3 2 2 2 3 2 2 3" xfId="11537" xr:uid="{68FBD4B1-A06F-4F21-A581-09CB68AE2F01}"/>
    <cellStyle name="Normal 4 3 2 2 2 3 2 2 4" xfId="19985" xr:uid="{A36F4F35-B104-45B3-BBFF-105FA212F7F8}"/>
    <cellStyle name="Normal 4 3 2 2 2 3 2 2 5" xfId="28432" xr:uid="{1640C514-1885-4130-86E7-789D35E8F17C}"/>
    <cellStyle name="Normal 4 3 2 2 2 3 2 3" xfId="5160" xr:uid="{00000000-0005-0000-0000-000037140000}"/>
    <cellStyle name="Normal 4 3 2 2 2 3 2 3 2" xfId="13610" xr:uid="{D96E1F28-CA16-4045-A36F-5F3235F8F605}"/>
    <cellStyle name="Normal 4 3 2 2 2 3 2 3 3" xfId="22057" xr:uid="{ECF245ED-CF67-481F-8060-570AA26CA86B}"/>
    <cellStyle name="Normal 4 3 2 2 2 3 2 3 4" xfId="30504" xr:uid="{F625032B-9BFE-4286-9D9F-A263209E4AB6}"/>
    <cellStyle name="Normal 4 3 2 2 2 3 2 4" xfId="9392" xr:uid="{DA83B0DF-A916-4F32-A949-6F58D77E600E}"/>
    <cellStyle name="Normal 4 3 2 2 2 3 2 5" xfId="17840" xr:uid="{F3272D8E-A098-47E8-A76F-E9326CD74A7D}"/>
    <cellStyle name="Normal 4 3 2 2 2 3 2 6" xfId="26287" xr:uid="{EB6BB253-B8EB-4117-8B9C-D0D2F942FE92}"/>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746ACDE1-B5A2-4097-9ED8-46E69E7864F3}"/>
    <cellStyle name="Normal 4 3 2 2 2 3 3 2 2 3" xfId="24615" xr:uid="{CA2DB880-2C31-40B5-A320-334025581394}"/>
    <cellStyle name="Normal 4 3 2 2 2 3 3 2 2 4" xfId="33062" xr:uid="{109C2FC5-48DC-46C6-ABCD-D6F42D255F57}"/>
    <cellStyle name="Normal 4 3 2 2 2 3 3 2 3" xfId="11950" xr:uid="{8B2A3F80-3570-447D-B000-1E206757BC94}"/>
    <cellStyle name="Normal 4 3 2 2 2 3 3 2 4" xfId="20398" xr:uid="{3061FF4C-67E2-4048-A8A7-EF218B1CBA68}"/>
    <cellStyle name="Normal 4 3 2 2 2 3 3 2 5" xfId="28845" xr:uid="{F856482C-5CD0-4332-8BE4-3324008B7A82}"/>
    <cellStyle name="Normal 4 3 2 2 2 3 3 3" xfId="5573" xr:uid="{00000000-0005-0000-0000-00003B140000}"/>
    <cellStyle name="Normal 4 3 2 2 2 3 3 3 2" xfId="14023" xr:uid="{700F8B16-3803-4CBC-B5B9-98997E1BA37E}"/>
    <cellStyle name="Normal 4 3 2 2 2 3 3 3 3" xfId="22470" xr:uid="{E15B5719-5B80-471C-A7FF-B3DAE0B6D20E}"/>
    <cellStyle name="Normal 4 3 2 2 2 3 3 3 4" xfId="30917" xr:uid="{33AAD634-81A2-46AC-81AF-DF82B5A9287F}"/>
    <cellStyle name="Normal 4 3 2 2 2 3 3 4" xfId="9805" xr:uid="{00CEC084-4CA2-4F57-8133-A69F7E59AE15}"/>
    <cellStyle name="Normal 4 3 2 2 2 3 3 5" xfId="18253" xr:uid="{C3B477CB-FCCA-477A-B9A6-A740DC25692E}"/>
    <cellStyle name="Normal 4 3 2 2 2 3 3 6" xfId="26700" xr:uid="{C7D429D6-1569-4302-9898-D6E6634CA8C8}"/>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C1A09DA5-5A99-4976-B9B0-DB5D290937D4}"/>
    <cellStyle name="Normal 4 3 2 2 2 3 4 2 2 3" xfId="25028" xr:uid="{A7663861-5996-4E2C-B709-C77497CD6FF6}"/>
    <cellStyle name="Normal 4 3 2 2 2 3 4 2 2 4" xfId="33475" xr:uid="{0AD02EB5-B8B3-42AA-8BC4-1EDA1A885F74}"/>
    <cellStyle name="Normal 4 3 2 2 2 3 4 2 3" xfId="12363" xr:uid="{11AD4D2B-3F54-4E78-A4E6-E46E2000C63C}"/>
    <cellStyle name="Normal 4 3 2 2 2 3 4 2 4" xfId="20811" xr:uid="{F041BA60-55B7-462E-AAC8-A64BA2F0A9D9}"/>
    <cellStyle name="Normal 4 3 2 2 2 3 4 2 5" xfId="29258" xr:uid="{CA5C5EBD-5E77-4034-A71E-2BB5FBD09EDB}"/>
    <cellStyle name="Normal 4 3 2 2 2 3 4 3" xfId="5986" xr:uid="{00000000-0005-0000-0000-00003F140000}"/>
    <cellStyle name="Normal 4 3 2 2 2 3 4 3 2" xfId="14436" xr:uid="{CDADAA68-41EC-4A9B-BE0D-5A90D42CD001}"/>
    <cellStyle name="Normal 4 3 2 2 2 3 4 3 3" xfId="22883" xr:uid="{54328D8D-E728-4D30-A6E6-31E86493A36B}"/>
    <cellStyle name="Normal 4 3 2 2 2 3 4 3 4" xfId="31330" xr:uid="{975E4983-B190-4B49-B297-A5EEC738C5C1}"/>
    <cellStyle name="Normal 4 3 2 2 2 3 4 4" xfId="10218" xr:uid="{CEAD1A45-908E-47C7-84A5-3EFCCDD530D1}"/>
    <cellStyle name="Normal 4 3 2 2 2 3 4 5" xfId="18666" xr:uid="{1077E807-25FB-4F28-B6B1-C3072C3B365D}"/>
    <cellStyle name="Normal 4 3 2 2 2 3 4 6" xfId="27113" xr:uid="{E68123FF-0E40-4A71-A78D-531F38E4B5E1}"/>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BAA798E3-0E34-4589-BE9D-699001F97F58}"/>
    <cellStyle name="Normal 4 3 2 2 2 3 5 2 2 3" xfId="25441" xr:uid="{0881CE15-BD18-46C8-9C19-7AA5EE4B33C4}"/>
    <cellStyle name="Normal 4 3 2 2 2 3 5 2 2 4" xfId="33888" xr:uid="{4FD2B347-D98D-4C76-846E-B8A27AEE3576}"/>
    <cellStyle name="Normal 4 3 2 2 2 3 5 2 3" xfId="12776" xr:uid="{56E05D0F-0B6D-4AB7-A947-9EA33DA6A72A}"/>
    <cellStyle name="Normal 4 3 2 2 2 3 5 2 4" xfId="21224" xr:uid="{D33A1619-432E-4D17-8488-3264742484F6}"/>
    <cellStyle name="Normal 4 3 2 2 2 3 5 2 5" xfId="29671" xr:uid="{A004A6FB-53DF-40E4-AD6E-B4AAE17FF892}"/>
    <cellStyle name="Normal 4 3 2 2 2 3 5 3" xfId="6399" xr:uid="{00000000-0005-0000-0000-000043140000}"/>
    <cellStyle name="Normal 4 3 2 2 2 3 5 3 2" xfId="14849" xr:uid="{1F7F66DE-246B-4D1C-99BC-31ED45F4BE01}"/>
    <cellStyle name="Normal 4 3 2 2 2 3 5 3 3" xfId="23296" xr:uid="{3F5A2393-42BB-4DAB-9FA8-B2B8A3D86468}"/>
    <cellStyle name="Normal 4 3 2 2 2 3 5 3 4" xfId="31743" xr:uid="{B0ED0E65-FD8C-4965-A5EF-4A42C8548AC4}"/>
    <cellStyle name="Normal 4 3 2 2 2 3 5 4" xfId="10631" xr:uid="{D483B38B-FC84-4416-82A6-5D8044791A25}"/>
    <cellStyle name="Normal 4 3 2 2 2 3 5 5" xfId="19079" xr:uid="{2BDC4053-0F15-4AC0-924C-D8B5C3890BD6}"/>
    <cellStyle name="Normal 4 3 2 2 2 3 5 6" xfId="27526" xr:uid="{69A413B3-83F5-4870-A174-8D3CB164552F}"/>
    <cellStyle name="Normal 4 3 2 2 2 3 6" xfId="2529" xr:uid="{00000000-0005-0000-0000-000044140000}"/>
    <cellStyle name="Normal 4 3 2 2 2 3 6 2" xfId="6812" xr:uid="{00000000-0005-0000-0000-000045140000}"/>
    <cellStyle name="Normal 4 3 2 2 2 3 6 2 2" xfId="15262" xr:uid="{8A2246D8-8DFF-4607-8C12-57BCBFDDDBAD}"/>
    <cellStyle name="Normal 4 3 2 2 2 3 6 2 3" xfId="23709" xr:uid="{0DB7EEAF-1FC4-48BF-B974-BCACD8AC7A07}"/>
    <cellStyle name="Normal 4 3 2 2 2 3 6 2 4" xfId="32156" xr:uid="{2564ED8A-6EB8-4299-8C1D-076279008D2A}"/>
    <cellStyle name="Normal 4 3 2 2 2 3 6 3" xfId="11044" xr:uid="{DA83C3C7-415F-4432-9BC5-700F91C9871A}"/>
    <cellStyle name="Normal 4 3 2 2 2 3 6 4" xfId="19492" xr:uid="{1DE70C5E-A88D-4BF8-B202-C86847639377}"/>
    <cellStyle name="Normal 4 3 2 2 2 3 6 5" xfId="27939" xr:uid="{DF3D2BAB-FF3C-4294-85D2-3FD3CF9710D4}"/>
    <cellStyle name="Normal 4 3 2 2 2 3 7" xfId="4747" xr:uid="{00000000-0005-0000-0000-000046140000}"/>
    <cellStyle name="Normal 4 3 2 2 2 3 7 2" xfId="13197" xr:uid="{64946963-1059-44A3-BDA7-DBAF62478C74}"/>
    <cellStyle name="Normal 4 3 2 2 2 3 7 3" xfId="21644" xr:uid="{5A26D0DC-FE5E-4885-9C78-757BCD34DD85}"/>
    <cellStyle name="Normal 4 3 2 2 2 3 7 4" xfId="30091" xr:uid="{6C899FA5-A4A7-4967-928C-FCA0894EB0B5}"/>
    <cellStyle name="Normal 4 3 2 2 2 3 8" xfId="8979" xr:uid="{E5117A2E-1868-4E0F-A007-5C68B9669707}"/>
    <cellStyle name="Normal 4 3 2 2 2 3 9" xfId="17427" xr:uid="{E92D7311-B056-4621-A091-8B38F66ED00A}"/>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8ED6327E-58F5-4C35-88A9-8AB3E08A0255}"/>
    <cellStyle name="Normal 4 3 2 2 2 4 2 2 3" xfId="24199" xr:uid="{3837878B-C62A-4A61-9DCD-3D159810645B}"/>
    <cellStyle name="Normal 4 3 2 2 2 4 2 2 4" xfId="32646" xr:uid="{88955474-735F-4C3D-9B38-DB8CC27DACBA}"/>
    <cellStyle name="Normal 4 3 2 2 2 4 2 3" xfId="11534" xr:uid="{2D18987C-EAC2-4A23-9525-6E7696B03D6E}"/>
    <cellStyle name="Normal 4 3 2 2 2 4 2 4" xfId="19982" xr:uid="{C81E95FB-CCD1-49A0-BF51-683262AFCEF9}"/>
    <cellStyle name="Normal 4 3 2 2 2 4 2 5" xfId="28429" xr:uid="{0CD0A34A-E1FB-446E-9E8F-83A822FF1600}"/>
    <cellStyle name="Normal 4 3 2 2 2 4 3" xfId="5157" xr:uid="{00000000-0005-0000-0000-00004A140000}"/>
    <cellStyle name="Normal 4 3 2 2 2 4 3 2" xfId="13607" xr:uid="{C67DD424-A088-4B5E-AB0A-9286B4FCB950}"/>
    <cellStyle name="Normal 4 3 2 2 2 4 3 3" xfId="22054" xr:uid="{25421F03-7761-41F3-868C-35B9E763D0A1}"/>
    <cellStyle name="Normal 4 3 2 2 2 4 3 4" xfId="30501" xr:uid="{C589B316-D028-42E0-B1AF-A0861BEA9506}"/>
    <cellStyle name="Normal 4 3 2 2 2 4 4" xfId="9389" xr:uid="{9D87CA01-B196-41B6-BD57-27C4D0BA74C3}"/>
    <cellStyle name="Normal 4 3 2 2 2 4 5" xfId="17837" xr:uid="{6AE5440D-EE2D-4AE8-B1D1-A33974A1EF0B}"/>
    <cellStyle name="Normal 4 3 2 2 2 4 6" xfId="26284" xr:uid="{9B697AB7-C88B-4420-B092-4C3DB782BCA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74854C5B-BC64-4507-944B-CD6C8FE8263E}"/>
    <cellStyle name="Normal 4 3 2 2 2 5 2 2 3" xfId="24612" xr:uid="{D1BD72A9-29D3-4175-AD18-F93FE5CD673D}"/>
    <cellStyle name="Normal 4 3 2 2 2 5 2 2 4" xfId="33059" xr:uid="{1F14CCBC-07F6-44A5-8E72-63EFACA20F95}"/>
    <cellStyle name="Normal 4 3 2 2 2 5 2 3" xfId="11947" xr:uid="{14D6BD9C-4DC0-4014-A27F-8AA705AE1FF4}"/>
    <cellStyle name="Normal 4 3 2 2 2 5 2 4" xfId="20395" xr:uid="{2DF4BF1C-1178-4F05-AD04-C2387EEE08E3}"/>
    <cellStyle name="Normal 4 3 2 2 2 5 2 5" xfId="28842" xr:uid="{FBA4510B-D79C-4578-9561-77FAD2B49F0F}"/>
    <cellStyle name="Normal 4 3 2 2 2 5 3" xfId="5570" xr:uid="{00000000-0005-0000-0000-00004E140000}"/>
    <cellStyle name="Normal 4 3 2 2 2 5 3 2" xfId="14020" xr:uid="{0DF59BAB-98CB-4F93-B848-2DE186B084C9}"/>
    <cellStyle name="Normal 4 3 2 2 2 5 3 3" xfId="22467" xr:uid="{5A530100-7C75-48D3-AA52-781B9F816762}"/>
    <cellStyle name="Normal 4 3 2 2 2 5 3 4" xfId="30914" xr:uid="{08FE5F0E-4C19-4222-9EA2-CF56FDEE790C}"/>
    <cellStyle name="Normal 4 3 2 2 2 5 4" xfId="9802" xr:uid="{A0E9E6D2-8808-4F3F-8A36-60ED49DAA746}"/>
    <cellStyle name="Normal 4 3 2 2 2 5 5" xfId="18250" xr:uid="{8A521ECE-D9FB-4490-9A43-60DB3B698DE5}"/>
    <cellStyle name="Normal 4 3 2 2 2 5 6" xfId="26697" xr:uid="{293F3766-4A00-48BB-9EB0-C7A3CA59D9FF}"/>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EAE9A026-F745-4A34-AD40-4920F3C7D1BA}"/>
    <cellStyle name="Normal 4 3 2 2 2 6 2 2 3" xfId="25025" xr:uid="{E4D71FB5-09D3-4134-A31D-5A2ADE9B4E95}"/>
    <cellStyle name="Normal 4 3 2 2 2 6 2 2 4" xfId="33472" xr:uid="{52F6D63F-1A94-4A33-B095-358C5EE84D94}"/>
    <cellStyle name="Normal 4 3 2 2 2 6 2 3" xfId="12360" xr:uid="{98E6CF1A-B207-445D-AD5C-94D57F781480}"/>
    <cellStyle name="Normal 4 3 2 2 2 6 2 4" xfId="20808" xr:uid="{EBEB21F4-8B8D-406D-B90C-61AE7FCF9A91}"/>
    <cellStyle name="Normal 4 3 2 2 2 6 2 5" xfId="29255" xr:uid="{D4A9FF4F-FE93-44D9-AAF6-6D332F360576}"/>
    <cellStyle name="Normal 4 3 2 2 2 6 3" xfId="5983" xr:uid="{00000000-0005-0000-0000-000052140000}"/>
    <cellStyle name="Normal 4 3 2 2 2 6 3 2" xfId="14433" xr:uid="{1D531ABE-F0C3-453B-907E-1BE919A52F6A}"/>
    <cellStyle name="Normal 4 3 2 2 2 6 3 3" xfId="22880" xr:uid="{945B93E1-DCC2-404A-A8C9-9277A2B997E5}"/>
    <cellStyle name="Normal 4 3 2 2 2 6 3 4" xfId="31327" xr:uid="{332FF4E3-FFAC-4AA0-A690-2D5CBDD7D58C}"/>
    <cellStyle name="Normal 4 3 2 2 2 6 4" xfId="10215" xr:uid="{A9C0326D-DBEF-4707-BB81-AE36D267C0F1}"/>
    <cellStyle name="Normal 4 3 2 2 2 6 5" xfId="18663" xr:uid="{A7004CD7-DA71-4291-B2B5-067933873919}"/>
    <cellStyle name="Normal 4 3 2 2 2 6 6" xfId="27110" xr:uid="{486EB0D4-2B79-47BF-AE26-C844AFD3D01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9CD4CA80-0817-4465-873D-6CC9ABE2ECF8}"/>
    <cellStyle name="Normal 4 3 2 2 2 7 2 2 3" xfId="25438" xr:uid="{C4E9BF27-B703-4C17-9883-0EA0681EDB00}"/>
    <cellStyle name="Normal 4 3 2 2 2 7 2 2 4" xfId="33885" xr:uid="{105E8F9B-7FB9-4234-8885-D4569FC38051}"/>
    <cellStyle name="Normal 4 3 2 2 2 7 2 3" xfId="12773" xr:uid="{01912F17-382C-4D37-A070-7B015B46139F}"/>
    <cellStyle name="Normal 4 3 2 2 2 7 2 4" xfId="21221" xr:uid="{E47AEC46-0810-4C32-B5A8-17D47CBAEAFB}"/>
    <cellStyle name="Normal 4 3 2 2 2 7 2 5" xfId="29668" xr:uid="{99EBF056-4804-4C22-BB67-CF5061AABF01}"/>
    <cellStyle name="Normal 4 3 2 2 2 7 3" xfId="6396" xr:uid="{00000000-0005-0000-0000-000056140000}"/>
    <cellStyle name="Normal 4 3 2 2 2 7 3 2" xfId="14846" xr:uid="{24579F4F-20DA-4B7C-9121-FFFC1C9EA694}"/>
    <cellStyle name="Normal 4 3 2 2 2 7 3 3" xfId="23293" xr:uid="{17B874C2-19B4-45B5-808A-3BAE52743826}"/>
    <cellStyle name="Normal 4 3 2 2 2 7 3 4" xfId="31740" xr:uid="{A1C8CC74-680F-448C-9B26-1AA756BBBA7D}"/>
    <cellStyle name="Normal 4 3 2 2 2 7 4" xfId="10628" xr:uid="{CE70CF68-4505-4A74-B161-641DC7691EBE}"/>
    <cellStyle name="Normal 4 3 2 2 2 7 5" xfId="19076" xr:uid="{75D42080-560C-4E7A-99FB-02262DC07B4F}"/>
    <cellStyle name="Normal 4 3 2 2 2 7 6" xfId="27523" xr:uid="{5CCC0972-4E3E-41DB-8047-89C0D0B0BE25}"/>
    <cellStyle name="Normal 4 3 2 2 2 8" xfId="2526" xr:uid="{00000000-0005-0000-0000-000057140000}"/>
    <cellStyle name="Normal 4 3 2 2 2 8 2" xfId="6809" xr:uid="{00000000-0005-0000-0000-000058140000}"/>
    <cellStyle name="Normal 4 3 2 2 2 8 2 2" xfId="15259" xr:uid="{78E524F1-B793-43AC-8055-D77B499025A2}"/>
    <cellStyle name="Normal 4 3 2 2 2 8 2 3" xfId="23706" xr:uid="{3C739235-2898-4C0F-817D-DFDA084F6DF8}"/>
    <cellStyle name="Normal 4 3 2 2 2 8 2 4" xfId="32153" xr:uid="{BB0C6A83-BF91-4526-BCA6-CAD2159A717F}"/>
    <cellStyle name="Normal 4 3 2 2 2 8 3" xfId="11041" xr:uid="{396CA767-A2B7-47B8-A8C7-09E278613CBA}"/>
    <cellStyle name="Normal 4 3 2 2 2 8 4" xfId="19489" xr:uid="{5063C83E-7CDE-4165-BD0C-E46EBD7A4160}"/>
    <cellStyle name="Normal 4 3 2 2 2 8 5" xfId="27936" xr:uid="{CDD62623-2B79-4C34-9A0B-6DA00045CC4F}"/>
    <cellStyle name="Normal 4 3 2 2 2 9" xfId="4744" xr:uid="{00000000-0005-0000-0000-000059140000}"/>
    <cellStyle name="Normal 4 3 2 2 2 9 2" xfId="13194" xr:uid="{063C3F1F-FCCD-4FC4-BF89-5351FA8088BF}"/>
    <cellStyle name="Normal 4 3 2 2 2 9 3" xfId="21641" xr:uid="{A80A2BDB-535E-4A94-B981-5E8F5D870736}"/>
    <cellStyle name="Normal 4 3 2 2 2 9 4" xfId="30088" xr:uid="{10CA99A3-49C5-491A-B192-0BE03C9E548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5322DE63-8FF3-409B-A9BD-322553153E1F}"/>
    <cellStyle name="Normal 4 3 3 11" xfId="17428" xr:uid="{019371F2-EBA2-4017-B202-9A7AE308739D}"/>
    <cellStyle name="Normal 4 3 3 12" xfId="25875" xr:uid="{E9852044-A47A-4118-9F75-A1046DF2EDDB}"/>
    <cellStyle name="Normal 4 3 3 2" xfId="375" xr:uid="{00000000-0005-0000-0000-00005E140000}"/>
    <cellStyle name="Normal 4 3 3 2 10" xfId="17429" xr:uid="{AF9D8DEB-48FC-450A-9410-5351E28A60AD}"/>
    <cellStyle name="Normal 4 3 3 2 11" xfId="25876" xr:uid="{BD2833E8-4A40-490D-BED1-43F98CE13D01}"/>
    <cellStyle name="Normal 4 3 3 2 2" xfId="376" xr:uid="{00000000-0005-0000-0000-00005F140000}"/>
    <cellStyle name="Normal 4 3 3 2 2 10" xfId="25877" xr:uid="{FBB74FFB-2740-4877-8625-2E07E50ADC73}"/>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82DD860B-C116-412F-98DB-4D1C499312AB}"/>
    <cellStyle name="Normal 4 3 3 2 2 2 2 2 3" xfId="24205" xr:uid="{5F212C01-D460-4BB3-84B9-4AD5895387A1}"/>
    <cellStyle name="Normal 4 3 3 2 2 2 2 2 4" xfId="32652" xr:uid="{5F41ECA4-0D9C-4F83-ADFB-3556F8D0022B}"/>
    <cellStyle name="Normal 4 3 3 2 2 2 2 3" xfId="11540" xr:uid="{1D39BFBA-78A3-4A0A-AD6F-A27A1DF2A3A2}"/>
    <cellStyle name="Normal 4 3 3 2 2 2 2 4" xfId="19988" xr:uid="{08F4BA50-DB68-46F9-AB83-21101E4991C0}"/>
    <cellStyle name="Normal 4 3 3 2 2 2 2 5" xfId="28435" xr:uid="{086846B6-22EF-42BF-9056-468C69AD40A4}"/>
    <cellStyle name="Normal 4 3 3 2 2 2 3" xfId="5163" xr:uid="{00000000-0005-0000-0000-000063140000}"/>
    <cellStyle name="Normal 4 3 3 2 2 2 3 2" xfId="13613" xr:uid="{9773EB65-702B-41E0-A239-9A0144D8D2FD}"/>
    <cellStyle name="Normal 4 3 3 2 2 2 3 3" xfId="22060" xr:uid="{0D82B482-1BBE-45C3-AB28-84E0F6DD4E33}"/>
    <cellStyle name="Normal 4 3 3 2 2 2 3 4" xfId="30507" xr:uid="{59908003-5B30-4B2A-946A-13CCB1887835}"/>
    <cellStyle name="Normal 4 3 3 2 2 2 4" xfId="9395" xr:uid="{B78BD3C2-5032-4636-BE21-F6CD939F23D3}"/>
    <cellStyle name="Normal 4 3 3 2 2 2 5" xfId="17843" xr:uid="{58DD3E29-ECE1-42E6-9EA1-70A9BCA07102}"/>
    <cellStyle name="Normal 4 3 3 2 2 2 6" xfId="26290" xr:uid="{DB3BBBBB-962E-4C64-96FB-4AFDDCFEFF0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07AE77B3-082C-433C-B05A-D7A66BE27978}"/>
    <cellStyle name="Normal 4 3 3 2 2 3 2 2 3" xfId="24618" xr:uid="{204EF318-393C-488C-95FF-4FEC536C6CA1}"/>
    <cellStyle name="Normal 4 3 3 2 2 3 2 2 4" xfId="33065" xr:uid="{CEDA4AA7-3085-4AE1-8F14-FAFD9B04579F}"/>
    <cellStyle name="Normal 4 3 3 2 2 3 2 3" xfId="11953" xr:uid="{3634CA24-902E-4A79-936C-6E383E962DA2}"/>
    <cellStyle name="Normal 4 3 3 2 2 3 2 4" xfId="20401" xr:uid="{C530FD60-8597-4CC0-9750-A10CA7E00FAD}"/>
    <cellStyle name="Normal 4 3 3 2 2 3 2 5" xfId="28848" xr:uid="{1408C5C9-7C3A-4F01-9C5E-B140BAE7FCF7}"/>
    <cellStyle name="Normal 4 3 3 2 2 3 3" xfId="5576" xr:uid="{00000000-0005-0000-0000-000067140000}"/>
    <cellStyle name="Normal 4 3 3 2 2 3 3 2" xfId="14026" xr:uid="{0A73FD2B-F0F2-4540-9EB2-05F4A9722623}"/>
    <cellStyle name="Normal 4 3 3 2 2 3 3 3" xfId="22473" xr:uid="{EED93048-7691-4B75-A2B1-92E29812573E}"/>
    <cellStyle name="Normal 4 3 3 2 2 3 3 4" xfId="30920" xr:uid="{EEDFCCA9-634E-4360-AC78-29471D962899}"/>
    <cellStyle name="Normal 4 3 3 2 2 3 4" xfId="9808" xr:uid="{17203CA6-AB65-42D6-AF33-AC7E7BCA90C8}"/>
    <cellStyle name="Normal 4 3 3 2 2 3 5" xfId="18256" xr:uid="{4A33B12D-0040-4EAC-A3D8-10D7163E298A}"/>
    <cellStyle name="Normal 4 3 3 2 2 3 6" xfId="26703" xr:uid="{A42AF409-BC39-40AF-8E19-6806BDD6AC16}"/>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BEB0CCD2-268A-47B3-B632-6942C9B3E5E2}"/>
    <cellStyle name="Normal 4 3 3 2 2 4 2 2 3" xfId="25031" xr:uid="{0F247F44-3729-4F13-BF48-70EECEC3FAE2}"/>
    <cellStyle name="Normal 4 3 3 2 2 4 2 2 4" xfId="33478" xr:uid="{C90AEB5B-34DE-4780-A78E-0980BEABFA63}"/>
    <cellStyle name="Normal 4 3 3 2 2 4 2 3" xfId="12366" xr:uid="{7EBC55E9-EBB2-4E15-9908-0BDF8940D0D6}"/>
    <cellStyle name="Normal 4 3 3 2 2 4 2 4" xfId="20814" xr:uid="{F46CD65F-E00C-4250-8EDA-AEF921A5B2D4}"/>
    <cellStyle name="Normal 4 3 3 2 2 4 2 5" xfId="29261" xr:uid="{A34BC505-5BA1-427F-AFA2-67131268AD48}"/>
    <cellStyle name="Normal 4 3 3 2 2 4 3" xfId="5989" xr:uid="{00000000-0005-0000-0000-00006B140000}"/>
    <cellStyle name="Normal 4 3 3 2 2 4 3 2" xfId="14439" xr:uid="{F4630790-425B-432D-8668-AB0FED178722}"/>
    <cellStyle name="Normal 4 3 3 2 2 4 3 3" xfId="22886" xr:uid="{5B11B7C4-2E99-4F62-B84C-C853F6D9EE4B}"/>
    <cellStyle name="Normal 4 3 3 2 2 4 3 4" xfId="31333" xr:uid="{71C3C344-A818-42DB-91DB-46F1E8175686}"/>
    <cellStyle name="Normal 4 3 3 2 2 4 4" xfId="10221" xr:uid="{8E2F7485-7953-4147-8836-7CFC15783B13}"/>
    <cellStyle name="Normal 4 3 3 2 2 4 5" xfId="18669" xr:uid="{0899AB1F-4AD2-41AD-85DB-842B9F575EE0}"/>
    <cellStyle name="Normal 4 3 3 2 2 4 6" xfId="27116" xr:uid="{1C7EA82D-C133-4B86-9103-05BA68E295A6}"/>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99199937-C423-4418-A77E-FFBDCCE3C849}"/>
    <cellStyle name="Normal 4 3 3 2 2 5 2 2 3" xfId="25444" xr:uid="{3218D55B-A50E-4B35-8159-4AE63055446C}"/>
    <cellStyle name="Normal 4 3 3 2 2 5 2 2 4" xfId="33891" xr:uid="{E17626C5-C3BD-4F95-9E93-D7AEB06F39A6}"/>
    <cellStyle name="Normal 4 3 3 2 2 5 2 3" xfId="12779" xr:uid="{DA12003D-D9BD-43DE-8873-31480F1B7537}"/>
    <cellStyle name="Normal 4 3 3 2 2 5 2 4" xfId="21227" xr:uid="{45E6EFBF-4D7D-419B-A4C7-03DE2D5CB1E1}"/>
    <cellStyle name="Normal 4 3 3 2 2 5 2 5" xfId="29674" xr:uid="{B7EB27EE-CFD4-4DA8-83CA-6854E5F8EDEA}"/>
    <cellStyle name="Normal 4 3 3 2 2 5 3" xfId="6402" xr:uid="{00000000-0005-0000-0000-00006F140000}"/>
    <cellStyle name="Normal 4 3 3 2 2 5 3 2" xfId="14852" xr:uid="{321E370A-2C3D-4B1A-9076-621D15B500ED}"/>
    <cellStyle name="Normal 4 3 3 2 2 5 3 3" xfId="23299" xr:uid="{475F1BDE-FA17-4883-AE92-0FA69927B7FD}"/>
    <cellStyle name="Normal 4 3 3 2 2 5 3 4" xfId="31746" xr:uid="{9A2B04B1-30AA-4949-83CB-AF1916519EE1}"/>
    <cellStyle name="Normal 4 3 3 2 2 5 4" xfId="10634" xr:uid="{1C7B3F9A-C296-4ED1-89A4-384CFA854B41}"/>
    <cellStyle name="Normal 4 3 3 2 2 5 5" xfId="19082" xr:uid="{1761374B-FB1F-44C8-B2CB-054FE3C91CD4}"/>
    <cellStyle name="Normal 4 3 3 2 2 5 6" xfId="27529" xr:uid="{427F6F15-B7AD-4170-A9B1-D9AE72FA684A}"/>
    <cellStyle name="Normal 4 3 3 2 2 6" xfId="2532" xr:uid="{00000000-0005-0000-0000-000070140000}"/>
    <cellStyle name="Normal 4 3 3 2 2 6 2" xfId="6815" xr:uid="{00000000-0005-0000-0000-000071140000}"/>
    <cellStyle name="Normal 4 3 3 2 2 6 2 2" xfId="15265" xr:uid="{4A19671D-7292-4C83-BDC8-1C7DE7611B77}"/>
    <cellStyle name="Normal 4 3 3 2 2 6 2 3" xfId="23712" xr:uid="{233EC4F6-6D3D-45B7-931F-FEB58F2A2B10}"/>
    <cellStyle name="Normal 4 3 3 2 2 6 2 4" xfId="32159" xr:uid="{D7986A38-C017-4663-BA43-8E078D3C8C82}"/>
    <cellStyle name="Normal 4 3 3 2 2 6 3" xfId="11047" xr:uid="{714B0827-4BE6-49C2-A1F5-252DC105858D}"/>
    <cellStyle name="Normal 4 3 3 2 2 6 4" xfId="19495" xr:uid="{FCEFAF70-056C-401C-A419-71D986860BAB}"/>
    <cellStyle name="Normal 4 3 3 2 2 6 5" xfId="27942" xr:uid="{8DA8B03A-015B-4A4C-82A7-9C6004B885E1}"/>
    <cellStyle name="Normal 4 3 3 2 2 7" xfId="4750" xr:uid="{00000000-0005-0000-0000-000072140000}"/>
    <cellStyle name="Normal 4 3 3 2 2 7 2" xfId="13200" xr:uid="{CDA9CA49-C14E-4EF8-BB39-F1D4B5494D30}"/>
    <cellStyle name="Normal 4 3 3 2 2 7 3" xfId="21647" xr:uid="{E3B091AF-5F2A-4B97-AA1B-64AC060632FC}"/>
    <cellStyle name="Normal 4 3 3 2 2 7 4" xfId="30094" xr:uid="{3F35E897-A099-4536-B7D8-76A03C80DFF9}"/>
    <cellStyle name="Normal 4 3 3 2 2 8" xfId="8982" xr:uid="{CD8F62FC-6AC8-4DA4-B792-8845F093BA27}"/>
    <cellStyle name="Normal 4 3 3 2 2 9" xfId="17430" xr:uid="{6240D16B-CA5C-477F-9A50-6447136AE510}"/>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3B764521-BC58-413C-AD02-CF8975C180E5}"/>
    <cellStyle name="Normal 4 3 3 2 3 2 2 3" xfId="24204" xr:uid="{C7BD5079-183B-4A87-ADF2-C3D241EF47AC}"/>
    <cellStyle name="Normal 4 3 3 2 3 2 2 4" xfId="32651" xr:uid="{42B37FF4-3CFA-4B7B-87F2-F544C07C35DE}"/>
    <cellStyle name="Normal 4 3 3 2 3 2 3" xfId="11539" xr:uid="{931827F7-56EC-4C9F-B668-01FD52635518}"/>
    <cellStyle name="Normal 4 3 3 2 3 2 4" xfId="19987" xr:uid="{01CF2DC5-B484-47DB-9825-F67D4060D9C5}"/>
    <cellStyle name="Normal 4 3 3 2 3 2 5" xfId="28434" xr:uid="{D6E3B52C-E9D4-43C0-8E22-3C8A3FE104C9}"/>
    <cellStyle name="Normal 4 3 3 2 3 3" xfId="5162" xr:uid="{00000000-0005-0000-0000-000076140000}"/>
    <cellStyle name="Normal 4 3 3 2 3 3 2" xfId="13612" xr:uid="{3F6444AC-9CD0-429F-B5EC-2DEF5EE40F26}"/>
    <cellStyle name="Normal 4 3 3 2 3 3 3" xfId="22059" xr:uid="{C3752B24-726D-4E4B-9A3E-930D83FB632F}"/>
    <cellStyle name="Normal 4 3 3 2 3 3 4" xfId="30506" xr:uid="{C71E89E3-E38C-4ED9-9C68-7E8BDE3396BF}"/>
    <cellStyle name="Normal 4 3 3 2 3 4" xfId="9394" xr:uid="{72CDF957-8D33-441C-A715-A4F0DAF15D29}"/>
    <cellStyle name="Normal 4 3 3 2 3 5" xfId="17842" xr:uid="{86730932-BDAC-4E87-91F4-B7002E4152E9}"/>
    <cellStyle name="Normal 4 3 3 2 3 6" xfId="26289" xr:uid="{43832F8A-362D-4533-8A54-3BD612F9E08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2D0FD322-9984-4871-B10D-DE30D7149B02}"/>
    <cellStyle name="Normal 4 3 3 2 4 2 2 3" xfId="24617" xr:uid="{B9DACCE8-7F52-4160-A23F-A66D87B635E7}"/>
    <cellStyle name="Normal 4 3 3 2 4 2 2 4" xfId="33064" xr:uid="{14D30920-131C-4195-91C7-C3B02281CEF7}"/>
    <cellStyle name="Normal 4 3 3 2 4 2 3" xfId="11952" xr:uid="{3CDF1643-7227-45E8-B010-59FB044F5BB1}"/>
    <cellStyle name="Normal 4 3 3 2 4 2 4" xfId="20400" xr:uid="{14BE411E-F5B2-4E67-81EC-C511E7EF3EA2}"/>
    <cellStyle name="Normal 4 3 3 2 4 2 5" xfId="28847" xr:uid="{7C416828-1AEE-4E4B-B779-B7E3B7D8CFF3}"/>
    <cellStyle name="Normal 4 3 3 2 4 3" xfId="5575" xr:uid="{00000000-0005-0000-0000-00007A140000}"/>
    <cellStyle name="Normal 4 3 3 2 4 3 2" xfId="14025" xr:uid="{F3B77FB2-B1CC-4C64-8D8A-E147DA35B7C4}"/>
    <cellStyle name="Normal 4 3 3 2 4 3 3" xfId="22472" xr:uid="{C75AC184-29B4-471D-BAA2-3D6EEE986D31}"/>
    <cellStyle name="Normal 4 3 3 2 4 3 4" xfId="30919" xr:uid="{48F966F3-50D8-48E7-98E2-6F7C38295E33}"/>
    <cellStyle name="Normal 4 3 3 2 4 4" xfId="9807" xr:uid="{46D158DF-FAA8-4108-BF14-8C523C93F72C}"/>
    <cellStyle name="Normal 4 3 3 2 4 5" xfId="18255" xr:uid="{1E9BB9FB-AA4B-4BFD-814C-98D21AD071DA}"/>
    <cellStyle name="Normal 4 3 3 2 4 6" xfId="26702" xr:uid="{AC892734-2338-4B0B-8344-8491F3E7F3A6}"/>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DE8A4472-F74D-48A7-BADC-836F6A152E8E}"/>
    <cellStyle name="Normal 4 3 3 2 5 2 2 3" xfId="25030" xr:uid="{BB0EAA56-A509-4D1E-9810-68F6C134A9DC}"/>
    <cellStyle name="Normal 4 3 3 2 5 2 2 4" xfId="33477" xr:uid="{E9198A07-B9C2-43FD-B755-20F47DA62F81}"/>
    <cellStyle name="Normal 4 3 3 2 5 2 3" xfId="12365" xr:uid="{2D07D630-9B62-4308-942A-731130BCA6C9}"/>
    <cellStyle name="Normal 4 3 3 2 5 2 4" xfId="20813" xr:uid="{57AC4B7F-B469-4F1A-81A3-3B1C0861E1AE}"/>
    <cellStyle name="Normal 4 3 3 2 5 2 5" xfId="29260" xr:uid="{8615738D-1119-413F-96B8-9BCC2CAE42BD}"/>
    <cellStyle name="Normal 4 3 3 2 5 3" xfId="5988" xr:uid="{00000000-0005-0000-0000-00007E140000}"/>
    <cellStyle name="Normal 4 3 3 2 5 3 2" xfId="14438" xr:uid="{BFEBBA79-BAFA-4ECC-B1F6-81C8112179BA}"/>
    <cellStyle name="Normal 4 3 3 2 5 3 3" xfId="22885" xr:uid="{05B8FCBF-62F2-4A49-9AFC-49A4FAEF7205}"/>
    <cellStyle name="Normal 4 3 3 2 5 3 4" xfId="31332" xr:uid="{B72D74DD-64EE-4F18-9B79-1A8C00BA928E}"/>
    <cellStyle name="Normal 4 3 3 2 5 4" xfId="10220" xr:uid="{0739DBA1-F877-4B85-9EDB-330D7FEF6FC7}"/>
    <cellStyle name="Normal 4 3 3 2 5 5" xfId="18668" xr:uid="{E977B60A-DEE4-422F-9A12-AC1E7AEF4123}"/>
    <cellStyle name="Normal 4 3 3 2 5 6" xfId="27115" xr:uid="{E20DA260-324A-438F-ABA9-0D9357365A31}"/>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40AE60D8-FD42-4708-91BE-5A770EA4104D}"/>
    <cellStyle name="Normal 4 3 3 2 6 2 2 3" xfId="25443" xr:uid="{F75CD157-403C-4A59-AB5B-A3A6F90240CC}"/>
    <cellStyle name="Normal 4 3 3 2 6 2 2 4" xfId="33890" xr:uid="{4C14F10D-0AC0-439C-8ABF-CA4F1AD21A96}"/>
    <cellStyle name="Normal 4 3 3 2 6 2 3" xfId="12778" xr:uid="{ED74CECA-68A0-4B8C-8745-239E84092554}"/>
    <cellStyle name="Normal 4 3 3 2 6 2 4" xfId="21226" xr:uid="{49E30128-BC03-48C7-9CA1-7D1C376B34E2}"/>
    <cellStyle name="Normal 4 3 3 2 6 2 5" xfId="29673" xr:uid="{5B818279-8C94-4415-9DE4-0F0781FA0E38}"/>
    <cellStyle name="Normal 4 3 3 2 6 3" xfId="6401" xr:uid="{00000000-0005-0000-0000-000082140000}"/>
    <cellStyle name="Normal 4 3 3 2 6 3 2" xfId="14851" xr:uid="{DE23C528-FBF1-41FE-B82B-2BD81CC9B0F9}"/>
    <cellStyle name="Normal 4 3 3 2 6 3 3" xfId="23298" xr:uid="{542617B3-1D6B-4391-BC18-FF1039A07CA5}"/>
    <cellStyle name="Normal 4 3 3 2 6 3 4" xfId="31745" xr:uid="{5D01F1CB-219E-4E06-846F-BC5320E03498}"/>
    <cellStyle name="Normal 4 3 3 2 6 4" xfId="10633" xr:uid="{9B3DCF6D-C136-4491-AAB8-6342546F21E1}"/>
    <cellStyle name="Normal 4 3 3 2 6 5" xfId="19081" xr:uid="{A0B00F9A-3B73-467A-B0FC-81590E72BA91}"/>
    <cellStyle name="Normal 4 3 3 2 6 6" xfId="27528" xr:uid="{7CE17203-F979-4C56-9D75-D1E16DD15AB6}"/>
    <cellStyle name="Normal 4 3 3 2 7" xfId="2531" xr:uid="{00000000-0005-0000-0000-000083140000}"/>
    <cellStyle name="Normal 4 3 3 2 7 2" xfId="6814" xr:uid="{00000000-0005-0000-0000-000084140000}"/>
    <cellStyle name="Normal 4 3 3 2 7 2 2" xfId="15264" xr:uid="{F842DF6B-C99D-45D8-9755-B9B196D60F42}"/>
    <cellStyle name="Normal 4 3 3 2 7 2 3" xfId="23711" xr:uid="{680F243B-4F72-4928-AF97-4F5D9EE9DDD0}"/>
    <cellStyle name="Normal 4 3 3 2 7 2 4" xfId="32158" xr:uid="{F2EAACE6-6733-47D5-B558-AE383EDE1302}"/>
    <cellStyle name="Normal 4 3 3 2 7 3" xfId="11046" xr:uid="{44AAE1C4-3DC6-4248-9175-B1CBA532C752}"/>
    <cellStyle name="Normal 4 3 3 2 7 4" xfId="19494" xr:uid="{900470D6-3082-4D40-A241-8E69793B7D34}"/>
    <cellStyle name="Normal 4 3 3 2 7 5" xfId="27941" xr:uid="{249E8EBD-7198-49AA-959D-BF09BDB2587D}"/>
    <cellStyle name="Normal 4 3 3 2 8" xfId="4749" xr:uid="{00000000-0005-0000-0000-000085140000}"/>
    <cellStyle name="Normal 4 3 3 2 8 2" xfId="13199" xr:uid="{1725DA75-174E-415C-B36D-E4D1AA0023EF}"/>
    <cellStyle name="Normal 4 3 3 2 8 3" xfId="21646" xr:uid="{90D54848-475C-4D53-A66B-0CFD06DA5AE1}"/>
    <cellStyle name="Normal 4 3 3 2 8 4" xfId="30093" xr:uid="{853C3933-DECC-4D6A-91F4-A11254E4C279}"/>
    <cellStyle name="Normal 4 3 3 2 9" xfId="8981" xr:uid="{E2DE6D78-FAF9-4707-A88B-F56C7FD3C355}"/>
    <cellStyle name="Normal 4 3 3 3" xfId="377" xr:uid="{00000000-0005-0000-0000-000086140000}"/>
    <cellStyle name="Normal 4 3 3 3 10" xfId="25878" xr:uid="{F2B19FAC-3E1F-484D-B5A9-47C325E984AE}"/>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3F852698-F686-40B3-A0B6-EF23A7708385}"/>
    <cellStyle name="Normal 4 3 3 3 2 2 2 3" xfId="24206" xr:uid="{73659EB1-81C0-418F-AE5A-09A007721321}"/>
    <cellStyle name="Normal 4 3 3 3 2 2 2 4" xfId="32653" xr:uid="{8A82C73E-9926-4711-BD6F-6B44F4D7A5F7}"/>
    <cellStyle name="Normal 4 3 3 3 2 2 3" xfId="11541" xr:uid="{36133BBD-4746-42FF-A4EC-0AE8A799774D}"/>
    <cellStyle name="Normal 4 3 3 3 2 2 4" xfId="19989" xr:uid="{BA5565B2-B478-43DE-BE53-43A48141FB4B}"/>
    <cellStyle name="Normal 4 3 3 3 2 2 5" xfId="28436" xr:uid="{6B35F2FE-599D-4AFE-A5AE-D3803CFE5DDA}"/>
    <cellStyle name="Normal 4 3 3 3 2 3" xfId="5164" xr:uid="{00000000-0005-0000-0000-00008A140000}"/>
    <cellStyle name="Normal 4 3 3 3 2 3 2" xfId="13614" xr:uid="{3B2F112A-A2DD-47B9-A507-952BB25F28AF}"/>
    <cellStyle name="Normal 4 3 3 3 2 3 3" xfId="22061" xr:uid="{EB427A80-BBE9-4160-B68F-D764029B6AC1}"/>
    <cellStyle name="Normal 4 3 3 3 2 3 4" xfId="30508" xr:uid="{89086BEF-B6C5-42A8-B96B-4CAE452617C8}"/>
    <cellStyle name="Normal 4 3 3 3 2 4" xfId="9396" xr:uid="{FDAF3650-3808-4963-BE4D-E2F480B490A4}"/>
    <cellStyle name="Normal 4 3 3 3 2 5" xfId="17844" xr:uid="{AD72AB32-618A-43B4-A845-D12A084D6C93}"/>
    <cellStyle name="Normal 4 3 3 3 2 6" xfId="26291" xr:uid="{2863482B-49D1-44AC-9179-8C358A5985D0}"/>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45A88F25-EA2D-4CF5-B79E-A483EAECFDC7}"/>
    <cellStyle name="Normal 4 3 3 3 3 2 2 3" xfId="24619" xr:uid="{C1E2FE6B-FFD3-45A0-ABEA-5045D0A20AB0}"/>
    <cellStyle name="Normal 4 3 3 3 3 2 2 4" xfId="33066" xr:uid="{2FECA9BF-45D6-44F7-B163-4256D9AF39A0}"/>
    <cellStyle name="Normal 4 3 3 3 3 2 3" xfId="11954" xr:uid="{99C65583-BC85-4A47-B76E-E74245C42883}"/>
    <cellStyle name="Normal 4 3 3 3 3 2 4" xfId="20402" xr:uid="{DD73FDEE-5D34-497C-8D1A-E1DE60ED5E50}"/>
    <cellStyle name="Normal 4 3 3 3 3 2 5" xfId="28849" xr:uid="{E11A798A-158C-4579-A5D9-8676D7DBDA27}"/>
    <cellStyle name="Normal 4 3 3 3 3 3" xfId="5577" xr:uid="{00000000-0005-0000-0000-00008E140000}"/>
    <cellStyle name="Normal 4 3 3 3 3 3 2" xfId="14027" xr:uid="{CE26E282-9DD3-4B46-A447-027AC1AE974B}"/>
    <cellStyle name="Normal 4 3 3 3 3 3 3" xfId="22474" xr:uid="{511A6FD5-ABDB-4B93-9031-33E551A6C82A}"/>
    <cellStyle name="Normal 4 3 3 3 3 3 4" xfId="30921" xr:uid="{8A897761-D664-4F58-94B0-D55D2DFFE4CA}"/>
    <cellStyle name="Normal 4 3 3 3 3 4" xfId="9809" xr:uid="{07251629-EE36-49A5-824B-740247C73F67}"/>
    <cellStyle name="Normal 4 3 3 3 3 5" xfId="18257" xr:uid="{5F9E2D5E-4065-4B8E-B61F-8143523B2C4A}"/>
    <cellStyle name="Normal 4 3 3 3 3 6" xfId="26704" xr:uid="{F7E0B7B5-302B-470E-A889-C1EC687F7D6D}"/>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D637FD06-1948-4734-B55A-4753AEB6215A}"/>
    <cellStyle name="Normal 4 3 3 3 4 2 2 3" xfId="25032" xr:uid="{D3EE97B2-E371-4501-9BDD-F3B22003950F}"/>
    <cellStyle name="Normal 4 3 3 3 4 2 2 4" xfId="33479" xr:uid="{8AB9A885-E917-41B2-8342-3C9D367ABEC9}"/>
    <cellStyle name="Normal 4 3 3 3 4 2 3" xfId="12367" xr:uid="{9ED25396-89C8-4A77-811D-3A097918449A}"/>
    <cellStyle name="Normal 4 3 3 3 4 2 4" xfId="20815" xr:uid="{257D3485-4259-4F96-AA59-59107B35CF8A}"/>
    <cellStyle name="Normal 4 3 3 3 4 2 5" xfId="29262" xr:uid="{B144C9F9-ADB0-4205-8D67-C444945FFBF2}"/>
    <cellStyle name="Normal 4 3 3 3 4 3" xfId="5990" xr:uid="{00000000-0005-0000-0000-000092140000}"/>
    <cellStyle name="Normal 4 3 3 3 4 3 2" xfId="14440" xr:uid="{4135D9AA-6747-40B4-A1F9-33C641A84EE8}"/>
    <cellStyle name="Normal 4 3 3 3 4 3 3" xfId="22887" xr:uid="{F6851D0F-984D-45C5-AC0E-33697C7A9BFE}"/>
    <cellStyle name="Normal 4 3 3 3 4 3 4" xfId="31334" xr:uid="{1427EB60-1ABB-43C8-9388-59BD0599CE03}"/>
    <cellStyle name="Normal 4 3 3 3 4 4" xfId="10222" xr:uid="{EDAF1B01-91CE-4BEB-AD94-5F4F72D24008}"/>
    <cellStyle name="Normal 4 3 3 3 4 5" xfId="18670" xr:uid="{5B5CAD87-6329-4F85-8CDD-EE9CED7B390D}"/>
    <cellStyle name="Normal 4 3 3 3 4 6" xfId="27117" xr:uid="{8E412AAF-83F9-48A6-AC46-71BE36A5B781}"/>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788E9869-2FC8-4DDF-8C73-F7F51972BCCE}"/>
    <cellStyle name="Normal 4 3 3 3 5 2 2 3" xfId="25445" xr:uid="{B8BD819F-A1F3-4602-9F83-CFED735E702F}"/>
    <cellStyle name="Normal 4 3 3 3 5 2 2 4" xfId="33892" xr:uid="{F7952E4D-FED5-433A-BD55-239AB6C8C93A}"/>
    <cellStyle name="Normal 4 3 3 3 5 2 3" xfId="12780" xr:uid="{6A8F460F-BA25-4B6E-AE80-BFD2DD246CDD}"/>
    <cellStyle name="Normal 4 3 3 3 5 2 4" xfId="21228" xr:uid="{CF5C7208-831C-4EFF-A157-684A035E69A6}"/>
    <cellStyle name="Normal 4 3 3 3 5 2 5" xfId="29675" xr:uid="{D4B506D5-A4C1-40C3-8387-5EFED64ABC79}"/>
    <cellStyle name="Normal 4 3 3 3 5 3" xfId="6403" xr:uid="{00000000-0005-0000-0000-000096140000}"/>
    <cellStyle name="Normal 4 3 3 3 5 3 2" xfId="14853" xr:uid="{701329E6-0CB9-4AD3-AF1C-459A7D7C7513}"/>
    <cellStyle name="Normal 4 3 3 3 5 3 3" xfId="23300" xr:uid="{38BDB7E7-E77D-4309-90DB-C26B7BAC0E47}"/>
    <cellStyle name="Normal 4 3 3 3 5 3 4" xfId="31747" xr:uid="{A9A2D215-40FE-4763-ABB5-33DF9E84B0F1}"/>
    <cellStyle name="Normal 4 3 3 3 5 4" xfId="10635" xr:uid="{5C7AA46B-E9A0-4092-BDF0-3AC60876EDE0}"/>
    <cellStyle name="Normal 4 3 3 3 5 5" xfId="19083" xr:uid="{6FFBA991-0EAB-49FD-A1E9-222EBD797A3E}"/>
    <cellStyle name="Normal 4 3 3 3 5 6" xfId="27530" xr:uid="{E88364F6-F471-4DD6-B108-CFAE06C94307}"/>
    <cellStyle name="Normal 4 3 3 3 6" xfId="2533" xr:uid="{00000000-0005-0000-0000-000097140000}"/>
    <cellStyle name="Normal 4 3 3 3 6 2" xfId="6816" xr:uid="{00000000-0005-0000-0000-000098140000}"/>
    <cellStyle name="Normal 4 3 3 3 6 2 2" xfId="15266" xr:uid="{42CB4804-0FD4-4F24-8855-C3174C5217D8}"/>
    <cellStyle name="Normal 4 3 3 3 6 2 3" xfId="23713" xr:uid="{6D4D48F2-B9FC-4ACA-BD56-10AF475A428A}"/>
    <cellStyle name="Normal 4 3 3 3 6 2 4" xfId="32160" xr:uid="{42C687F5-0C23-4E2A-8FD4-73938946F2C9}"/>
    <cellStyle name="Normal 4 3 3 3 6 3" xfId="11048" xr:uid="{5410A865-79E3-4245-AFB5-28C30B2D4337}"/>
    <cellStyle name="Normal 4 3 3 3 6 4" xfId="19496" xr:uid="{4C494206-CF02-474A-8B12-77556C766CDC}"/>
    <cellStyle name="Normal 4 3 3 3 6 5" xfId="27943" xr:uid="{F1E01FE0-D65A-4972-8ACE-EC41F645F65D}"/>
    <cellStyle name="Normal 4 3 3 3 7" xfId="4751" xr:uid="{00000000-0005-0000-0000-000099140000}"/>
    <cellStyle name="Normal 4 3 3 3 7 2" xfId="13201" xr:uid="{32866D07-F42F-414F-95DA-1952EC5CFD16}"/>
    <cellStyle name="Normal 4 3 3 3 7 3" xfId="21648" xr:uid="{1AA3ABC6-5A74-44A7-9129-6992EBE82AFF}"/>
    <cellStyle name="Normal 4 3 3 3 7 4" xfId="30095" xr:uid="{FD7A486A-DDD5-41B9-9429-335271BD505B}"/>
    <cellStyle name="Normal 4 3 3 3 8" xfId="8983" xr:uid="{2DE6C2B7-25A3-43F0-801D-19A48CAD504B}"/>
    <cellStyle name="Normal 4 3 3 3 9" xfId="17431" xr:uid="{C826F990-B866-43B7-8EC6-0197C4731F09}"/>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9F988EC6-5C48-4AAB-9B4F-0A8287A183BA}"/>
    <cellStyle name="Normal 4 3 3 4 2 2 3" xfId="24203" xr:uid="{C27FA367-FB3C-4732-B4C1-884A560FE8FF}"/>
    <cellStyle name="Normal 4 3 3 4 2 2 4" xfId="32650" xr:uid="{B6DBE8C6-4592-4C0F-A694-25C37F828AC6}"/>
    <cellStyle name="Normal 4 3 3 4 2 3" xfId="11538" xr:uid="{F209EE95-197F-4362-B221-4FC76614DEC7}"/>
    <cellStyle name="Normal 4 3 3 4 2 4" xfId="19986" xr:uid="{550B7929-D459-4544-9223-6AF61ABAD5E6}"/>
    <cellStyle name="Normal 4 3 3 4 2 5" xfId="28433" xr:uid="{3D4B1A74-EB4B-4AF9-B251-5A1DCDD50B1B}"/>
    <cellStyle name="Normal 4 3 3 4 3" xfId="5161" xr:uid="{00000000-0005-0000-0000-00009D140000}"/>
    <cellStyle name="Normal 4 3 3 4 3 2" xfId="13611" xr:uid="{8556D6BE-76C6-4CB4-96E8-DD96167E79D9}"/>
    <cellStyle name="Normal 4 3 3 4 3 3" xfId="22058" xr:uid="{A325254B-7C76-474B-8086-72ACD4A04FA0}"/>
    <cellStyle name="Normal 4 3 3 4 3 4" xfId="30505" xr:uid="{B0119F98-5155-4B2D-A6E1-FE14E691B96F}"/>
    <cellStyle name="Normal 4 3 3 4 4" xfId="9393" xr:uid="{110AE73C-A093-4F75-AA36-9AEF0787D25C}"/>
    <cellStyle name="Normal 4 3 3 4 5" xfId="17841" xr:uid="{D974EB3F-255F-4D8C-B69D-CF7C1B48CE88}"/>
    <cellStyle name="Normal 4 3 3 4 6" xfId="26288" xr:uid="{7E32D6CD-D573-49EF-911C-7D1A5DE5B6A4}"/>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DAF7D52E-30D3-40A3-AA20-5E02D132124A}"/>
    <cellStyle name="Normal 4 3 3 5 2 2 3" xfId="24616" xr:uid="{38CE1E82-266E-4E56-ACEA-6BA78A49ACF3}"/>
    <cellStyle name="Normal 4 3 3 5 2 2 4" xfId="33063" xr:uid="{E46EC815-CC26-4ADB-AE29-2D930D4BED29}"/>
    <cellStyle name="Normal 4 3 3 5 2 3" xfId="11951" xr:uid="{F66BD743-6C81-4EE8-AEFB-2338B18669C1}"/>
    <cellStyle name="Normal 4 3 3 5 2 4" xfId="20399" xr:uid="{4B8EFA9F-326F-42B5-AC61-5F568D8C5AA6}"/>
    <cellStyle name="Normal 4 3 3 5 2 5" xfId="28846" xr:uid="{64871CC9-0A8C-46BB-B6E5-EB07EBEEE33B}"/>
    <cellStyle name="Normal 4 3 3 5 3" xfId="5574" xr:uid="{00000000-0005-0000-0000-0000A1140000}"/>
    <cellStyle name="Normal 4 3 3 5 3 2" xfId="14024" xr:uid="{D261FA0A-FC11-4AFB-BE9D-E3E1CC07DD33}"/>
    <cellStyle name="Normal 4 3 3 5 3 3" xfId="22471" xr:uid="{B6E4F2C3-C58F-47F0-9CC1-2A691EE628E0}"/>
    <cellStyle name="Normal 4 3 3 5 3 4" xfId="30918" xr:uid="{D14921BF-5D3D-47CA-8F43-B52B7DDCFC03}"/>
    <cellStyle name="Normal 4 3 3 5 4" xfId="9806" xr:uid="{9879D827-0AA5-415D-9FA5-7227A100B862}"/>
    <cellStyle name="Normal 4 3 3 5 5" xfId="18254" xr:uid="{13BF1765-39DE-48A6-9F5F-12C77C8D6F2F}"/>
    <cellStyle name="Normal 4 3 3 5 6" xfId="26701" xr:uid="{D6476525-E8D5-4863-88D6-A5A0CDE6D22D}"/>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FC9B937D-A35E-4683-8B94-8FA018BFA6EC}"/>
    <cellStyle name="Normal 4 3 3 6 2 2 3" xfId="25029" xr:uid="{A0A54C2E-697E-43D7-A162-7C446705851E}"/>
    <cellStyle name="Normal 4 3 3 6 2 2 4" xfId="33476" xr:uid="{F4BDD49A-7A00-44E9-B3AD-5B284B6F82D2}"/>
    <cellStyle name="Normal 4 3 3 6 2 3" xfId="12364" xr:uid="{A061E310-1DE3-43A7-A005-9F33D86EFC6D}"/>
    <cellStyle name="Normal 4 3 3 6 2 4" xfId="20812" xr:uid="{D16132BA-4EE6-4E26-AE55-ECF6682F4CAF}"/>
    <cellStyle name="Normal 4 3 3 6 2 5" xfId="29259" xr:uid="{6E627E03-E797-4F74-B0ED-45EF576D06E4}"/>
    <cellStyle name="Normal 4 3 3 6 3" xfId="5987" xr:uid="{00000000-0005-0000-0000-0000A5140000}"/>
    <cellStyle name="Normal 4 3 3 6 3 2" xfId="14437" xr:uid="{E90B82B6-376D-4F40-B2E1-9741D6004410}"/>
    <cellStyle name="Normal 4 3 3 6 3 3" xfId="22884" xr:uid="{1B9A6FD0-8FEA-467D-A4E0-70CFF72D652D}"/>
    <cellStyle name="Normal 4 3 3 6 3 4" xfId="31331" xr:uid="{F91B64E0-1E68-474C-91DB-551F9BAEDE64}"/>
    <cellStyle name="Normal 4 3 3 6 4" xfId="10219" xr:uid="{2DF6A9CD-B00A-46D3-B7DF-28F463EC7F86}"/>
    <cellStyle name="Normal 4 3 3 6 5" xfId="18667" xr:uid="{AD0627B5-7882-437F-BD97-199DB2ED0679}"/>
    <cellStyle name="Normal 4 3 3 6 6" xfId="27114" xr:uid="{30316D2C-98E2-410F-9058-0E6320CF4D13}"/>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9D54A076-43EE-47DD-9297-CFD1380CFC64}"/>
    <cellStyle name="Normal 4 3 3 7 2 2 3" xfId="25442" xr:uid="{61267E04-D11E-4BCF-8866-059766595D5B}"/>
    <cellStyle name="Normal 4 3 3 7 2 2 4" xfId="33889" xr:uid="{5AB3B6B9-1571-40C4-82BD-F1E7C6414D36}"/>
    <cellStyle name="Normal 4 3 3 7 2 3" xfId="12777" xr:uid="{23D58027-E198-44D7-8A56-7B302EA29405}"/>
    <cellStyle name="Normal 4 3 3 7 2 4" xfId="21225" xr:uid="{565E1BD7-F182-454A-A940-C1F739B7BD61}"/>
    <cellStyle name="Normal 4 3 3 7 2 5" xfId="29672" xr:uid="{A439C357-BB20-40AC-9D69-E232FD65F57F}"/>
    <cellStyle name="Normal 4 3 3 7 3" xfId="6400" xr:uid="{00000000-0005-0000-0000-0000A9140000}"/>
    <cellStyle name="Normal 4 3 3 7 3 2" xfId="14850" xr:uid="{0B0FFC8E-C515-429B-8A80-B4B250DAA2CC}"/>
    <cellStyle name="Normal 4 3 3 7 3 3" xfId="23297" xr:uid="{61C06660-53AB-4793-A3D7-AA6F9CBE0CB4}"/>
    <cellStyle name="Normal 4 3 3 7 3 4" xfId="31744" xr:uid="{2397467C-2570-4081-8F2C-9E986B53C761}"/>
    <cellStyle name="Normal 4 3 3 7 4" xfId="10632" xr:uid="{1F15DDAF-27AC-4BBD-A3A4-55A6A7771ACA}"/>
    <cellStyle name="Normal 4 3 3 7 5" xfId="19080" xr:uid="{8F8374AB-B617-4A0E-8579-019108564BF0}"/>
    <cellStyle name="Normal 4 3 3 7 6" xfId="27527" xr:uid="{E6B93F5E-1742-4310-9D0D-F85FC362825E}"/>
    <cellStyle name="Normal 4 3 3 8" xfId="2530" xr:uid="{00000000-0005-0000-0000-0000AA140000}"/>
    <cellStyle name="Normal 4 3 3 8 2" xfId="6813" xr:uid="{00000000-0005-0000-0000-0000AB140000}"/>
    <cellStyle name="Normal 4 3 3 8 2 2" xfId="15263" xr:uid="{FC1EBBAE-1B8C-4F09-88DE-B23615C8B2EE}"/>
    <cellStyle name="Normal 4 3 3 8 2 3" xfId="23710" xr:uid="{0CE682B0-D498-4347-BE88-5B2BF780A41D}"/>
    <cellStyle name="Normal 4 3 3 8 2 4" xfId="32157" xr:uid="{1E01276F-3C01-470D-ACCF-1901421E1E23}"/>
    <cellStyle name="Normal 4 3 3 8 3" xfId="11045" xr:uid="{19D5A629-74FA-4C42-B57C-C63AA43AAEC2}"/>
    <cellStyle name="Normal 4 3 3 8 4" xfId="19493" xr:uid="{70C25695-D963-4124-B7B4-A944B265F924}"/>
    <cellStyle name="Normal 4 3 3 8 5" xfId="27940" xr:uid="{612F618C-2D59-4970-850E-CC95ED1CFD8C}"/>
    <cellStyle name="Normal 4 3 3 9" xfId="4748" xr:uid="{00000000-0005-0000-0000-0000AC140000}"/>
    <cellStyle name="Normal 4 3 3 9 2" xfId="13198" xr:uid="{FC67B098-6664-40B2-877D-407B63185A7F}"/>
    <cellStyle name="Normal 4 3 3 9 3" xfId="21645" xr:uid="{C0BF870B-0335-473D-930C-DE65F762C6E5}"/>
    <cellStyle name="Normal 4 3 3 9 4" xfId="30092" xr:uid="{F2DD2D89-9C43-4023-ADB6-75E3E337A914}"/>
    <cellStyle name="Normal 4 3 4" xfId="842" xr:uid="{00000000-0005-0000-0000-0000AD140000}"/>
    <cellStyle name="Normal 4 3 4 2" xfId="3079" xr:uid="{00000000-0005-0000-0000-0000AE140000}"/>
    <cellStyle name="Normal 4 3 4 2 2" xfId="7301" xr:uid="{00000000-0005-0000-0000-0000AF140000}"/>
    <cellStyle name="Normal 4 3 4 2 2 2" xfId="15751" xr:uid="{F56A30BF-13BA-4369-8AB4-15BB6FFA3B4E}"/>
    <cellStyle name="Normal 4 3 4 2 2 3" xfId="24198" xr:uid="{B20B96BE-E99F-4CA1-BA0A-C85FD4DB2520}"/>
    <cellStyle name="Normal 4 3 4 2 2 4" xfId="32645" xr:uid="{03C1ACBB-9BA5-4730-81F3-85F2028C4E6F}"/>
    <cellStyle name="Normal 4 3 4 2 3" xfId="11533" xr:uid="{CE95FE2F-CECE-4BAC-A771-CF855A1C97A9}"/>
    <cellStyle name="Normal 4 3 4 2 4" xfId="19981" xr:uid="{3799633F-6BB5-4604-B6AF-4BC5E50F0F20}"/>
    <cellStyle name="Normal 4 3 4 2 5" xfId="28428" xr:uid="{4995F700-C198-4A3C-A1A7-7FA1A2EF6E40}"/>
    <cellStyle name="Normal 4 3 4 3" xfId="5156" xr:uid="{00000000-0005-0000-0000-0000B0140000}"/>
    <cellStyle name="Normal 4 3 4 3 2" xfId="13606" xr:uid="{28B98870-E9D7-4985-AA37-B106F12A4B93}"/>
    <cellStyle name="Normal 4 3 4 3 3" xfId="22053" xr:uid="{1ADCB3D4-568D-4D53-AD53-0D52BDEFEE93}"/>
    <cellStyle name="Normal 4 3 4 3 4" xfId="30500" xr:uid="{D197D2A6-79EE-4644-9954-1771665A1DE8}"/>
    <cellStyle name="Normal 4 3 4 4" xfId="9388" xr:uid="{035E0537-2293-4A90-B254-7FC121D7673C}"/>
    <cellStyle name="Normal 4 3 4 5" xfId="17836" xr:uid="{56755C0F-D3C1-4426-A96E-ED144FC08B4C}"/>
    <cellStyle name="Normal 4 3 4 6" xfId="26283" xr:uid="{8D8BC4C9-EC53-4438-BA64-F8E091B4CCE2}"/>
    <cellStyle name="Normal 4 3 5" xfId="1262" xr:uid="{00000000-0005-0000-0000-0000B1140000}"/>
    <cellStyle name="Normal 4 3 5 2" xfId="3492" xr:uid="{00000000-0005-0000-0000-0000B2140000}"/>
    <cellStyle name="Normal 4 3 5 2 2" xfId="7714" xr:uid="{00000000-0005-0000-0000-0000B3140000}"/>
    <cellStyle name="Normal 4 3 5 2 2 2" xfId="16164" xr:uid="{B22C5005-9573-49BC-95DB-FB78AF61399E}"/>
    <cellStyle name="Normal 4 3 5 2 2 3" xfId="24611" xr:uid="{9EE75C2C-C844-4310-9CAB-DD740467249A}"/>
    <cellStyle name="Normal 4 3 5 2 2 4" xfId="33058" xr:uid="{D96879BE-F57C-42EE-BA37-96DFE9CC69FB}"/>
    <cellStyle name="Normal 4 3 5 2 3" xfId="11946" xr:uid="{706D48E4-B859-49D2-BE27-C8EACCC0ED5A}"/>
    <cellStyle name="Normal 4 3 5 2 4" xfId="20394" xr:uid="{3419CF93-D096-4C07-BB16-F64512012A6D}"/>
    <cellStyle name="Normal 4 3 5 2 5" xfId="28841" xr:uid="{C3D0F051-2C05-4465-BCA2-003818A91A81}"/>
    <cellStyle name="Normal 4 3 5 3" xfId="5569" xr:uid="{00000000-0005-0000-0000-0000B4140000}"/>
    <cellStyle name="Normal 4 3 5 3 2" xfId="14019" xr:uid="{9005C4B5-D2B9-4BAA-AC40-290DCED3F379}"/>
    <cellStyle name="Normal 4 3 5 3 3" xfId="22466" xr:uid="{AF29E8FD-B4CC-4734-93FD-E0176F940C59}"/>
    <cellStyle name="Normal 4 3 5 3 4" xfId="30913" xr:uid="{7B53CA7E-82C9-4224-842B-260A32FF8C87}"/>
    <cellStyle name="Normal 4 3 5 4" xfId="9801" xr:uid="{B206F109-7DAC-4ECC-AE3F-4823A924178E}"/>
    <cellStyle name="Normal 4 3 5 5" xfId="18249" xr:uid="{33B329B6-734F-4B33-9F9A-46B76D86C5C2}"/>
    <cellStyle name="Normal 4 3 5 6" xfId="26696" xr:uid="{01BF1804-7FA1-49B1-AB9C-5D62B3087E7E}"/>
    <cellStyle name="Normal 4 3 6" xfId="1675" xr:uid="{00000000-0005-0000-0000-0000B5140000}"/>
    <cellStyle name="Normal 4 3 6 2" xfId="3905" xr:uid="{00000000-0005-0000-0000-0000B6140000}"/>
    <cellStyle name="Normal 4 3 6 2 2" xfId="8127" xr:uid="{00000000-0005-0000-0000-0000B7140000}"/>
    <cellStyle name="Normal 4 3 6 2 2 2" xfId="16577" xr:uid="{AA5FDC2C-0ECE-49A7-893F-E9CA1991F4AF}"/>
    <cellStyle name="Normal 4 3 6 2 2 3" xfId="25024" xr:uid="{A125A3DE-47B2-45E3-B39D-C32BFC93EECB}"/>
    <cellStyle name="Normal 4 3 6 2 2 4" xfId="33471" xr:uid="{DBABC552-463D-4781-91BC-D75483BD88E8}"/>
    <cellStyle name="Normal 4 3 6 2 3" xfId="12359" xr:uid="{337FF0E9-40A1-47C9-A857-F1DBC5468249}"/>
    <cellStyle name="Normal 4 3 6 2 4" xfId="20807" xr:uid="{6F42C1CC-B705-42B4-9E77-95CB607CCFAE}"/>
    <cellStyle name="Normal 4 3 6 2 5" xfId="29254" xr:uid="{8A481CCA-2920-401B-AB07-2ED768EF8852}"/>
    <cellStyle name="Normal 4 3 6 3" xfId="5982" xr:uid="{00000000-0005-0000-0000-0000B8140000}"/>
    <cellStyle name="Normal 4 3 6 3 2" xfId="14432" xr:uid="{EDFE9A89-5E05-46DF-9B6F-1FEC3881755F}"/>
    <cellStyle name="Normal 4 3 6 3 3" xfId="22879" xr:uid="{2CD90EF9-F280-4487-908A-3B029E01F0B5}"/>
    <cellStyle name="Normal 4 3 6 3 4" xfId="31326" xr:uid="{27D594A9-495C-40A8-ACD7-0CD188ECA388}"/>
    <cellStyle name="Normal 4 3 6 4" xfId="10214" xr:uid="{8339AD38-CE86-45EF-B189-0F0065F56BDA}"/>
    <cellStyle name="Normal 4 3 6 5" xfId="18662" xr:uid="{840046E0-5A3D-4FC6-81FD-C1CEB5C80543}"/>
    <cellStyle name="Normal 4 3 6 6" xfId="27109" xr:uid="{38161B88-FBB5-4867-9D78-B9B88E584306}"/>
    <cellStyle name="Normal 4 3 7" xfId="2089" xr:uid="{00000000-0005-0000-0000-0000B9140000}"/>
    <cellStyle name="Normal 4 3 7 2" xfId="4318" xr:uid="{00000000-0005-0000-0000-0000BA140000}"/>
    <cellStyle name="Normal 4 3 7 2 2" xfId="8540" xr:uid="{00000000-0005-0000-0000-0000BB140000}"/>
    <cellStyle name="Normal 4 3 7 2 2 2" xfId="16990" xr:uid="{E05D11B8-F605-4C21-94E8-755086FD3EC9}"/>
    <cellStyle name="Normal 4 3 7 2 2 3" xfId="25437" xr:uid="{782D4446-E1B2-47BF-B6CD-8D8D4521BD85}"/>
    <cellStyle name="Normal 4 3 7 2 2 4" xfId="33884" xr:uid="{80525A81-7EF4-4F17-827C-8D9AE1B6EEF9}"/>
    <cellStyle name="Normal 4 3 7 2 3" xfId="12772" xr:uid="{C143EDD5-5A8B-4CF6-BD67-F9847DC02703}"/>
    <cellStyle name="Normal 4 3 7 2 4" xfId="21220" xr:uid="{3FF4575C-290C-4A3D-AC11-44F0805ABBB3}"/>
    <cellStyle name="Normal 4 3 7 2 5" xfId="29667" xr:uid="{6BE0DB73-2232-45AD-BD29-26F8E0D30423}"/>
    <cellStyle name="Normal 4 3 7 3" xfId="6395" xr:uid="{00000000-0005-0000-0000-0000BC140000}"/>
    <cellStyle name="Normal 4 3 7 3 2" xfId="14845" xr:uid="{FB839F2F-2E30-41F4-B9F8-130B18C5D554}"/>
    <cellStyle name="Normal 4 3 7 3 3" xfId="23292" xr:uid="{59C38FFE-3D26-4CDA-B371-A7AF57FD264F}"/>
    <cellStyle name="Normal 4 3 7 3 4" xfId="31739" xr:uid="{249755FF-E080-40A9-A3B5-628DADA89F20}"/>
    <cellStyle name="Normal 4 3 7 4" xfId="10627" xr:uid="{F930F21C-244D-43A6-B105-7EFDA9B6ACE9}"/>
    <cellStyle name="Normal 4 3 7 5" xfId="19075" xr:uid="{0B0697F9-49D5-4AD7-9958-238B1E0D4C86}"/>
    <cellStyle name="Normal 4 3 7 6" xfId="27522" xr:uid="{5B28DF18-4AB2-491D-85AC-8142E3A9D16B}"/>
    <cellStyle name="Normal 4 3 8" xfId="2525" xr:uid="{00000000-0005-0000-0000-0000BD140000}"/>
    <cellStyle name="Normal 4 3 8 2" xfId="6808" xr:uid="{00000000-0005-0000-0000-0000BE140000}"/>
    <cellStyle name="Normal 4 3 8 2 2" xfId="15258" xr:uid="{D6BF16C0-BF70-47D9-89D1-773056BBC3BB}"/>
    <cellStyle name="Normal 4 3 8 2 3" xfId="23705" xr:uid="{651CC121-EF74-43AC-A1FF-A00B8B7E55F4}"/>
    <cellStyle name="Normal 4 3 8 2 4" xfId="32152" xr:uid="{BE32DB41-4429-493D-BA7F-A3B8E9462F53}"/>
    <cellStyle name="Normal 4 3 8 3" xfId="11040" xr:uid="{FD251B82-F1AD-46EF-AF21-3C8B20310275}"/>
    <cellStyle name="Normal 4 3 8 4" xfId="19488" xr:uid="{CC56CAA9-6E4A-4CCF-8399-FB7180C1F827}"/>
    <cellStyle name="Normal 4 3 8 5" xfId="27935" xr:uid="{B0A76CD4-2213-4499-B3FC-B0D14C599F89}"/>
    <cellStyle name="Normal 4 3 9" xfId="4743" xr:uid="{00000000-0005-0000-0000-0000BF140000}"/>
    <cellStyle name="Normal 4 3 9 2" xfId="13193" xr:uid="{15C77D37-B5BD-4523-8E1C-694EB11BFE18}"/>
    <cellStyle name="Normal 4 3 9 3" xfId="21640" xr:uid="{1B99FB9E-F6AA-4F45-B1B1-CF2C4C68309A}"/>
    <cellStyle name="Normal 4 3 9 4" xfId="30087" xr:uid="{A5396E33-1C54-4139-A66C-F5827B5EA74C}"/>
    <cellStyle name="Normal 4 4" xfId="378" xr:uid="{00000000-0005-0000-0000-0000C0140000}"/>
    <cellStyle name="Normal 4 4 10" xfId="2534" xr:uid="{00000000-0005-0000-0000-0000C1140000}"/>
    <cellStyle name="Normal 4 4 10 2" xfId="6817" xr:uid="{00000000-0005-0000-0000-0000C2140000}"/>
    <cellStyle name="Normal 4 4 10 2 2" xfId="15267" xr:uid="{FC471868-EF41-40AC-A104-A9800AA8D8A6}"/>
    <cellStyle name="Normal 4 4 10 2 3" xfId="23714" xr:uid="{24063389-7B74-4B39-869F-57E3A3B770DB}"/>
    <cellStyle name="Normal 4 4 10 2 4" xfId="32161" xr:uid="{53B2DCDB-B30F-43EB-A3AB-54DD5A0EC6EE}"/>
    <cellStyle name="Normal 4 4 10 3" xfId="11049" xr:uid="{100BCCC7-A091-4720-A884-B8CC0E00001D}"/>
    <cellStyle name="Normal 4 4 10 4" xfId="19497" xr:uid="{C91E0492-AAA7-40FE-B808-56D1C37C0166}"/>
    <cellStyle name="Normal 4 4 10 5" xfId="27944" xr:uid="{E7F28117-A1E3-41CE-ABDB-1F8BD98EB3EF}"/>
    <cellStyle name="Normal 4 4 11" xfId="4752" xr:uid="{00000000-0005-0000-0000-0000C3140000}"/>
    <cellStyle name="Normal 4 4 11 2" xfId="13202" xr:uid="{C5194560-F60B-492F-A0AC-0DCAAC56FAFF}"/>
    <cellStyle name="Normal 4 4 11 3" xfId="21649" xr:uid="{E09D9A71-6843-4936-A6CB-AD13E4223271}"/>
    <cellStyle name="Normal 4 4 11 4" xfId="30096" xr:uid="{5069F93D-D44E-4F0C-A1AA-0FE7F5B894DB}"/>
    <cellStyle name="Normal 4 4 12" xfId="8984" xr:uid="{29E8045B-51E0-4CA2-9F6F-188DB6AFC0E1}"/>
    <cellStyle name="Normal 4 4 13" xfId="17432" xr:uid="{712F60E5-FCBF-4FBC-A5E4-8F9D74E9A6C8}"/>
    <cellStyle name="Normal 4 4 14" xfId="25879" xr:uid="{58F2D4D4-8127-4522-9700-0CB997DE46D3}"/>
    <cellStyle name="Normal 4 4 2" xfId="379" xr:uid="{00000000-0005-0000-0000-0000C4140000}"/>
    <cellStyle name="Normal 4 4 2 10" xfId="4753" xr:uid="{00000000-0005-0000-0000-0000C5140000}"/>
    <cellStyle name="Normal 4 4 2 10 2" xfId="13203" xr:uid="{78B71696-400A-4013-A28B-C452ACC441B4}"/>
    <cellStyle name="Normal 4 4 2 10 3" xfId="21650" xr:uid="{E9C91FB2-EC8E-47AB-8FC1-4AD940477AEE}"/>
    <cellStyle name="Normal 4 4 2 10 4" xfId="30097" xr:uid="{D166235F-1151-46C5-8DDC-E1E7A8B1B7FA}"/>
    <cellStyle name="Normal 4 4 2 11" xfId="8985" xr:uid="{8B9C7795-0E72-4FD1-8474-A98B12A7FB78}"/>
    <cellStyle name="Normal 4 4 2 12" xfId="17433" xr:uid="{133F397F-62A4-47E5-A1FA-BD4882F64E3A}"/>
    <cellStyle name="Normal 4 4 2 13" xfId="25880" xr:uid="{85880B98-11AB-4DF3-9F6C-4EADD317E892}"/>
    <cellStyle name="Normal 4 4 2 2" xfId="380" xr:uid="{00000000-0005-0000-0000-0000C6140000}"/>
    <cellStyle name="Normal 4 4 2 2 10" xfId="8986" xr:uid="{3B6437A3-16C8-4228-A492-281F277ED366}"/>
    <cellStyle name="Normal 4 4 2 2 11" xfId="17434" xr:uid="{290ACB8D-2498-407D-9D19-1F50352F3618}"/>
    <cellStyle name="Normal 4 4 2 2 12" xfId="25881" xr:uid="{F93B326C-9E05-4AE7-BCE6-987171B2DC67}"/>
    <cellStyle name="Normal 4 4 2 2 2" xfId="381" xr:uid="{00000000-0005-0000-0000-0000C7140000}"/>
    <cellStyle name="Normal 4 4 2 2 2 10" xfId="17435" xr:uid="{53B7AD40-ED11-430E-A1C3-1A80BBB634CF}"/>
    <cellStyle name="Normal 4 4 2 2 2 11" xfId="25882" xr:uid="{545B3463-3E9F-40E2-A2A6-635615F3C449}"/>
    <cellStyle name="Normal 4 4 2 2 2 2" xfId="382" xr:uid="{00000000-0005-0000-0000-0000C8140000}"/>
    <cellStyle name="Normal 4 4 2 2 2 2 10" xfId="25883" xr:uid="{1446C654-AAFB-4228-865F-D1C8B61E6E37}"/>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483CA430-6ECF-4D56-BDBA-DD6D531A00A8}"/>
    <cellStyle name="Normal 4 4 2 2 2 2 2 2 2 3" xfId="24211" xr:uid="{0C3BA990-E151-4D63-BC77-D5B0AEB0FF4C}"/>
    <cellStyle name="Normal 4 4 2 2 2 2 2 2 2 4" xfId="32658" xr:uid="{860BBEA9-C9F6-4166-8158-BA3F7CE3BF4A}"/>
    <cellStyle name="Normal 4 4 2 2 2 2 2 2 3" xfId="11546" xr:uid="{D27C94B7-3025-4F8E-8E2F-F1860CB07C5A}"/>
    <cellStyle name="Normal 4 4 2 2 2 2 2 2 4" xfId="19994" xr:uid="{04FA91CA-0766-4EF1-AE8E-28685FC17B12}"/>
    <cellStyle name="Normal 4 4 2 2 2 2 2 2 5" xfId="28441" xr:uid="{6A303DF9-F635-4006-8AB1-07C51402EBD0}"/>
    <cellStyle name="Normal 4 4 2 2 2 2 2 3" xfId="5169" xr:uid="{00000000-0005-0000-0000-0000CC140000}"/>
    <cellStyle name="Normal 4 4 2 2 2 2 2 3 2" xfId="13619" xr:uid="{765B4175-72AE-41F9-9640-003AE59B5348}"/>
    <cellStyle name="Normal 4 4 2 2 2 2 2 3 3" xfId="22066" xr:uid="{2F504D7B-61A9-45EF-B03F-10ACCD88969A}"/>
    <cellStyle name="Normal 4 4 2 2 2 2 2 3 4" xfId="30513" xr:uid="{19F33221-BCDD-4F81-92AE-41786A08E6BB}"/>
    <cellStyle name="Normal 4 4 2 2 2 2 2 4" xfId="9401" xr:uid="{6E9E151A-4791-4CA9-BFEE-6DBB241B27A3}"/>
    <cellStyle name="Normal 4 4 2 2 2 2 2 5" xfId="17849" xr:uid="{96BFA1B4-61B1-4690-90CC-8A952CE833CF}"/>
    <cellStyle name="Normal 4 4 2 2 2 2 2 6" xfId="26296" xr:uid="{E26B6703-5837-4523-8D53-7FD748D32589}"/>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DCC30D3D-7D92-4BAE-A977-D02F78FAC429}"/>
    <cellStyle name="Normal 4 4 2 2 2 2 3 2 2 3" xfId="24624" xr:uid="{AD23E9B0-316A-4818-A373-EB52E7213918}"/>
    <cellStyle name="Normal 4 4 2 2 2 2 3 2 2 4" xfId="33071" xr:uid="{E97B9D1D-2F44-41D1-BC68-07D4F15AC63D}"/>
    <cellStyle name="Normal 4 4 2 2 2 2 3 2 3" xfId="11959" xr:uid="{C327A474-66A3-47AE-B6F4-D189BA8D0BC8}"/>
    <cellStyle name="Normal 4 4 2 2 2 2 3 2 4" xfId="20407" xr:uid="{D2008C9F-F28C-4DB8-999E-C95D12FB2231}"/>
    <cellStyle name="Normal 4 4 2 2 2 2 3 2 5" xfId="28854" xr:uid="{5907EA61-CB76-4844-BA1B-B535675C8BA2}"/>
    <cellStyle name="Normal 4 4 2 2 2 2 3 3" xfId="5582" xr:uid="{00000000-0005-0000-0000-0000D0140000}"/>
    <cellStyle name="Normal 4 4 2 2 2 2 3 3 2" xfId="14032" xr:uid="{458F8D4A-5863-4590-AC4F-CDE39D1D24B3}"/>
    <cellStyle name="Normal 4 4 2 2 2 2 3 3 3" xfId="22479" xr:uid="{D763B9D7-590C-4A41-B1D6-57D07EC7A330}"/>
    <cellStyle name="Normal 4 4 2 2 2 2 3 3 4" xfId="30926" xr:uid="{D3DA6612-208C-4A9B-917D-2883F18BA08D}"/>
    <cellStyle name="Normal 4 4 2 2 2 2 3 4" xfId="9814" xr:uid="{3965D4AB-937B-405E-B0D8-C7B2848BC23F}"/>
    <cellStyle name="Normal 4 4 2 2 2 2 3 5" xfId="18262" xr:uid="{54559F08-68FC-44B9-B1EF-ECF49A12378F}"/>
    <cellStyle name="Normal 4 4 2 2 2 2 3 6" xfId="26709" xr:uid="{D6F3F9A8-F0D6-44FE-8CD6-8B752512F56D}"/>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B60439A7-4E6A-4FC0-99DC-8AB8DC694C47}"/>
    <cellStyle name="Normal 4 4 2 2 2 2 4 2 2 3" xfId="25037" xr:uid="{0FAAAC11-CC8D-4FB6-98D2-01AEAF79EBA0}"/>
    <cellStyle name="Normal 4 4 2 2 2 2 4 2 2 4" xfId="33484" xr:uid="{E0670EEF-2F5B-453B-A944-8796F88D4FF9}"/>
    <cellStyle name="Normal 4 4 2 2 2 2 4 2 3" xfId="12372" xr:uid="{0F1B5307-FBCB-402A-BEE4-C3490CE7D450}"/>
    <cellStyle name="Normal 4 4 2 2 2 2 4 2 4" xfId="20820" xr:uid="{1D9F6FBA-2F50-4AF4-98BD-F2262173438E}"/>
    <cellStyle name="Normal 4 4 2 2 2 2 4 2 5" xfId="29267" xr:uid="{281F34C3-8C7A-412E-8380-ACEF0E23D75F}"/>
    <cellStyle name="Normal 4 4 2 2 2 2 4 3" xfId="5995" xr:uid="{00000000-0005-0000-0000-0000D4140000}"/>
    <cellStyle name="Normal 4 4 2 2 2 2 4 3 2" xfId="14445" xr:uid="{8C1CEEF1-1414-4771-B4A9-92FF948F5BCD}"/>
    <cellStyle name="Normal 4 4 2 2 2 2 4 3 3" xfId="22892" xr:uid="{B3D3D907-F251-42F2-9AEA-8DE19E7B8371}"/>
    <cellStyle name="Normal 4 4 2 2 2 2 4 3 4" xfId="31339" xr:uid="{3746F4CD-1BC4-4AAF-9E72-9C08FF9573CA}"/>
    <cellStyle name="Normal 4 4 2 2 2 2 4 4" xfId="10227" xr:uid="{C8AA085B-3911-4637-9DCB-23FD7CF0A38C}"/>
    <cellStyle name="Normal 4 4 2 2 2 2 4 5" xfId="18675" xr:uid="{442BBB25-23AD-4E68-8DFB-9BEAFA3345A5}"/>
    <cellStyle name="Normal 4 4 2 2 2 2 4 6" xfId="27122" xr:uid="{230D5C2E-6D13-4740-9D1F-CF27D18C3E6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37AACF0D-4CBF-49D9-904D-494CFF367B71}"/>
    <cellStyle name="Normal 4 4 2 2 2 2 5 2 2 3" xfId="25450" xr:uid="{3CE64A8F-1BB0-4000-AB9A-7951A38D6563}"/>
    <cellStyle name="Normal 4 4 2 2 2 2 5 2 2 4" xfId="33897" xr:uid="{5DD20D27-A8EF-45F9-A82C-115C9F1C0955}"/>
    <cellStyle name="Normal 4 4 2 2 2 2 5 2 3" xfId="12785" xr:uid="{F03AD484-7788-417F-BF62-4B605B06A635}"/>
    <cellStyle name="Normal 4 4 2 2 2 2 5 2 4" xfId="21233" xr:uid="{7F73685D-4441-4A2D-9639-FE8E5774CDC3}"/>
    <cellStyle name="Normal 4 4 2 2 2 2 5 2 5" xfId="29680" xr:uid="{A42343D2-2406-40A1-A6D7-C712CEE2A333}"/>
    <cellStyle name="Normal 4 4 2 2 2 2 5 3" xfId="6408" xr:uid="{00000000-0005-0000-0000-0000D8140000}"/>
    <cellStyle name="Normal 4 4 2 2 2 2 5 3 2" xfId="14858" xr:uid="{D67DBF94-BC3F-45D0-967A-CF56B35FBBA5}"/>
    <cellStyle name="Normal 4 4 2 2 2 2 5 3 3" xfId="23305" xr:uid="{6E3F68DC-A979-4578-AEBE-0A276B5309A4}"/>
    <cellStyle name="Normal 4 4 2 2 2 2 5 3 4" xfId="31752" xr:uid="{D856479B-52C9-4D62-98E2-83DDDC2F3E92}"/>
    <cellStyle name="Normal 4 4 2 2 2 2 5 4" xfId="10640" xr:uid="{C29E9A55-BA30-44CC-AF48-EB3688905EA4}"/>
    <cellStyle name="Normal 4 4 2 2 2 2 5 5" xfId="19088" xr:uid="{1D633723-A68F-4F2C-8F5A-188699E07EF2}"/>
    <cellStyle name="Normal 4 4 2 2 2 2 5 6" xfId="27535" xr:uid="{FBD3FA35-9B8E-4CBB-A22F-EBAA63337D62}"/>
    <cellStyle name="Normal 4 4 2 2 2 2 6" xfId="2538" xr:uid="{00000000-0005-0000-0000-0000D9140000}"/>
    <cellStyle name="Normal 4 4 2 2 2 2 6 2" xfId="6821" xr:uid="{00000000-0005-0000-0000-0000DA140000}"/>
    <cellStyle name="Normal 4 4 2 2 2 2 6 2 2" xfId="15271" xr:uid="{C14B3002-D6AD-4859-B04E-91C15B218B9A}"/>
    <cellStyle name="Normal 4 4 2 2 2 2 6 2 3" xfId="23718" xr:uid="{09BD739C-557B-4748-92A0-01550061A226}"/>
    <cellStyle name="Normal 4 4 2 2 2 2 6 2 4" xfId="32165" xr:uid="{9395C875-0302-4EE7-B3EB-80C7B7504E92}"/>
    <cellStyle name="Normal 4 4 2 2 2 2 6 3" xfId="11053" xr:uid="{7A8F8E8E-6038-4460-831A-4291B36BEA3F}"/>
    <cellStyle name="Normal 4 4 2 2 2 2 6 4" xfId="19501" xr:uid="{2F8AC2BA-3E82-414E-BA36-2FAEBE3F50CE}"/>
    <cellStyle name="Normal 4 4 2 2 2 2 6 5" xfId="27948" xr:uid="{15D0CED4-AE34-4613-BFA9-1C98338C13DB}"/>
    <cellStyle name="Normal 4 4 2 2 2 2 7" xfId="4756" xr:uid="{00000000-0005-0000-0000-0000DB140000}"/>
    <cellStyle name="Normal 4 4 2 2 2 2 7 2" xfId="13206" xr:uid="{2635B940-48ED-4718-8DC3-6CA1BFAA477D}"/>
    <cellStyle name="Normal 4 4 2 2 2 2 7 3" xfId="21653" xr:uid="{4CDC9B66-3924-467B-B2AE-60DD80012495}"/>
    <cellStyle name="Normal 4 4 2 2 2 2 7 4" xfId="30100" xr:uid="{E8DC9B32-E7D5-4263-B84E-DF2756E0761D}"/>
    <cellStyle name="Normal 4 4 2 2 2 2 8" xfId="8988" xr:uid="{D0C7A59B-E131-4344-8604-F2082F2EF519}"/>
    <cellStyle name="Normal 4 4 2 2 2 2 9" xfId="17436" xr:uid="{8701F4BA-1BE7-4677-A983-6F1B40C9DAB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0A9738AC-9862-4887-8B75-97B3DE627F4F}"/>
    <cellStyle name="Normal 4 4 2 2 2 3 2 2 3" xfId="24210" xr:uid="{A86BC1E3-F07C-44E2-95FC-B485A55D67D1}"/>
    <cellStyle name="Normal 4 4 2 2 2 3 2 2 4" xfId="32657" xr:uid="{6B52EAFE-1A28-49D7-A2B2-8BF423A89587}"/>
    <cellStyle name="Normal 4 4 2 2 2 3 2 3" xfId="11545" xr:uid="{195658AC-90E3-4A55-8241-26926FA78377}"/>
    <cellStyle name="Normal 4 4 2 2 2 3 2 4" xfId="19993" xr:uid="{0DD4EF8B-F75A-4C34-B0D1-153443947FDE}"/>
    <cellStyle name="Normal 4 4 2 2 2 3 2 5" xfId="28440" xr:uid="{2B5731B7-10F2-4206-BC0C-074EFFDBEBBE}"/>
    <cellStyle name="Normal 4 4 2 2 2 3 3" xfId="5168" xr:uid="{00000000-0005-0000-0000-0000DF140000}"/>
    <cellStyle name="Normal 4 4 2 2 2 3 3 2" xfId="13618" xr:uid="{DEF7F621-AABD-41C0-857D-9768498E4FAD}"/>
    <cellStyle name="Normal 4 4 2 2 2 3 3 3" xfId="22065" xr:uid="{399BFC68-2358-49E6-9C07-A1394B60808F}"/>
    <cellStyle name="Normal 4 4 2 2 2 3 3 4" xfId="30512" xr:uid="{BC1BF2A3-9127-4691-A6F7-692C2E7FB3BB}"/>
    <cellStyle name="Normal 4 4 2 2 2 3 4" xfId="9400" xr:uid="{E30774D7-3F27-4B2D-8EF3-CA82DC795404}"/>
    <cellStyle name="Normal 4 4 2 2 2 3 5" xfId="17848" xr:uid="{90BEB242-8622-443E-8507-08AD6C1D175E}"/>
    <cellStyle name="Normal 4 4 2 2 2 3 6" xfId="26295" xr:uid="{DD18A05C-FAC6-459D-86EA-DEF60B35D00D}"/>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62FEFEF6-FC8B-4CAD-86D4-7268C6905F0D}"/>
    <cellStyle name="Normal 4 4 2 2 2 4 2 2 3" xfId="24623" xr:uid="{EC65D426-5672-4B7A-B076-EE51E7A07BB1}"/>
    <cellStyle name="Normal 4 4 2 2 2 4 2 2 4" xfId="33070" xr:uid="{96B09226-B1AC-4B22-90A5-FDB14C525637}"/>
    <cellStyle name="Normal 4 4 2 2 2 4 2 3" xfId="11958" xr:uid="{C0837079-4371-48E5-9A0C-5FA2AE9588A1}"/>
    <cellStyle name="Normal 4 4 2 2 2 4 2 4" xfId="20406" xr:uid="{BDCFABE7-BB32-4629-B077-2FF68497E762}"/>
    <cellStyle name="Normal 4 4 2 2 2 4 2 5" xfId="28853" xr:uid="{F5621CD4-DE0D-4B9D-9461-5A199AA3FD54}"/>
    <cellStyle name="Normal 4 4 2 2 2 4 3" xfId="5581" xr:uid="{00000000-0005-0000-0000-0000E3140000}"/>
    <cellStyle name="Normal 4 4 2 2 2 4 3 2" xfId="14031" xr:uid="{C2A87A0B-DC05-4F0D-800E-0CFDECEC4F34}"/>
    <cellStyle name="Normal 4 4 2 2 2 4 3 3" xfId="22478" xr:uid="{8F362F5F-6B70-42A1-AEB5-D5A77ADFB49A}"/>
    <cellStyle name="Normal 4 4 2 2 2 4 3 4" xfId="30925" xr:uid="{D16D0607-C931-48E4-BFCA-3BD70249C362}"/>
    <cellStyle name="Normal 4 4 2 2 2 4 4" xfId="9813" xr:uid="{E1432A81-85B4-4E5F-BCEE-569906A9FF1C}"/>
    <cellStyle name="Normal 4 4 2 2 2 4 5" xfId="18261" xr:uid="{820553DD-CEA7-41C0-B1C3-2D8FE1ED1AF5}"/>
    <cellStyle name="Normal 4 4 2 2 2 4 6" xfId="26708" xr:uid="{E6FC6E2D-42A1-4D62-AA04-E49C83ACFC51}"/>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666FD2D9-3650-4E65-9721-740CB30901E7}"/>
    <cellStyle name="Normal 4 4 2 2 2 5 2 2 3" xfId="25036" xr:uid="{644722D5-0DCB-4E3F-9F29-667926698468}"/>
    <cellStyle name="Normal 4 4 2 2 2 5 2 2 4" xfId="33483" xr:uid="{52B01145-499A-41C0-BB78-CAFDA0505BB3}"/>
    <cellStyle name="Normal 4 4 2 2 2 5 2 3" xfId="12371" xr:uid="{4B8D5F93-E478-4C73-8EC6-6B84537D6245}"/>
    <cellStyle name="Normal 4 4 2 2 2 5 2 4" xfId="20819" xr:uid="{0904ECE5-90D3-445E-B9B1-6E05BEC4265D}"/>
    <cellStyle name="Normal 4 4 2 2 2 5 2 5" xfId="29266" xr:uid="{1F0CB932-9C06-4334-9B6E-00E829A880F4}"/>
    <cellStyle name="Normal 4 4 2 2 2 5 3" xfId="5994" xr:uid="{00000000-0005-0000-0000-0000E7140000}"/>
    <cellStyle name="Normal 4 4 2 2 2 5 3 2" xfId="14444" xr:uid="{B1DA57C9-385C-4862-B05C-0BE373E28F11}"/>
    <cellStyle name="Normal 4 4 2 2 2 5 3 3" xfId="22891" xr:uid="{889775FD-35EF-4BF9-A263-E6E5436B422F}"/>
    <cellStyle name="Normal 4 4 2 2 2 5 3 4" xfId="31338" xr:uid="{6E5C9CD1-FA65-468E-9716-6CB24124969E}"/>
    <cellStyle name="Normal 4 4 2 2 2 5 4" xfId="10226" xr:uid="{1E6EB28A-24AE-431E-BE1D-E4B4C0A55330}"/>
    <cellStyle name="Normal 4 4 2 2 2 5 5" xfId="18674" xr:uid="{909EF954-1595-4FCA-8BAC-DC944F4C8E7B}"/>
    <cellStyle name="Normal 4 4 2 2 2 5 6" xfId="27121" xr:uid="{67D11D91-6C05-4865-BEE9-9BDAB0E7A536}"/>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64718E31-6505-429D-92FE-F3FC68C93A53}"/>
    <cellStyle name="Normal 4 4 2 2 2 6 2 2 3" xfId="25449" xr:uid="{51D889FA-7D1C-4627-9231-D8C55CB27B87}"/>
    <cellStyle name="Normal 4 4 2 2 2 6 2 2 4" xfId="33896" xr:uid="{BEC65D8A-EBFF-478F-9517-CBBB7E2F1434}"/>
    <cellStyle name="Normal 4 4 2 2 2 6 2 3" xfId="12784" xr:uid="{EB317777-5B5B-461B-B85E-25F65721CEF2}"/>
    <cellStyle name="Normal 4 4 2 2 2 6 2 4" xfId="21232" xr:uid="{6D7AEB8D-CF9F-4809-8FF3-9F497734B1DD}"/>
    <cellStyle name="Normal 4 4 2 2 2 6 2 5" xfId="29679" xr:uid="{6A242331-F0A8-4801-83C0-4F94CB06E0F0}"/>
    <cellStyle name="Normal 4 4 2 2 2 6 3" xfId="6407" xr:uid="{00000000-0005-0000-0000-0000EB140000}"/>
    <cellStyle name="Normal 4 4 2 2 2 6 3 2" xfId="14857" xr:uid="{567FC58F-829E-423A-B155-556CC3387910}"/>
    <cellStyle name="Normal 4 4 2 2 2 6 3 3" xfId="23304" xr:uid="{1B80BEBF-32A2-47EE-AF0D-58BE94980CFC}"/>
    <cellStyle name="Normal 4 4 2 2 2 6 3 4" xfId="31751" xr:uid="{B56E2C56-3CE0-45E1-A123-EF0745946AFD}"/>
    <cellStyle name="Normal 4 4 2 2 2 6 4" xfId="10639" xr:uid="{42CA2D55-1290-41D6-8629-18149E56B195}"/>
    <cellStyle name="Normal 4 4 2 2 2 6 5" xfId="19087" xr:uid="{08219600-2F1A-4CD3-98A1-0ACB5FB403CC}"/>
    <cellStyle name="Normal 4 4 2 2 2 6 6" xfId="27534" xr:uid="{D8CAB0F5-6CC7-4FC5-B5FA-F4D1F31874EE}"/>
    <cellStyle name="Normal 4 4 2 2 2 7" xfId="2537" xr:uid="{00000000-0005-0000-0000-0000EC140000}"/>
    <cellStyle name="Normal 4 4 2 2 2 7 2" xfId="6820" xr:uid="{00000000-0005-0000-0000-0000ED140000}"/>
    <cellStyle name="Normal 4 4 2 2 2 7 2 2" xfId="15270" xr:uid="{ECF56925-F08C-4902-98DB-C5486CBF9AB9}"/>
    <cellStyle name="Normal 4 4 2 2 2 7 2 3" xfId="23717" xr:uid="{2251C2F9-E35B-4A4B-98C5-B17589C336CD}"/>
    <cellStyle name="Normal 4 4 2 2 2 7 2 4" xfId="32164" xr:uid="{3F9BB004-70FE-456C-881C-8008039D2AF2}"/>
    <cellStyle name="Normal 4 4 2 2 2 7 3" xfId="11052" xr:uid="{36A73402-7818-4D53-86C7-E940CB984519}"/>
    <cellStyle name="Normal 4 4 2 2 2 7 4" xfId="19500" xr:uid="{9C55EE85-5883-442A-884E-8008C89A4BB8}"/>
    <cellStyle name="Normal 4 4 2 2 2 7 5" xfId="27947" xr:uid="{7E56BC2E-8710-4495-B673-94952880D09E}"/>
    <cellStyle name="Normal 4 4 2 2 2 8" xfId="4755" xr:uid="{00000000-0005-0000-0000-0000EE140000}"/>
    <cellStyle name="Normal 4 4 2 2 2 8 2" xfId="13205" xr:uid="{293EEC3F-6F82-4863-96EB-F59FBFFFA2D6}"/>
    <cellStyle name="Normal 4 4 2 2 2 8 3" xfId="21652" xr:uid="{657A4D23-1127-4846-859B-22E5533E1CB6}"/>
    <cellStyle name="Normal 4 4 2 2 2 8 4" xfId="30099" xr:uid="{35226C47-BB9D-4655-AA99-29433B25CE04}"/>
    <cellStyle name="Normal 4 4 2 2 2 9" xfId="8987" xr:uid="{F3038C80-3312-492D-99F3-DC1543F877FB}"/>
    <cellStyle name="Normal 4 4 2 2 3" xfId="383" xr:uid="{00000000-0005-0000-0000-0000EF140000}"/>
    <cellStyle name="Normal 4 4 2 2 3 10" xfId="25884" xr:uid="{A3E87AE2-EBC2-45EB-846A-09FD1F0746C2}"/>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6C7AA441-071B-4905-A76B-804F6FA2FE76}"/>
    <cellStyle name="Normal 4 4 2 2 3 2 2 2 3" xfId="24212" xr:uid="{211C1937-8A9B-4ACE-B175-F64653A2E91C}"/>
    <cellStyle name="Normal 4 4 2 2 3 2 2 2 4" xfId="32659" xr:uid="{1E046221-23A2-489D-BAC3-96BDE4DB460B}"/>
    <cellStyle name="Normal 4 4 2 2 3 2 2 3" xfId="11547" xr:uid="{99D68DAC-83AE-4A48-B491-C4DBC6DE667D}"/>
    <cellStyle name="Normal 4 4 2 2 3 2 2 4" xfId="19995" xr:uid="{D8DF7238-1507-4D10-A674-03B6FEF00B01}"/>
    <cellStyle name="Normal 4 4 2 2 3 2 2 5" xfId="28442" xr:uid="{1C8091D5-A484-43CF-948B-4CCE567F1FC7}"/>
    <cellStyle name="Normal 4 4 2 2 3 2 3" xfId="5170" xr:uid="{00000000-0005-0000-0000-0000F3140000}"/>
    <cellStyle name="Normal 4 4 2 2 3 2 3 2" xfId="13620" xr:uid="{06A02ECC-0027-449A-A84E-A3ECAEC7BB1A}"/>
    <cellStyle name="Normal 4 4 2 2 3 2 3 3" xfId="22067" xr:uid="{43608C1B-E113-47D4-BE61-4DA9818CC4B0}"/>
    <cellStyle name="Normal 4 4 2 2 3 2 3 4" xfId="30514" xr:uid="{1065C2A0-1A9F-49BA-BBBD-6810581C4BE5}"/>
    <cellStyle name="Normal 4 4 2 2 3 2 4" xfId="9402" xr:uid="{A16EC6FD-14D6-4F92-8599-7A262E1A8D51}"/>
    <cellStyle name="Normal 4 4 2 2 3 2 5" xfId="17850" xr:uid="{1088C378-FACE-4DC0-8CCD-68218C61DE33}"/>
    <cellStyle name="Normal 4 4 2 2 3 2 6" xfId="26297" xr:uid="{D9665227-6467-41F7-915B-082A4D7E1A9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AF6FD5B9-9E38-4F95-8A0F-C0DE9F5F1791}"/>
    <cellStyle name="Normal 4 4 2 2 3 3 2 2 3" xfId="24625" xr:uid="{3C5C4682-0AD6-4B59-AED9-C47C676C6910}"/>
    <cellStyle name="Normal 4 4 2 2 3 3 2 2 4" xfId="33072" xr:uid="{2E2795E1-02F8-44C5-A393-49F84849229A}"/>
    <cellStyle name="Normal 4 4 2 2 3 3 2 3" xfId="11960" xr:uid="{BD72ACED-CF51-4FA8-9653-D75704625D9A}"/>
    <cellStyle name="Normal 4 4 2 2 3 3 2 4" xfId="20408" xr:uid="{67B895B6-718D-45C8-BF59-EF2485FDFB87}"/>
    <cellStyle name="Normal 4 4 2 2 3 3 2 5" xfId="28855" xr:uid="{9B140EDD-34F2-483B-84B4-600B26E1B9AC}"/>
    <cellStyle name="Normal 4 4 2 2 3 3 3" xfId="5583" xr:uid="{00000000-0005-0000-0000-0000F7140000}"/>
    <cellStyle name="Normal 4 4 2 2 3 3 3 2" xfId="14033" xr:uid="{BEC7750A-32E9-4842-A41E-199A05FFBF84}"/>
    <cellStyle name="Normal 4 4 2 2 3 3 3 3" xfId="22480" xr:uid="{F6B3301F-ECE8-4564-AA23-2B1D9885DD9B}"/>
    <cellStyle name="Normal 4 4 2 2 3 3 3 4" xfId="30927" xr:uid="{C658B943-849C-41F0-807E-A0E833C0480F}"/>
    <cellStyle name="Normal 4 4 2 2 3 3 4" xfId="9815" xr:uid="{4965B4F4-2808-4888-8C6B-24149779A97C}"/>
    <cellStyle name="Normal 4 4 2 2 3 3 5" xfId="18263" xr:uid="{1905544B-C56A-4396-98D4-1BA71BE3CF6A}"/>
    <cellStyle name="Normal 4 4 2 2 3 3 6" xfId="26710" xr:uid="{3312F9C8-10F1-477A-98B9-CEBDAC7A055A}"/>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F1D0C7B7-7F64-493D-A37A-BDBCD0FC03CE}"/>
    <cellStyle name="Normal 4 4 2 2 3 4 2 2 3" xfId="25038" xr:uid="{22B8BB29-9BCF-459E-8C72-5BC27EC22BA1}"/>
    <cellStyle name="Normal 4 4 2 2 3 4 2 2 4" xfId="33485" xr:uid="{47B37E8C-39EF-481F-B815-F9908469FE8F}"/>
    <cellStyle name="Normal 4 4 2 2 3 4 2 3" xfId="12373" xr:uid="{1450969F-346F-41B6-9301-580E4C82365F}"/>
    <cellStyle name="Normal 4 4 2 2 3 4 2 4" xfId="20821" xr:uid="{63BF91E3-8000-432C-A373-23F25A7B799D}"/>
    <cellStyle name="Normal 4 4 2 2 3 4 2 5" xfId="29268" xr:uid="{80AB0D39-14C8-41B5-BE23-CBB22004F433}"/>
    <cellStyle name="Normal 4 4 2 2 3 4 3" xfId="5996" xr:uid="{00000000-0005-0000-0000-0000FB140000}"/>
    <cellStyle name="Normal 4 4 2 2 3 4 3 2" xfId="14446" xr:uid="{A5AA6979-6124-4AAC-B88D-BFE9A18F8F97}"/>
    <cellStyle name="Normal 4 4 2 2 3 4 3 3" xfId="22893" xr:uid="{06E49147-984C-45CC-BCC3-121ED19C7D83}"/>
    <cellStyle name="Normal 4 4 2 2 3 4 3 4" xfId="31340" xr:uid="{19733EAA-9D1C-42EE-9356-9214D621B7F7}"/>
    <cellStyle name="Normal 4 4 2 2 3 4 4" xfId="10228" xr:uid="{357CC914-1214-4C9F-A803-7D882213F694}"/>
    <cellStyle name="Normal 4 4 2 2 3 4 5" xfId="18676" xr:uid="{566F0AA7-B284-49B3-B63C-66421E6B237F}"/>
    <cellStyle name="Normal 4 4 2 2 3 4 6" xfId="27123" xr:uid="{326964F7-1DE0-4154-BDD0-ECAFBD679FA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65C08DC3-F7EC-44EF-9C05-E525B64F3591}"/>
    <cellStyle name="Normal 4 4 2 2 3 5 2 2 3" xfId="25451" xr:uid="{8F9CFD12-8DA0-405A-B069-CE90F201BAD4}"/>
    <cellStyle name="Normal 4 4 2 2 3 5 2 2 4" xfId="33898" xr:uid="{3AC22201-489A-4105-BA71-DBE3E4867D91}"/>
    <cellStyle name="Normal 4 4 2 2 3 5 2 3" xfId="12786" xr:uid="{B9CC2713-69D6-42ED-883F-F9E17EED1EEC}"/>
    <cellStyle name="Normal 4 4 2 2 3 5 2 4" xfId="21234" xr:uid="{D6A7440A-98C4-44C9-8091-4B407DACBC9A}"/>
    <cellStyle name="Normal 4 4 2 2 3 5 2 5" xfId="29681" xr:uid="{96C3EF59-E938-448E-8C2A-6F76CEC772FB}"/>
    <cellStyle name="Normal 4 4 2 2 3 5 3" xfId="6409" xr:uid="{00000000-0005-0000-0000-0000FF140000}"/>
    <cellStyle name="Normal 4 4 2 2 3 5 3 2" xfId="14859" xr:uid="{4215D527-C6DF-4CB6-B298-253C289C904D}"/>
    <cellStyle name="Normal 4 4 2 2 3 5 3 3" xfId="23306" xr:uid="{1B866209-20B9-4EBD-AD57-B5B88880BB6F}"/>
    <cellStyle name="Normal 4 4 2 2 3 5 3 4" xfId="31753" xr:uid="{DB197291-AE3D-4962-A5D9-4C8577A38C00}"/>
    <cellStyle name="Normal 4 4 2 2 3 5 4" xfId="10641" xr:uid="{30F106FB-C4BC-4C3D-B4EE-72AD46475637}"/>
    <cellStyle name="Normal 4 4 2 2 3 5 5" xfId="19089" xr:uid="{0C30348C-D224-49DE-A8A4-356EC125712F}"/>
    <cellStyle name="Normal 4 4 2 2 3 5 6" xfId="27536" xr:uid="{EDD457EA-575D-456A-9DAF-C3449B5843F6}"/>
    <cellStyle name="Normal 4 4 2 2 3 6" xfId="2539" xr:uid="{00000000-0005-0000-0000-000000150000}"/>
    <cellStyle name="Normal 4 4 2 2 3 6 2" xfId="6822" xr:uid="{00000000-0005-0000-0000-000001150000}"/>
    <cellStyle name="Normal 4 4 2 2 3 6 2 2" xfId="15272" xr:uid="{2EB689E8-02AA-44F0-873D-C4D1095D7434}"/>
    <cellStyle name="Normal 4 4 2 2 3 6 2 3" xfId="23719" xr:uid="{0648D0F3-EED5-4B13-8F86-07CDFA5A556C}"/>
    <cellStyle name="Normal 4 4 2 2 3 6 2 4" xfId="32166" xr:uid="{B9F924C6-63B1-4F6A-A953-B03902C22E94}"/>
    <cellStyle name="Normal 4 4 2 2 3 6 3" xfId="11054" xr:uid="{B5FB5A87-AF73-4ED1-9694-8D68CFEE76DF}"/>
    <cellStyle name="Normal 4 4 2 2 3 6 4" xfId="19502" xr:uid="{A4B15D84-EE46-4B3D-9B9D-70A3E559E9CB}"/>
    <cellStyle name="Normal 4 4 2 2 3 6 5" xfId="27949" xr:uid="{599A7603-17B3-4340-B5B3-9797E4F4B629}"/>
    <cellStyle name="Normal 4 4 2 2 3 7" xfId="4757" xr:uid="{00000000-0005-0000-0000-000002150000}"/>
    <cellStyle name="Normal 4 4 2 2 3 7 2" xfId="13207" xr:uid="{129AB0FF-1964-4CE4-962D-359521EBEA32}"/>
    <cellStyle name="Normal 4 4 2 2 3 7 3" xfId="21654" xr:uid="{C647540A-F1BE-4643-8712-21C391A3F7B3}"/>
    <cellStyle name="Normal 4 4 2 2 3 7 4" xfId="30101" xr:uid="{BC11CB11-4286-457E-8B8D-71B9E94EBB05}"/>
    <cellStyle name="Normal 4 4 2 2 3 8" xfId="8989" xr:uid="{769CACDC-3656-41C1-97EE-1CB49AC03386}"/>
    <cellStyle name="Normal 4 4 2 2 3 9" xfId="17437" xr:uid="{7C69C1FE-B44E-488F-87CD-AE0C817DAB50}"/>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0DE9040F-069C-4018-95D8-BFA038B78D68}"/>
    <cellStyle name="Normal 4 4 2 2 4 2 2 3" xfId="24209" xr:uid="{4EB2CC35-2BEA-4A0B-958B-C4EFC8F51E43}"/>
    <cellStyle name="Normal 4 4 2 2 4 2 2 4" xfId="32656" xr:uid="{E1D46C29-CF46-44ED-A8CF-6E4EF9391A88}"/>
    <cellStyle name="Normal 4 4 2 2 4 2 3" xfId="11544" xr:uid="{8D808D5D-C146-45CF-B58A-B0F25DE3F3D1}"/>
    <cellStyle name="Normal 4 4 2 2 4 2 4" xfId="19992" xr:uid="{792A9E02-9014-4EF5-A99B-3BBF7B0E346D}"/>
    <cellStyle name="Normal 4 4 2 2 4 2 5" xfId="28439" xr:uid="{262D8046-8A59-44BE-93FF-D45F887CFA58}"/>
    <cellStyle name="Normal 4 4 2 2 4 3" xfId="5167" xr:uid="{00000000-0005-0000-0000-000006150000}"/>
    <cellStyle name="Normal 4 4 2 2 4 3 2" xfId="13617" xr:uid="{0EDD086F-0DD3-4C7C-A4C5-49D2B4D37ECD}"/>
    <cellStyle name="Normal 4 4 2 2 4 3 3" xfId="22064" xr:uid="{BB14ACD9-D660-42CD-A1EC-E3F168A07647}"/>
    <cellStyle name="Normal 4 4 2 2 4 3 4" xfId="30511" xr:uid="{D90A604B-3016-4CCA-99BD-605F2D7B2C86}"/>
    <cellStyle name="Normal 4 4 2 2 4 4" xfId="9399" xr:uid="{E350B62D-B3F6-46D8-860A-6BA81AD59E83}"/>
    <cellStyle name="Normal 4 4 2 2 4 5" xfId="17847" xr:uid="{A52A9D71-C155-4A55-B074-070D6CBA4419}"/>
    <cellStyle name="Normal 4 4 2 2 4 6" xfId="26294" xr:uid="{437BF2A5-D310-4123-A10B-15C7D247A69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698EDF39-3148-421E-901C-789355738CC8}"/>
    <cellStyle name="Normal 4 4 2 2 5 2 2 3" xfId="24622" xr:uid="{548D2591-24C4-443F-86D6-F2646DAD58DF}"/>
    <cellStyle name="Normal 4 4 2 2 5 2 2 4" xfId="33069" xr:uid="{99895273-0881-4231-9F4E-61D412EC4442}"/>
    <cellStyle name="Normal 4 4 2 2 5 2 3" xfId="11957" xr:uid="{12351081-8130-4D66-AC31-48B2184C3D3D}"/>
    <cellStyle name="Normal 4 4 2 2 5 2 4" xfId="20405" xr:uid="{89C14FAE-A854-4087-A1B2-6E048CD5E525}"/>
    <cellStyle name="Normal 4 4 2 2 5 2 5" xfId="28852" xr:uid="{5E873CF0-D2FD-42DD-98E6-3A89CBA5286F}"/>
    <cellStyle name="Normal 4 4 2 2 5 3" xfId="5580" xr:uid="{00000000-0005-0000-0000-00000A150000}"/>
    <cellStyle name="Normal 4 4 2 2 5 3 2" xfId="14030" xr:uid="{7B223B0B-0B7B-4FBF-BEBC-B4C98762D036}"/>
    <cellStyle name="Normal 4 4 2 2 5 3 3" xfId="22477" xr:uid="{B948D29F-4579-4A56-B9E1-0F9ADF372278}"/>
    <cellStyle name="Normal 4 4 2 2 5 3 4" xfId="30924" xr:uid="{4D85D91C-9546-43C3-9F89-4A6B449897B0}"/>
    <cellStyle name="Normal 4 4 2 2 5 4" xfId="9812" xr:uid="{A0491C78-F24A-441A-A8F5-BE63179BE940}"/>
    <cellStyle name="Normal 4 4 2 2 5 5" xfId="18260" xr:uid="{56312C15-8993-407B-A349-FC53AC728F56}"/>
    <cellStyle name="Normal 4 4 2 2 5 6" xfId="26707" xr:uid="{D368E25C-DC0D-4881-9EC0-58A6860E3FFD}"/>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D9D57D54-46C6-47AE-BC42-96983235BDE4}"/>
    <cellStyle name="Normal 4 4 2 2 6 2 2 3" xfId="25035" xr:uid="{DCC09724-4BBC-4980-925C-04046EA324F5}"/>
    <cellStyle name="Normal 4 4 2 2 6 2 2 4" xfId="33482" xr:uid="{1E290CED-CB0C-4209-9572-94C7EA1CD1C6}"/>
    <cellStyle name="Normal 4 4 2 2 6 2 3" xfId="12370" xr:uid="{B27107D4-2609-4B7D-8F98-D304066B134D}"/>
    <cellStyle name="Normal 4 4 2 2 6 2 4" xfId="20818" xr:uid="{B36FEAF9-BA1D-47C9-B46E-1303EFBB6603}"/>
    <cellStyle name="Normal 4 4 2 2 6 2 5" xfId="29265" xr:uid="{3A7109B1-B336-413C-B882-90F39FE95F6F}"/>
    <cellStyle name="Normal 4 4 2 2 6 3" xfId="5993" xr:uid="{00000000-0005-0000-0000-00000E150000}"/>
    <cellStyle name="Normal 4 4 2 2 6 3 2" xfId="14443" xr:uid="{FA230B1F-F763-412A-BC06-8199AC0E0D7A}"/>
    <cellStyle name="Normal 4 4 2 2 6 3 3" xfId="22890" xr:uid="{3567BC79-4D30-450E-A2FD-C9861A23CCDA}"/>
    <cellStyle name="Normal 4 4 2 2 6 3 4" xfId="31337" xr:uid="{7B94360F-FCA3-4BAE-9A31-35ABF4C091F8}"/>
    <cellStyle name="Normal 4 4 2 2 6 4" xfId="10225" xr:uid="{5E1DA8A7-308B-44FF-8E79-35A82F63372E}"/>
    <cellStyle name="Normal 4 4 2 2 6 5" xfId="18673" xr:uid="{A1B6B311-7B1B-4C45-AE21-33CEB639F7B7}"/>
    <cellStyle name="Normal 4 4 2 2 6 6" xfId="27120" xr:uid="{6E3F94E5-F655-43AC-A6E8-13ED99111815}"/>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02DAADD3-6CB8-4F8E-8B1C-BB43355491B2}"/>
    <cellStyle name="Normal 4 4 2 2 7 2 2 3" xfId="25448" xr:uid="{080D254F-42AE-4D8F-A1C4-54CF238924B5}"/>
    <cellStyle name="Normal 4 4 2 2 7 2 2 4" xfId="33895" xr:uid="{77AE9714-D14B-4643-B8EE-093D47F6678C}"/>
    <cellStyle name="Normal 4 4 2 2 7 2 3" xfId="12783" xr:uid="{7A03FE0C-3493-4E64-A873-FBADEEFCCF70}"/>
    <cellStyle name="Normal 4 4 2 2 7 2 4" xfId="21231" xr:uid="{015017DA-11C0-4D2B-B584-A2F297A441E7}"/>
    <cellStyle name="Normal 4 4 2 2 7 2 5" xfId="29678" xr:uid="{4DB29A72-4597-41E7-86C1-0053358D3FF3}"/>
    <cellStyle name="Normal 4 4 2 2 7 3" xfId="6406" xr:uid="{00000000-0005-0000-0000-000012150000}"/>
    <cellStyle name="Normal 4 4 2 2 7 3 2" xfId="14856" xr:uid="{9BF0A521-9B88-42BA-87CD-CB0414E215B0}"/>
    <cellStyle name="Normal 4 4 2 2 7 3 3" xfId="23303" xr:uid="{D26499E3-3160-4DA0-AB66-B4E1E3596B92}"/>
    <cellStyle name="Normal 4 4 2 2 7 3 4" xfId="31750" xr:uid="{99C27E55-755B-4EE4-936A-45FDC0FF1D39}"/>
    <cellStyle name="Normal 4 4 2 2 7 4" xfId="10638" xr:uid="{C692B97E-BEA5-40B6-A014-0293B63A552F}"/>
    <cellStyle name="Normal 4 4 2 2 7 5" xfId="19086" xr:uid="{0E54C43E-73F7-42B5-877D-6ED2BC7B7E72}"/>
    <cellStyle name="Normal 4 4 2 2 7 6" xfId="27533" xr:uid="{D2A04CC8-3C2E-4F5C-9F95-812AB1F0AB61}"/>
    <cellStyle name="Normal 4 4 2 2 8" xfId="2536" xr:uid="{00000000-0005-0000-0000-000013150000}"/>
    <cellStyle name="Normal 4 4 2 2 8 2" xfId="6819" xr:uid="{00000000-0005-0000-0000-000014150000}"/>
    <cellStyle name="Normal 4 4 2 2 8 2 2" xfId="15269" xr:uid="{EC0DA795-9424-47A9-8F1A-C7091DA466B1}"/>
    <cellStyle name="Normal 4 4 2 2 8 2 3" xfId="23716" xr:uid="{CCBF3428-04A1-419D-B5E8-D9191F6B2366}"/>
    <cellStyle name="Normal 4 4 2 2 8 2 4" xfId="32163" xr:uid="{707E3B56-F738-44B9-8582-447DB4A88ABB}"/>
    <cellStyle name="Normal 4 4 2 2 8 3" xfId="11051" xr:uid="{33B2D160-5012-4417-9EA7-033F33C06224}"/>
    <cellStyle name="Normal 4 4 2 2 8 4" xfId="19499" xr:uid="{E030D00F-A38F-4C59-A424-CEE09AA1E938}"/>
    <cellStyle name="Normal 4 4 2 2 8 5" xfId="27946" xr:uid="{E8D5F616-23CA-4322-985C-FCD5CE490F6A}"/>
    <cellStyle name="Normal 4 4 2 2 9" xfId="4754" xr:uid="{00000000-0005-0000-0000-000015150000}"/>
    <cellStyle name="Normal 4 4 2 2 9 2" xfId="13204" xr:uid="{67319EAF-D7FF-4DFD-B50C-4A1B44A7096B}"/>
    <cellStyle name="Normal 4 4 2 2 9 3" xfId="21651" xr:uid="{E5DF4656-CBC5-410A-A079-72376B6F6104}"/>
    <cellStyle name="Normal 4 4 2 2 9 4" xfId="30098" xr:uid="{4561581B-8126-492D-B498-78C119445035}"/>
    <cellStyle name="Normal 4 4 2 3" xfId="384" xr:uid="{00000000-0005-0000-0000-000016150000}"/>
    <cellStyle name="Normal 4 4 2 3 10" xfId="17438" xr:uid="{086E5E1F-90FA-4AA3-A6CC-A6DD09AD2B4C}"/>
    <cellStyle name="Normal 4 4 2 3 11" xfId="25885" xr:uid="{544A092D-B73A-467F-90BA-E4488B2BDBAF}"/>
    <cellStyle name="Normal 4 4 2 3 2" xfId="385" xr:uid="{00000000-0005-0000-0000-000017150000}"/>
    <cellStyle name="Normal 4 4 2 3 2 10" xfId="25886" xr:uid="{02897A60-E5E2-4753-A138-F21A5304608E}"/>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F5AF0AFC-85CD-4497-B9DB-333E6637FB2B}"/>
    <cellStyle name="Normal 4 4 2 3 2 2 2 2 3" xfId="24214" xr:uid="{11C0637E-210C-419C-A5E0-E7B27A7E242E}"/>
    <cellStyle name="Normal 4 4 2 3 2 2 2 2 4" xfId="32661" xr:uid="{16B09C6F-854A-4E37-BC9E-5E2119E8B168}"/>
    <cellStyle name="Normal 4 4 2 3 2 2 2 3" xfId="11549" xr:uid="{975885B7-2D17-4311-A82E-DBDE4A24F61D}"/>
    <cellStyle name="Normal 4 4 2 3 2 2 2 4" xfId="19997" xr:uid="{1A0E98CB-506B-425B-8866-B891D65A2917}"/>
    <cellStyle name="Normal 4 4 2 3 2 2 2 5" xfId="28444" xr:uid="{83FE7B37-9992-4FCE-866C-4D2C1A36EF9E}"/>
    <cellStyle name="Normal 4 4 2 3 2 2 3" xfId="5172" xr:uid="{00000000-0005-0000-0000-00001B150000}"/>
    <cellStyle name="Normal 4 4 2 3 2 2 3 2" xfId="13622" xr:uid="{A4E17B46-8E9D-40CC-8CD7-0D2147ED7B34}"/>
    <cellStyle name="Normal 4 4 2 3 2 2 3 3" xfId="22069" xr:uid="{F59F322E-D873-47C4-8047-2CB02EC0E55A}"/>
    <cellStyle name="Normal 4 4 2 3 2 2 3 4" xfId="30516" xr:uid="{224A19E6-7F27-4069-AE1A-303ED3E095E7}"/>
    <cellStyle name="Normal 4 4 2 3 2 2 4" xfId="9404" xr:uid="{D5284240-2C1C-4530-A99A-B5C2714CBF1A}"/>
    <cellStyle name="Normal 4 4 2 3 2 2 5" xfId="17852" xr:uid="{987C5405-4F7D-4F41-AF56-304B608A6B43}"/>
    <cellStyle name="Normal 4 4 2 3 2 2 6" xfId="26299" xr:uid="{14760D2C-4E2D-4F1B-B8B7-A6176322BD3D}"/>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7D443B83-3922-4EEB-B7BF-0BA5C4B3DAE1}"/>
    <cellStyle name="Normal 4 4 2 3 2 3 2 2 3" xfId="24627" xr:uid="{FC98F2F5-D32D-4F31-8797-5530BA417163}"/>
    <cellStyle name="Normal 4 4 2 3 2 3 2 2 4" xfId="33074" xr:uid="{BE884899-3A52-4AD7-9702-8845356989DC}"/>
    <cellStyle name="Normal 4 4 2 3 2 3 2 3" xfId="11962" xr:uid="{43CD2AEC-4F6E-47E4-9296-B8173AF5016E}"/>
    <cellStyle name="Normal 4 4 2 3 2 3 2 4" xfId="20410" xr:uid="{197B8690-0D61-4F8E-A936-8BCB50D8EBF1}"/>
    <cellStyle name="Normal 4 4 2 3 2 3 2 5" xfId="28857" xr:uid="{B8E8C6DB-CBB1-41CE-98AC-645031C8AAD4}"/>
    <cellStyle name="Normal 4 4 2 3 2 3 3" xfId="5585" xr:uid="{00000000-0005-0000-0000-00001F150000}"/>
    <cellStyle name="Normal 4 4 2 3 2 3 3 2" xfId="14035" xr:uid="{89528577-1A70-4820-99FD-22C0657FC070}"/>
    <cellStyle name="Normal 4 4 2 3 2 3 3 3" xfId="22482" xr:uid="{0F89E050-6EB2-40FE-8371-F7F3D484F30B}"/>
    <cellStyle name="Normal 4 4 2 3 2 3 3 4" xfId="30929" xr:uid="{5DA8EC1F-63DF-4461-8C90-7343878FABE7}"/>
    <cellStyle name="Normal 4 4 2 3 2 3 4" xfId="9817" xr:uid="{869B7B14-536C-4658-A02D-1573768FAB60}"/>
    <cellStyle name="Normal 4 4 2 3 2 3 5" xfId="18265" xr:uid="{BF438D26-B57B-41C2-8E33-08F59130511F}"/>
    <cellStyle name="Normal 4 4 2 3 2 3 6" xfId="26712" xr:uid="{E3FD497E-4AF5-482A-9D4D-5998D7F2981B}"/>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ED926A06-4919-45BD-B7AE-17A9174EB964}"/>
    <cellStyle name="Normal 4 4 2 3 2 4 2 2 3" xfId="25040" xr:uid="{07E3760B-B6BA-4CA1-9E92-D24352158A55}"/>
    <cellStyle name="Normal 4 4 2 3 2 4 2 2 4" xfId="33487" xr:uid="{E01FFDB2-2219-4ACE-977B-45F850754C06}"/>
    <cellStyle name="Normal 4 4 2 3 2 4 2 3" xfId="12375" xr:uid="{0740CC5A-CFED-44CA-BE0D-1339DF3C1FAE}"/>
    <cellStyle name="Normal 4 4 2 3 2 4 2 4" xfId="20823" xr:uid="{3E13B5E8-E51F-43C8-B238-27DFDC78F2D1}"/>
    <cellStyle name="Normal 4 4 2 3 2 4 2 5" xfId="29270" xr:uid="{32EE0228-A82C-4D82-A664-10C704A2F925}"/>
    <cellStyle name="Normal 4 4 2 3 2 4 3" xfId="5998" xr:uid="{00000000-0005-0000-0000-000023150000}"/>
    <cellStyle name="Normal 4 4 2 3 2 4 3 2" xfId="14448" xr:uid="{1FFEA6B2-93FD-43FE-A685-BEED891F0CAD}"/>
    <cellStyle name="Normal 4 4 2 3 2 4 3 3" xfId="22895" xr:uid="{C2AE39BF-979B-4EA7-9E8A-69A190F26A14}"/>
    <cellStyle name="Normal 4 4 2 3 2 4 3 4" xfId="31342" xr:uid="{C2D4B33D-034B-4FBA-9DC9-FE7585E18F46}"/>
    <cellStyle name="Normal 4 4 2 3 2 4 4" xfId="10230" xr:uid="{3B2EF285-AEE6-4F81-AF6E-53A15EC3F5D3}"/>
    <cellStyle name="Normal 4 4 2 3 2 4 5" xfId="18678" xr:uid="{3571B317-A050-44BA-87E4-69EBA5A17FEB}"/>
    <cellStyle name="Normal 4 4 2 3 2 4 6" xfId="27125" xr:uid="{DAE5E2A6-FED2-4A92-AE30-687CD7D8265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31EB4370-07F7-4A64-A12C-8AC3E7D89896}"/>
    <cellStyle name="Normal 4 4 2 3 2 5 2 2 3" xfId="25453" xr:uid="{58E79C35-894F-4639-A0A9-E841C0A810B9}"/>
    <cellStyle name="Normal 4 4 2 3 2 5 2 2 4" xfId="33900" xr:uid="{3E4A53B9-AD8D-4F07-9D4C-3985E607A927}"/>
    <cellStyle name="Normal 4 4 2 3 2 5 2 3" xfId="12788" xr:uid="{CACEE109-4815-412D-9C52-F2EF4C0B21BD}"/>
    <cellStyle name="Normal 4 4 2 3 2 5 2 4" xfId="21236" xr:uid="{C76F2F41-2947-47AA-9F8D-F74CFD7995C8}"/>
    <cellStyle name="Normal 4 4 2 3 2 5 2 5" xfId="29683" xr:uid="{B26D0F19-53FA-437C-8BE6-F161747C239F}"/>
    <cellStyle name="Normal 4 4 2 3 2 5 3" xfId="6411" xr:uid="{00000000-0005-0000-0000-000027150000}"/>
    <cellStyle name="Normal 4 4 2 3 2 5 3 2" xfId="14861" xr:uid="{231D6102-E712-409F-86D6-32FAF69E9C88}"/>
    <cellStyle name="Normal 4 4 2 3 2 5 3 3" xfId="23308" xr:uid="{453EE9DA-BB06-4A84-A14E-EAEBA0DD6781}"/>
    <cellStyle name="Normal 4 4 2 3 2 5 3 4" xfId="31755" xr:uid="{45E7E048-3462-4FD4-971A-860DB81ECD3E}"/>
    <cellStyle name="Normal 4 4 2 3 2 5 4" xfId="10643" xr:uid="{0CD32E96-4E5D-4D3D-B0D1-184C5D10EE44}"/>
    <cellStyle name="Normal 4 4 2 3 2 5 5" xfId="19091" xr:uid="{332EC269-0BA1-4A56-97A9-968FF222F73D}"/>
    <cellStyle name="Normal 4 4 2 3 2 5 6" xfId="27538" xr:uid="{CD9C8DB6-B37F-4FF2-ACD9-AFC61F496A4B}"/>
    <cellStyle name="Normal 4 4 2 3 2 6" xfId="2541" xr:uid="{00000000-0005-0000-0000-000028150000}"/>
    <cellStyle name="Normal 4 4 2 3 2 6 2" xfId="6824" xr:uid="{00000000-0005-0000-0000-000029150000}"/>
    <cellStyle name="Normal 4 4 2 3 2 6 2 2" xfId="15274" xr:uid="{9D9BB791-1F1B-4F48-87CB-6176EB77E315}"/>
    <cellStyle name="Normal 4 4 2 3 2 6 2 3" xfId="23721" xr:uid="{0F1D8C78-B3FA-4DC0-BA08-C1816C1D1F4A}"/>
    <cellStyle name="Normal 4 4 2 3 2 6 2 4" xfId="32168" xr:uid="{5BF4EDBA-9068-4CC7-B96B-1E7FBB5C376A}"/>
    <cellStyle name="Normal 4 4 2 3 2 6 3" xfId="11056" xr:uid="{659E9417-4497-4D4D-AAB0-AE31159AD133}"/>
    <cellStyle name="Normal 4 4 2 3 2 6 4" xfId="19504" xr:uid="{93E2CE1E-2D5B-4DF8-83D3-4F0F5F9656E9}"/>
    <cellStyle name="Normal 4 4 2 3 2 6 5" xfId="27951" xr:uid="{4F30D01E-DFF2-487B-90FA-8AA79A217CD4}"/>
    <cellStyle name="Normal 4 4 2 3 2 7" xfId="4759" xr:uid="{00000000-0005-0000-0000-00002A150000}"/>
    <cellStyle name="Normal 4 4 2 3 2 7 2" xfId="13209" xr:uid="{8DB039A1-358F-4380-B1C1-89F8E6CE97EF}"/>
    <cellStyle name="Normal 4 4 2 3 2 7 3" xfId="21656" xr:uid="{3D8AE290-2822-43D5-8F6A-AAA77078BC5A}"/>
    <cellStyle name="Normal 4 4 2 3 2 7 4" xfId="30103" xr:uid="{81FB3487-A8C1-4B2B-A7F7-EC7D66CE2188}"/>
    <cellStyle name="Normal 4 4 2 3 2 8" xfId="8991" xr:uid="{754A0227-3249-4097-91B7-3EDFF2204F74}"/>
    <cellStyle name="Normal 4 4 2 3 2 9" xfId="17439" xr:uid="{BEA0AFEA-0E05-4374-99E7-C36CB2F3121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DF69B728-9E8A-4724-840E-7798CAECD5BB}"/>
    <cellStyle name="Normal 4 4 2 3 3 2 2 3" xfId="24213" xr:uid="{6F0A299E-3C35-4ECF-8BF1-E4D19E71B194}"/>
    <cellStyle name="Normal 4 4 2 3 3 2 2 4" xfId="32660" xr:uid="{6BC819F4-B1A5-481E-BD12-1B03ECC19F21}"/>
    <cellStyle name="Normal 4 4 2 3 3 2 3" xfId="11548" xr:uid="{1CCB8759-BC58-458D-9F60-4504BFA932E0}"/>
    <cellStyle name="Normal 4 4 2 3 3 2 4" xfId="19996" xr:uid="{33492535-1ABB-42D4-A4BF-01DA76E9771B}"/>
    <cellStyle name="Normal 4 4 2 3 3 2 5" xfId="28443" xr:uid="{9DF08FDA-27D8-44DB-B4D8-B79351362BCE}"/>
    <cellStyle name="Normal 4 4 2 3 3 3" xfId="5171" xr:uid="{00000000-0005-0000-0000-00002E150000}"/>
    <cellStyle name="Normal 4 4 2 3 3 3 2" xfId="13621" xr:uid="{70389128-DD5A-43A0-83EE-CA44A4F52B6B}"/>
    <cellStyle name="Normal 4 4 2 3 3 3 3" xfId="22068" xr:uid="{E7468974-C00E-4379-B8ED-EABDC9D2CA27}"/>
    <cellStyle name="Normal 4 4 2 3 3 3 4" xfId="30515" xr:uid="{002CF241-DDA9-46F2-BD4E-6F284A43907D}"/>
    <cellStyle name="Normal 4 4 2 3 3 4" xfId="9403" xr:uid="{910E453E-9624-4345-A9D1-AF73A13A2374}"/>
    <cellStyle name="Normal 4 4 2 3 3 5" xfId="17851" xr:uid="{568A8478-1C62-42F6-A318-4F63FCA5F669}"/>
    <cellStyle name="Normal 4 4 2 3 3 6" xfId="26298" xr:uid="{1BEDECB4-909C-4700-B670-16CE2EC86577}"/>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55AF90CD-7491-4033-878C-DA83AF308A26}"/>
    <cellStyle name="Normal 4 4 2 3 4 2 2 3" xfId="24626" xr:uid="{81049D58-AD74-46FA-A70E-7B1595CBF73B}"/>
    <cellStyle name="Normal 4 4 2 3 4 2 2 4" xfId="33073" xr:uid="{85C70E56-8417-48BB-ACDB-DF5060E0F664}"/>
    <cellStyle name="Normal 4 4 2 3 4 2 3" xfId="11961" xr:uid="{636876A7-8CE8-4586-8D07-715A73DC4A42}"/>
    <cellStyle name="Normal 4 4 2 3 4 2 4" xfId="20409" xr:uid="{85D7E67E-3630-41A1-8B9A-947098281CEF}"/>
    <cellStyle name="Normal 4 4 2 3 4 2 5" xfId="28856" xr:uid="{44D46B56-EB3C-4AC2-A2BA-2F7C9EC336CD}"/>
    <cellStyle name="Normal 4 4 2 3 4 3" xfId="5584" xr:uid="{00000000-0005-0000-0000-000032150000}"/>
    <cellStyle name="Normal 4 4 2 3 4 3 2" xfId="14034" xr:uid="{5BDEB5C9-8732-40D1-B6E2-0B10AD110EC9}"/>
    <cellStyle name="Normal 4 4 2 3 4 3 3" xfId="22481" xr:uid="{695ADC58-610C-4FAC-8BC2-591F46F8F5BA}"/>
    <cellStyle name="Normal 4 4 2 3 4 3 4" xfId="30928" xr:uid="{52E9B499-36B2-4D0E-AF29-B9EC1E0FBA56}"/>
    <cellStyle name="Normal 4 4 2 3 4 4" xfId="9816" xr:uid="{C533F2E1-6E69-4B6D-B497-2F2BDE50895A}"/>
    <cellStyle name="Normal 4 4 2 3 4 5" xfId="18264" xr:uid="{71EBEE70-A369-4235-BBAD-154826B6B787}"/>
    <cellStyle name="Normal 4 4 2 3 4 6" xfId="26711" xr:uid="{D12BB21C-A06F-4A11-8E55-4AE10D34A42B}"/>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1FCCE322-AEBC-4A9F-AAAC-E19046C4F23C}"/>
    <cellStyle name="Normal 4 4 2 3 5 2 2 3" xfId="25039" xr:uid="{2568450E-997C-40F2-8666-6453632B0125}"/>
    <cellStyle name="Normal 4 4 2 3 5 2 2 4" xfId="33486" xr:uid="{C1AF9097-6BC3-499A-9344-D84D6397A338}"/>
    <cellStyle name="Normal 4 4 2 3 5 2 3" xfId="12374" xr:uid="{28CC5FC1-0FF0-41D1-B97D-ECF032C9651F}"/>
    <cellStyle name="Normal 4 4 2 3 5 2 4" xfId="20822" xr:uid="{F621D493-A5F9-44A6-B509-4206984967DA}"/>
    <cellStyle name="Normal 4 4 2 3 5 2 5" xfId="29269" xr:uid="{73100186-7324-4AD7-9B07-7E172DB868D4}"/>
    <cellStyle name="Normal 4 4 2 3 5 3" xfId="5997" xr:uid="{00000000-0005-0000-0000-000036150000}"/>
    <cellStyle name="Normal 4 4 2 3 5 3 2" xfId="14447" xr:uid="{C16BDE0D-222E-42A9-94AE-5FD1F21D63C5}"/>
    <cellStyle name="Normal 4 4 2 3 5 3 3" xfId="22894" xr:uid="{CD199642-2A16-48FD-918B-47B3E166CD69}"/>
    <cellStyle name="Normal 4 4 2 3 5 3 4" xfId="31341" xr:uid="{A6C520B3-F4C2-4E64-A180-6801649A759F}"/>
    <cellStyle name="Normal 4 4 2 3 5 4" xfId="10229" xr:uid="{10348640-602B-4C33-B08A-1B426929C827}"/>
    <cellStyle name="Normal 4 4 2 3 5 5" xfId="18677" xr:uid="{A17A6109-A33E-47AB-88E5-BBB5AC6943BD}"/>
    <cellStyle name="Normal 4 4 2 3 5 6" xfId="27124" xr:uid="{D4AD13B2-75AE-413F-9111-ED1EE53BFA9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0DB4C57D-ABB4-47F9-BFE7-B6B76A037B01}"/>
    <cellStyle name="Normal 4 4 2 3 6 2 2 3" xfId="25452" xr:uid="{3725276C-01C2-4268-8610-F1074541D4F0}"/>
    <cellStyle name="Normal 4 4 2 3 6 2 2 4" xfId="33899" xr:uid="{886DB4E6-B6FD-4B09-BFAA-393F535B247B}"/>
    <cellStyle name="Normal 4 4 2 3 6 2 3" xfId="12787" xr:uid="{BE0BF1BE-D441-4772-AF64-E99F7F6495EC}"/>
    <cellStyle name="Normal 4 4 2 3 6 2 4" xfId="21235" xr:uid="{FF8F8F2A-33F4-4EA6-A5A5-06E1D1DF3C57}"/>
    <cellStyle name="Normal 4 4 2 3 6 2 5" xfId="29682" xr:uid="{D6FA125E-5A94-4473-BEF1-8CB1B049A8C9}"/>
    <cellStyle name="Normal 4 4 2 3 6 3" xfId="6410" xr:uid="{00000000-0005-0000-0000-00003A150000}"/>
    <cellStyle name="Normal 4 4 2 3 6 3 2" xfId="14860" xr:uid="{7B19EB45-4088-44E4-BCBA-4FE7F55964CD}"/>
    <cellStyle name="Normal 4 4 2 3 6 3 3" xfId="23307" xr:uid="{A9D77863-2F87-4FEF-83BF-FC59361C45BF}"/>
    <cellStyle name="Normal 4 4 2 3 6 3 4" xfId="31754" xr:uid="{57CE1C0F-885E-4E4E-A86B-EFFF6C898719}"/>
    <cellStyle name="Normal 4 4 2 3 6 4" xfId="10642" xr:uid="{E34409DD-F48D-452F-8C16-41188FFA4096}"/>
    <cellStyle name="Normal 4 4 2 3 6 5" xfId="19090" xr:uid="{48DFAFE6-5279-4CC0-99D7-6346091CDD6A}"/>
    <cellStyle name="Normal 4 4 2 3 6 6" xfId="27537" xr:uid="{00E8A030-B0AF-4E8C-AB09-E136C319E986}"/>
    <cellStyle name="Normal 4 4 2 3 7" xfId="2540" xr:uid="{00000000-0005-0000-0000-00003B150000}"/>
    <cellStyle name="Normal 4 4 2 3 7 2" xfId="6823" xr:uid="{00000000-0005-0000-0000-00003C150000}"/>
    <cellStyle name="Normal 4 4 2 3 7 2 2" xfId="15273" xr:uid="{CB300074-FFEC-4B4D-A441-757AC4FEE0E5}"/>
    <cellStyle name="Normal 4 4 2 3 7 2 3" xfId="23720" xr:uid="{CC32AB68-B46F-4E3C-A403-DF7EDA001EC1}"/>
    <cellStyle name="Normal 4 4 2 3 7 2 4" xfId="32167" xr:uid="{4A492E9A-33F1-4834-896D-5AA63DEC3E36}"/>
    <cellStyle name="Normal 4 4 2 3 7 3" xfId="11055" xr:uid="{B2E4BA98-726C-4BD8-8DE3-57FDDA224F2B}"/>
    <cellStyle name="Normal 4 4 2 3 7 4" xfId="19503" xr:uid="{A601A32D-314E-4EBA-9F83-6D94FFBA2769}"/>
    <cellStyle name="Normal 4 4 2 3 7 5" xfId="27950" xr:uid="{C33016F6-7712-4FE9-80EF-513B9E9A9197}"/>
    <cellStyle name="Normal 4 4 2 3 8" xfId="4758" xr:uid="{00000000-0005-0000-0000-00003D150000}"/>
    <cellStyle name="Normal 4 4 2 3 8 2" xfId="13208" xr:uid="{5015D878-1D82-4F87-BC3A-595E96363902}"/>
    <cellStyle name="Normal 4 4 2 3 8 3" xfId="21655" xr:uid="{D3460DA8-DFA6-4CF8-8105-F08B0A309E48}"/>
    <cellStyle name="Normal 4 4 2 3 8 4" xfId="30102" xr:uid="{A769F315-BEC9-4219-B4B0-D2E83C52BC4E}"/>
    <cellStyle name="Normal 4 4 2 3 9" xfId="8990" xr:uid="{94F5742B-017D-445A-A2B2-D66571228A06}"/>
    <cellStyle name="Normal 4 4 2 4" xfId="386" xr:uid="{00000000-0005-0000-0000-00003E150000}"/>
    <cellStyle name="Normal 4 4 2 4 10" xfId="25887" xr:uid="{07CF2427-DEFD-4384-8545-1BFF31615C7A}"/>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5B6A14F0-BC59-4C5C-91F9-919C1AA56537}"/>
    <cellStyle name="Normal 4 4 2 4 2 2 2 3" xfId="24215" xr:uid="{515A7895-F924-41BC-81F1-BCD72467BFF4}"/>
    <cellStyle name="Normal 4 4 2 4 2 2 2 4" xfId="32662" xr:uid="{5C010B9C-C8AD-4F8E-93CA-124BBB88CF95}"/>
    <cellStyle name="Normal 4 4 2 4 2 2 3" xfId="11550" xr:uid="{961378E2-BEDC-483D-9707-020C7E592256}"/>
    <cellStyle name="Normal 4 4 2 4 2 2 4" xfId="19998" xr:uid="{8FC19906-C115-45D2-8C49-A2523C13EAF2}"/>
    <cellStyle name="Normal 4 4 2 4 2 2 5" xfId="28445" xr:uid="{96A209E3-E0B8-4B79-9D95-A6F3239B678B}"/>
    <cellStyle name="Normal 4 4 2 4 2 3" xfId="5173" xr:uid="{00000000-0005-0000-0000-000042150000}"/>
    <cellStyle name="Normal 4 4 2 4 2 3 2" xfId="13623" xr:uid="{F600E4FE-F7BA-4C70-A9B5-5AB9B3E645BF}"/>
    <cellStyle name="Normal 4 4 2 4 2 3 3" xfId="22070" xr:uid="{6AC4DCFC-4D3C-43F1-B10E-39242461BE5E}"/>
    <cellStyle name="Normal 4 4 2 4 2 3 4" xfId="30517" xr:uid="{7C1FC8CE-9B24-4232-9A90-0FECFAC42E66}"/>
    <cellStyle name="Normal 4 4 2 4 2 4" xfId="9405" xr:uid="{20C36F81-BD95-4F41-AF88-2D63C1460899}"/>
    <cellStyle name="Normal 4 4 2 4 2 5" xfId="17853" xr:uid="{C1C8DBD8-C222-428B-8252-AAE61FF6C6E2}"/>
    <cellStyle name="Normal 4 4 2 4 2 6" xfId="26300" xr:uid="{D9041E39-C7A6-467F-B015-4E9D28D5A61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593AA085-3ED9-4F71-835B-E2822F03DB26}"/>
    <cellStyle name="Normal 4 4 2 4 3 2 2 3" xfId="24628" xr:uid="{AA2C3814-E415-4D24-8EB9-FE98928322E3}"/>
    <cellStyle name="Normal 4 4 2 4 3 2 2 4" xfId="33075" xr:uid="{F0FA10B1-BBF2-4EA9-8282-B53D9C463A7F}"/>
    <cellStyle name="Normal 4 4 2 4 3 2 3" xfId="11963" xr:uid="{36F8E705-10A2-4736-912B-A93D25CBCA2D}"/>
    <cellStyle name="Normal 4 4 2 4 3 2 4" xfId="20411" xr:uid="{F580E9CA-62D9-471A-B882-19C66C6AA67A}"/>
    <cellStyle name="Normal 4 4 2 4 3 2 5" xfId="28858" xr:uid="{48B32CA9-C883-461B-A3E1-EE17B4B09F00}"/>
    <cellStyle name="Normal 4 4 2 4 3 3" xfId="5586" xr:uid="{00000000-0005-0000-0000-000046150000}"/>
    <cellStyle name="Normal 4 4 2 4 3 3 2" xfId="14036" xr:uid="{4E52C3CA-11C4-4433-B2AB-28A1EC9A04C0}"/>
    <cellStyle name="Normal 4 4 2 4 3 3 3" xfId="22483" xr:uid="{E4C3F0D2-737A-4610-A2FB-3A27325C018A}"/>
    <cellStyle name="Normal 4 4 2 4 3 3 4" xfId="30930" xr:uid="{31492ABF-4ED3-47E8-82EF-87549B57F44C}"/>
    <cellStyle name="Normal 4 4 2 4 3 4" xfId="9818" xr:uid="{657CABEA-88CA-4580-B832-1A861587B5F9}"/>
    <cellStyle name="Normal 4 4 2 4 3 5" xfId="18266" xr:uid="{EB7B2436-20B0-42D1-BC49-567415964AA5}"/>
    <cellStyle name="Normal 4 4 2 4 3 6" xfId="26713" xr:uid="{B8C6899C-A992-4766-8216-E39876AB66A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A935398-A7BF-47AD-AEC3-DFBB4BE6DF43}"/>
    <cellStyle name="Normal 4 4 2 4 4 2 2 3" xfId="25041" xr:uid="{1FB401A3-2A9E-4AA6-9EAA-0A164AE8FF16}"/>
    <cellStyle name="Normal 4 4 2 4 4 2 2 4" xfId="33488" xr:uid="{DCC753A8-2669-446A-8898-704DFEBC0DC0}"/>
    <cellStyle name="Normal 4 4 2 4 4 2 3" xfId="12376" xr:uid="{9A16C401-7173-4C7F-AAB5-051F89E35F1A}"/>
    <cellStyle name="Normal 4 4 2 4 4 2 4" xfId="20824" xr:uid="{7215A89C-4F3F-4546-9679-5B0FCAD23A74}"/>
    <cellStyle name="Normal 4 4 2 4 4 2 5" xfId="29271" xr:uid="{E5ED4506-FF8E-4662-8CD1-0EDB0765769F}"/>
    <cellStyle name="Normal 4 4 2 4 4 3" xfId="5999" xr:uid="{00000000-0005-0000-0000-00004A150000}"/>
    <cellStyle name="Normal 4 4 2 4 4 3 2" xfId="14449" xr:uid="{FEECEEE8-AEDD-471C-95C1-CCD64D716AD8}"/>
    <cellStyle name="Normal 4 4 2 4 4 3 3" xfId="22896" xr:uid="{D1AF4EF7-7BCE-4403-85E7-E99B68C03D6C}"/>
    <cellStyle name="Normal 4 4 2 4 4 3 4" xfId="31343" xr:uid="{951C393E-889D-42CC-B11C-179C9958A94B}"/>
    <cellStyle name="Normal 4 4 2 4 4 4" xfId="10231" xr:uid="{825C7E27-D2A2-4B9F-A206-E829F97FEA3E}"/>
    <cellStyle name="Normal 4 4 2 4 4 5" xfId="18679" xr:uid="{24334CA4-B41E-4C68-8E7D-C57AD79CE26A}"/>
    <cellStyle name="Normal 4 4 2 4 4 6" xfId="27126" xr:uid="{98836EE9-DEFD-448F-95C8-F1C698039135}"/>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ADB6EE0B-BE3D-43B4-923B-9E51975F0213}"/>
    <cellStyle name="Normal 4 4 2 4 5 2 2 3" xfId="25454" xr:uid="{27CDE506-9E2A-4195-8FC6-CA807D14B2F2}"/>
    <cellStyle name="Normal 4 4 2 4 5 2 2 4" xfId="33901" xr:uid="{28A9C871-CF4F-43BE-987D-EC9B58B23D5C}"/>
    <cellStyle name="Normal 4 4 2 4 5 2 3" xfId="12789" xr:uid="{CB0AB17E-B3BC-4327-B325-FC3E5BFE08E7}"/>
    <cellStyle name="Normal 4 4 2 4 5 2 4" xfId="21237" xr:uid="{EAAD8591-C1DD-419F-ABBC-4F500B907CF8}"/>
    <cellStyle name="Normal 4 4 2 4 5 2 5" xfId="29684" xr:uid="{3289E4A2-19CA-49F0-A714-9A76821729FB}"/>
    <cellStyle name="Normal 4 4 2 4 5 3" xfId="6412" xr:uid="{00000000-0005-0000-0000-00004E150000}"/>
    <cellStyle name="Normal 4 4 2 4 5 3 2" xfId="14862" xr:uid="{66AFD7F9-683A-446E-BF2E-D922A84EC2EE}"/>
    <cellStyle name="Normal 4 4 2 4 5 3 3" xfId="23309" xr:uid="{5EBC6FF8-DC61-4BBB-880F-A4B8F5651741}"/>
    <cellStyle name="Normal 4 4 2 4 5 3 4" xfId="31756" xr:uid="{2F44E957-88DF-4F6F-9CA8-19D36D683D0A}"/>
    <cellStyle name="Normal 4 4 2 4 5 4" xfId="10644" xr:uid="{2773DBBA-E866-485A-9816-DA1B1B719270}"/>
    <cellStyle name="Normal 4 4 2 4 5 5" xfId="19092" xr:uid="{A4CCF02E-B814-43DA-87DF-8B1A8660484F}"/>
    <cellStyle name="Normal 4 4 2 4 5 6" xfId="27539" xr:uid="{7C3AF702-6A5D-473E-B51A-EA2D9B10D2FF}"/>
    <cellStyle name="Normal 4 4 2 4 6" xfId="2542" xr:uid="{00000000-0005-0000-0000-00004F150000}"/>
    <cellStyle name="Normal 4 4 2 4 6 2" xfId="6825" xr:uid="{00000000-0005-0000-0000-000050150000}"/>
    <cellStyle name="Normal 4 4 2 4 6 2 2" xfId="15275" xr:uid="{5E234066-4288-415D-888B-8BEEB70297C3}"/>
    <cellStyle name="Normal 4 4 2 4 6 2 3" xfId="23722" xr:uid="{743F2B43-A0FC-4A05-9B0C-293AF1D8E235}"/>
    <cellStyle name="Normal 4 4 2 4 6 2 4" xfId="32169" xr:uid="{7D62A978-3DFA-474B-B67F-31944A8667E8}"/>
    <cellStyle name="Normal 4 4 2 4 6 3" xfId="11057" xr:uid="{D92497C4-E529-4374-99A6-08A7E2BFA745}"/>
    <cellStyle name="Normal 4 4 2 4 6 4" xfId="19505" xr:uid="{13C7DB64-2459-4508-9D03-1D3FCEACBB14}"/>
    <cellStyle name="Normal 4 4 2 4 6 5" xfId="27952" xr:uid="{385DB54D-3C09-4B00-86A2-89CB531F9EB0}"/>
    <cellStyle name="Normal 4 4 2 4 7" xfId="4760" xr:uid="{00000000-0005-0000-0000-000051150000}"/>
    <cellStyle name="Normal 4 4 2 4 7 2" xfId="13210" xr:uid="{D6673AAF-B6F9-4756-AB34-90E17AF75680}"/>
    <cellStyle name="Normal 4 4 2 4 7 3" xfId="21657" xr:uid="{41E090DA-7C98-405A-B10C-B853EFEBF524}"/>
    <cellStyle name="Normal 4 4 2 4 7 4" xfId="30104" xr:uid="{DF4C8300-C494-4CDA-A9E4-1AE75638549F}"/>
    <cellStyle name="Normal 4 4 2 4 8" xfId="8992" xr:uid="{F7AFC3D7-E7E3-4ACC-A537-3F4B2067336F}"/>
    <cellStyle name="Normal 4 4 2 4 9" xfId="17440" xr:uid="{E94646F9-DD0D-40C4-872F-F28AEC7A38E3}"/>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5F3131D4-5ED0-45E6-8E82-816EFD325C6D}"/>
    <cellStyle name="Normal 4 4 2 5 2 2 3" xfId="24208" xr:uid="{BA9DC826-D4C5-4685-9947-689BD96C2609}"/>
    <cellStyle name="Normal 4 4 2 5 2 2 4" xfId="32655" xr:uid="{FF31DBB8-A4BD-49B0-B533-A8AA58B140C7}"/>
    <cellStyle name="Normal 4 4 2 5 2 3" xfId="11543" xr:uid="{CB637BD8-E8BD-4C49-9D0A-99A213080F36}"/>
    <cellStyle name="Normal 4 4 2 5 2 4" xfId="19991" xr:uid="{9146BBA1-EF39-4B77-B650-EBD93F4FC769}"/>
    <cellStyle name="Normal 4 4 2 5 2 5" xfId="28438" xr:uid="{09398512-D28E-4117-BD0E-60461F598F63}"/>
    <cellStyle name="Normal 4 4 2 5 3" xfId="5166" xr:uid="{00000000-0005-0000-0000-000055150000}"/>
    <cellStyle name="Normal 4 4 2 5 3 2" xfId="13616" xr:uid="{35CB31DC-33C0-4036-A7AA-A18BD4126696}"/>
    <cellStyle name="Normal 4 4 2 5 3 3" xfId="22063" xr:uid="{2CA29A7C-3B83-47CD-93FF-C0CF67A4D178}"/>
    <cellStyle name="Normal 4 4 2 5 3 4" xfId="30510" xr:uid="{CC946171-8218-4DCE-BFA5-D5F163B8F518}"/>
    <cellStyle name="Normal 4 4 2 5 4" xfId="9398" xr:uid="{63C04898-86D3-4F47-A58E-1CD66A6AC3F7}"/>
    <cellStyle name="Normal 4 4 2 5 5" xfId="17846" xr:uid="{6D95346B-7B20-4B4C-8E6D-9FAB8519F432}"/>
    <cellStyle name="Normal 4 4 2 5 6" xfId="26293" xr:uid="{1CF88EBD-8E53-4550-9AE8-FE1E8E01384B}"/>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2BE38F8A-4539-4411-BD16-91CE01C0AF44}"/>
    <cellStyle name="Normal 4 4 2 6 2 2 3" xfId="24621" xr:uid="{A6DB93C9-B17D-4B52-809A-5C4939B8D1C4}"/>
    <cellStyle name="Normal 4 4 2 6 2 2 4" xfId="33068" xr:uid="{6824EEC5-1345-49A0-AEE6-76715E56AD2E}"/>
    <cellStyle name="Normal 4 4 2 6 2 3" xfId="11956" xr:uid="{E64EEEF3-E100-4A2D-8AAC-BC42F94F7E51}"/>
    <cellStyle name="Normal 4 4 2 6 2 4" xfId="20404" xr:uid="{483E80AE-6B2C-4ABF-892D-71F6C83F307C}"/>
    <cellStyle name="Normal 4 4 2 6 2 5" xfId="28851" xr:uid="{20E7DB52-19DF-48B5-B938-2F75F983CCCB}"/>
    <cellStyle name="Normal 4 4 2 6 3" xfId="5579" xr:uid="{00000000-0005-0000-0000-000059150000}"/>
    <cellStyle name="Normal 4 4 2 6 3 2" xfId="14029" xr:uid="{16B51641-CBA6-45E8-8A34-640A052EA230}"/>
    <cellStyle name="Normal 4 4 2 6 3 3" xfId="22476" xr:uid="{54853E6D-67ED-4CDA-AFC1-1A05E22582F5}"/>
    <cellStyle name="Normal 4 4 2 6 3 4" xfId="30923" xr:uid="{B43A661F-DE84-4314-8F2D-90F6A317D274}"/>
    <cellStyle name="Normal 4 4 2 6 4" xfId="9811" xr:uid="{C72DEA79-4EAE-47E9-B313-3515AB3BC2AA}"/>
    <cellStyle name="Normal 4 4 2 6 5" xfId="18259" xr:uid="{39BCEB8B-7DED-46D3-86F6-36067A5C1217}"/>
    <cellStyle name="Normal 4 4 2 6 6" xfId="26706" xr:uid="{62F481BA-AF03-45D7-9C88-567D76CE3DAC}"/>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FE68BF60-C17F-4ABB-9F56-C950D9A654BF}"/>
    <cellStyle name="Normal 4 4 2 7 2 2 3" xfId="25034" xr:uid="{4279AA9C-7A2F-41C9-AD7E-F72DC0E2DB8E}"/>
    <cellStyle name="Normal 4 4 2 7 2 2 4" xfId="33481" xr:uid="{5421C1E3-C7AF-4094-9A65-8F61B855266E}"/>
    <cellStyle name="Normal 4 4 2 7 2 3" xfId="12369" xr:uid="{B40260BC-949E-4219-9D22-D22888245507}"/>
    <cellStyle name="Normal 4 4 2 7 2 4" xfId="20817" xr:uid="{2BB3AFCD-785D-47CB-BD27-2BBD72B7431D}"/>
    <cellStyle name="Normal 4 4 2 7 2 5" xfId="29264" xr:uid="{EFBA50FE-04BF-4F3F-AEC5-D472E109C812}"/>
    <cellStyle name="Normal 4 4 2 7 3" xfId="5992" xr:uid="{00000000-0005-0000-0000-00005D150000}"/>
    <cellStyle name="Normal 4 4 2 7 3 2" xfId="14442" xr:uid="{07C081A4-A377-436E-AF35-32224BF8B4C8}"/>
    <cellStyle name="Normal 4 4 2 7 3 3" xfId="22889" xr:uid="{31CE51FE-FB10-46BD-9DA9-5B96E433575D}"/>
    <cellStyle name="Normal 4 4 2 7 3 4" xfId="31336" xr:uid="{F1357BAC-C527-4633-9357-4854BFA22E4B}"/>
    <cellStyle name="Normal 4 4 2 7 4" xfId="10224" xr:uid="{2EE9D7BA-5CCC-4439-B8A8-68C044B678C4}"/>
    <cellStyle name="Normal 4 4 2 7 5" xfId="18672" xr:uid="{B18AE69B-9611-4E56-B1F7-91C835B745B7}"/>
    <cellStyle name="Normal 4 4 2 7 6" xfId="27119" xr:uid="{1492A77C-4F2F-47E2-8631-3BD3BA5FC79C}"/>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3FAED531-D4EB-442B-BF25-3764178BE0D8}"/>
    <cellStyle name="Normal 4 4 2 8 2 2 3" xfId="25447" xr:uid="{D141E241-A72C-44F7-8366-66CFBB37B358}"/>
    <cellStyle name="Normal 4 4 2 8 2 2 4" xfId="33894" xr:uid="{452EE48A-F2BE-4CA0-8A63-C2DDEC8994D6}"/>
    <cellStyle name="Normal 4 4 2 8 2 3" xfId="12782" xr:uid="{C2030231-8FCC-4BE5-94D2-80702D823C70}"/>
    <cellStyle name="Normal 4 4 2 8 2 4" xfId="21230" xr:uid="{19D4EA99-8485-49A0-9269-5CA317F8F0FF}"/>
    <cellStyle name="Normal 4 4 2 8 2 5" xfId="29677" xr:uid="{CF6172C3-B227-41D0-B771-30E305563D34}"/>
    <cellStyle name="Normal 4 4 2 8 3" xfId="6405" xr:uid="{00000000-0005-0000-0000-000061150000}"/>
    <cellStyle name="Normal 4 4 2 8 3 2" xfId="14855" xr:uid="{131DB5C0-8001-4A72-901F-62C2F361D805}"/>
    <cellStyle name="Normal 4 4 2 8 3 3" xfId="23302" xr:uid="{68B55462-88A1-4C19-9B89-E0711EA4A2CA}"/>
    <cellStyle name="Normal 4 4 2 8 3 4" xfId="31749" xr:uid="{0E3D4987-7B13-40E3-95DD-8B58BA303C46}"/>
    <cellStyle name="Normal 4 4 2 8 4" xfId="10637" xr:uid="{EACEC305-4267-4452-99D7-DFDAE47D386A}"/>
    <cellStyle name="Normal 4 4 2 8 5" xfId="19085" xr:uid="{0422EA9F-2224-4EF7-B646-AFBCE5D501BE}"/>
    <cellStyle name="Normal 4 4 2 8 6" xfId="27532" xr:uid="{EA00D158-760C-436A-9A70-F3964F6F6AA9}"/>
    <cellStyle name="Normal 4 4 2 9" xfId="2535" xr:uid="{00000000-0005-0000-0000-000062150000}"/>
    <cellStyle name="Normal 4 4 2 9 2" xfId="6818" xr:uid="{00000000-0005-0000-0000-000063150000}"/>
    <cellStyle name="Normal 4 4 2 9 2 2" xfId="15268" xr:uid="{41129876-9A8A-4DB3-B57C-2924D7647EDF}"/>
    <cellStyle name="Normal 4 4 2 9 2 3" xfId="23715" xr:uid="{E64738E1-34C5-460C-BA7B-3F11D4373BA3}"/>
    <cellStyle name="Normal 4 4 2 9 2 4" xfId="32162" xr:uid="{4C35DF93-708A-4577-B4A0-FCB5C094E628}"/>
    <cellStyle name="Normal 4 4 2 9 3" xfId="11050" xr:uid="{07E62B82-E51C-4B94-BB9F-1ADAFC6C15DC}"/>
    <cellStyle name="Normal 4 4 2 9 4" xfId="19498" xr:uid="{1E777E1D-53BD-455B-9A08-5F4791212144}"/>
    <cellStyle name="Normal 4 4 2 9 5" xfId="27945" xr:uid="{3FC0E763-6AF3-457D-BD79-EA6C2B2E0C03}"/>
    <cellStyle name="Normal 4 4 3" xfId="387" xr:uid="{00000000-0005-0000-0000-000064150000}"/>
    <cellStyle name="Normal 4 4 3 10" xfId="8993" xr:uid="{7BFC1848-0F79-4C60-8D0A-8589532E7807}"/>
    <cellStyle name="Normal 4 4 3 11" xfId="17441" xr:uid="{2E380467-C5FC-4ED5-83F1-A2D5C7C075F5}"/>
    <cellStyle name="Normal 4 4 3 12" xfId="25888" xr:uid="{9A36C938-1B54-47C9-8DCD-73871E82A224}"/>
    <cellStyle name="Normal 4 4 3 2" xfId="388" xr:uid="{00000000-0005-0000-0000-000065150000}"/>
    <cellStyle name="Normal 4 4 3 2 10" xfId="17442" xr:uid="{29FCC759-96BB-43D3-B01A-3D96EA11F8AF}"/>
    <cellStyle name="Normal 4 4 3 2 11" xfId="25889" xr:uid="{518B2C9F-546F-413A-B9ED-A07811359F72}"/>
    <cellStyle name="Normal 4 4 3 2 2" xfId="389" xr:uid="{00000000-0005-0000-0000-000066150000}"/>
    <cellStyle name="Normal 4 4 3 2 2 10" xfId="25890" xr:uid="{A5673376-0E2A-43E0-ADFD-B773991CAC16}"/>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D59F4CE1-F8F9-4C64-8419-5D98E0B14666}"/>
    <cellStyle name="Normal 4 4 3 2 2 2 2 2 3" xfId="24218" xr:uid="{7F7780A8-EE7E-46FF-B19A-AE6DCF00027D}"/>
    <cellStyle name="Normal 4 4 3 2 2 2 2 2 4" xfId="32665" xr:uid="{4CC79994-02D9-41FC-8ACD-09EEC22478B4}"/>
    <cellStyle name="Normal 4 4 3 2 2 2 2 3" xfId="11553" xr:uid="{F3FB4C80-B36C-4398-AEC8-0C6E13C93A20}"/>
    <cellStyle name="Normal 4 4 3 2 2 2 2 4" xfId="20001" xr:uid="{4880DB6E-DC2A-40A2-ABB2-B8C9C84C71FC}"/>
    <cellStyle name="Normal 4 4 3 2 2 2 2 5" xfId="28448" xr:uid="{4ED51F07-81D4-4427-A457-4FD79EBEEFE7}"/>
    <cellStyle name="Normal 4 4 3 2 2 2 3" xfId="5176" xr:uid="{00000000-0005-0000-0000-00006A150000}"/>
    <cellStyle name="Normal 4 4 3 2 2 2 3 2" xfId="13626" xr:uid="{4AF15406-1A08-497C-934C-78D969E0E312}"/>
    <cellStyle name="Normal 4 4 3 2 2 2 3 3" xfId="22073" xr:uid="{E2F9294A-4C11-4B3C-B654-2D8064BEA02A}"/>
    <cellStyle name="Normal 4 4 3 2 2 2 3 4" xfId="30520" xr:uid="{5DAADB87-8FA3-4DB3-B4F4-D27A0F022CD6}"/>
    <cellStyle name="Normal 4 4 3 2 2 2 4" xfId="9408" xr:uid="{F777DBCD-96E1-4E3F-967B-09F08A0F3846}"/>
    <cellStyle name="Normal 4 4 3 2 2 2 5" xfId="17856" xr:uid="{6D990582-FFB1-4DBC-AB63-5EB2628159F4}"/>
    <cellStyle name="Normal 4 4 3 2 2 2 6" xfId="26303" xr:uid="{D015CA54-9033-4C76-AF27-336E077D4A5B}"/>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3C8E5F6B-1669-42F4-AEA0-A1FE2BEFA853}"/>
    <cellStyle name="Normal 4 4 3 2 2 3 2 2 3" xfId="24631" xr:uid="{9BA5EFE4-ABD5-4220-8854-6BB4BFB5E2CB}"/>
    <cellStyle name="Normal 4 4 3 2 2 3 2 2 4" xfId="33078" xr:uid="{95C5A8AF-26B3-480D-AA0A-9E57B2AD0F3A}"/>
    <cellStyle name="Normal 4 4 3 2 2 3 2 3" xfId="11966" xr:uid="{34E62398-E13B-4EF7-80F2-E33640A3791B}"/>
    <cellStyle name="Normal 4 4 3 2 2 3 2 4" xfId="20414" xr:uid="{1E6E50F3-7007-413C-B955-1ED7215DD688}"/>
    <cellStyle name="Normal 4 4 3 2 2 3 2 5" xfId="28861" xr:uid="{AF071C68-415F-40C1-9525-F12E9D870CA4}"/>
    <cellStyle name="Normal 4 4 3 2 2 3 3" xfId="5589" xr:uid="{00000000-0005-0000-0000-00006E150000}"/>
    <cellStyle name="Normal 4 4 3 2 2 3 3 2" xfId="14039" xr:uid="{129F6B6D-2749-4FE4-8F74-96F79562E984}"/>
    <cellStyle name="Normal 4 4 3 2 2 3 3 3" xfId="22486" xr:uid="{8217068B-6260-469C-A647-B977C3B64641}"/>
    <cellStyle name="Normal 4 4 3 2 2 3 3 4" xfId="30933" xr:uid="{C2531FDE-3B5C-4F1F-893F-AC65D09D0546}"/>
    <cellStyle name="Normal 4 4 3 2 2 3 4" xfId="9821" xr:uid="{129FE5AC-A8F4-45D2-A6B0-67180BF38A95}"/>
    <cellStyle name="Normal 4 4 3 2 2 3 5" xfId="18269" xr:uid="{6C6B17A9-87AB-491E-8FE8-CAF81AECF438}"/>
    <cellStyle name="Normal 4 4 3 2 2 3 6" xfId="26716" xr:uid="{8B96893C-8336-4C06-B7D1-F1F0A9876FA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AFC9C346-5900-4006-A0BA-9FC1D0BD97FB}"/>
    <cellStyle name="Normal 4 4 3 2 2 4 2 2 3" xfId="25044" xr:uid="{7A31A826-F0DD-4AD7-AA38-A66C26029209}"/>
    <cellStyle name="Normal 4 4 3 2 2 4 2 2 4" xfId="33491" xr:uid="{D9CDE5D3-A6E4-44D9-A6B8-095AD6F569FE}"/>
    <cellStyle name="Normal 4 4 3 2 2 4 2 3" xfId="12379" xr:uid="{15F9268E-6D12-4AB5-B4E5-9BB991460FE6}"/>
    <cellStyle name="Normal 4 4 3 2 2 4 2 4" xfId="20827" xr:uid="{FD2BF68B-769C-4701-837C-EA15D91A1004}"/>
    <cellStyle name="Normal 4 4 3 2 2 4 2 5" xfId="29274" xr:uid="{8270087B-D283-4B67-8424-E484977A5165}"/>
    <cellStyle name="Normal 4 4 3 2 2 4 3" xfId="6002" xr:uid="{00000000-0005-0000-0000-000072150000}"/>
    <cellStyle name="Normal 4 4 3 2 2 4 3 2" xfId="14452" xr:uid="{C96C5242-8D7D-455A-A6B5-981671916CBE}"/>
    <cellStyle name="Normal 4 4 3 2 2 4 3 3" xfId="22899" xr:uid="{97333503-06B0-4252-A60E-305DDF4B9E79}"/>
    <cellStyle name="Normal 4 4 3 2 2 4 3 4" xfId="31346" xr:uid="{B2AE1AC3-9FB7-492C-8F35-5A25149623B8}"/>
    <cellStyle name="Normal 4 4 3 2 2 4 4" xfId="10234" xr:uid="{CE3CC641-0E5C-448D-9A41-5D3CCB324E16}"/>
    <cellStyle name="Normal 4 4 3 2 2 4 5" xfId="18682" xr:uid="{820C1FC2-3246-4B3B-B908-09C3855954A2}"/>
    <cellStyle name="Normal 4 4 3 2 2 4 6" xfId="27129" xr:uid="{F52A87DD-B795-4C7E-BCB9-631E9A5D41A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20EE8D1C-D769-4167-A3D9-733D55F8B7D4}"/>
    <cellStyle name="Normal 4 4 3 2 2 5 2 2 3" xfId="25457" xr:uid="{888CA3E4-36D4-454B-9417-591F11B04465}"/>
    <cellStyle name="Normal 4 4 3 2 2 5 2 2 4" xfId="33904" xr:uid="{4BD65572-BCB7-4781-A99F-20BE9070F542}"/>
    <cellStyle name="Normal 4 4 3 2 2 5 2 3" xfId="12792" xr:uid="{D88E37A1-42D8-47EE-9B13-E4867630FBB8}"/>
    <cellStyle name="Normal 4 4 3 2 2 5 2 4" xfId="21240" xr:uid="{D85919B0-FD40-449C-B472-7ADF04CD642C}"/>
    <cellStyle name="Normal 4 4 3 2 2 5 2 5" xfId="29687" xr:uid="{1A9C7432-26E7-4543-88B8-22CA8D2D3617}"/>
    <cellStyle name="Normal 4 4 3 2 2 5 3" xfId="6415" xr:uid="{00000000-0005-0000-0000-000076150000}"/>
    <cellStyle name="Normal 4 4 3 2 2 5 3 2" xfId="14865" xr:uid="{8963E78C-685D-47E7-8249-D65CF1896FEE}"/>
    <cellStyle name="Normal 4 4 3 2 2 5 3 3" xfId="23312" xr:uid="{84528256-8768-412E-AD51-5480FBD6BEB9}"/>
    <cellStyle name="Normal 4 4 3 2 2 5 3 4" xfId="31759" xr:uid="{F5E5E57A-11D1-42C5-8A22-D8EE99D033CD}"/>
    <cellStyle name="Normal 4 4 3 2 2 5 4" xfId="10647" xr:uid="{F4031778-A125-4C82-BCA5-68D553D55D47}"/>
    <cellStyle name="Normal 4 4 3 2 2 5 5" xfId="19095" xr:uid="{36588303-F44D-4FB6-B77C-999259D6D348}"/>
    <cellStyle name="Normal 4 4 3 2 2 5 6" xfId="27542" xr:uid="{86C12697-CD9F-469D-9AE2-C1F589185CB9}"/>
    <cellStyle name="Normal 4 4 3 2 2 6" xfId="2545" xr:uid="{00000000-0005-0000-0000-000077150000}"/>
    <cellStyle name="Normal 4 4 3 2 2 6 2" xfId="6828" xr:uid="{00000000-0005-0000-0000-000078150000}"/>
    <cellStyle name="Normal 4 4 3 2 2 6 2 2" xfId="15278" xr:uid="{3D6AB9DB-579D-4D5F-BE2D-4EE1DCBD418E}"/>
    <cellStyle name="Normal 4 4 3 2 2 6 2 3" xfId="23725" xr:uid="{5D9E4638-B0D6-493A-B80E-BD24574CD05F}"/>
    <cellStyle name="Normal 4 4 3 2 2 6 2 4" xfId="32172" xr:uid="{E0B45513-DC03-4B25-859A-451158FC45CB}"/>
    <cellStyle name="Normal 4 4 3 2 2 6 3" xfId="11060" xr:uid="{3CFF169A-CBD1-4929-A871-7FD38BCC6563}"/>
    <cellStyle name="Normal 4 4 3 2 2 6 4" xfId="19508" xr:uid="{685F2368-3AB6-405B-977D-0AA0F79B1F9F}"/>
    <cellStyle name="Normal 4 4 3 2 2 6 5" xfId="27955" xr:uid="{723ABCFE-FE5B-4467-897D-D23403EFF11D}"/>
    <cellStyle name="Normal 4 4 3 2 2 7" xfId="4763" xr:uid="{00000000-0005-0000-0000-000079150000}"/>
    <cellStyle name="Normal 4 4 3 2 2 7 2" xfId="13213" xr:uid="{827899FE-AD08-48E2-B3A9-DB80930C1DC2}"/>
    <cellStyle name="Normal 4 4 3 2 2 7 3" xfId="21660" xr:uid="{812DB0EE-CEB3-43E7-A67A-41D87E050492}"/>
    <cellStyle name="Normal 4 4 3 2 2 7 4" xfId="30107" xr:uid="{CFE156AB-0C1E-485F-B2FF-62755B5BDC04}"/>
    <cellStyle name="Normal 4 4 3 2 2 8" xfId="8995" xr:uid="{807D9E7B-5437-4EF9-9024-690EDED5A6BC}"/>
    <cellStyle name="Normal 4 4 3 2 2 9" xfId="17443" xr:uid="{29B54508-0818-4314-AD0C-3D1AFEFAE03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25DB2F33-FAA8-4E23-810D-28B3574D7DE0}"/>
    <cellStyle name="Normal 4 4 3 2 3 2 2 3" xfId="24217" xr:uid="{958A04D4-B28B-41FF-86DD-42CA568090CE}"/>
    <cellStyle name="Normal 4 4 3 2 3 2 2 4" xfId="32664" xr:uid="{DF516A04-1353-4496-BE7E-635D282E1F0F}"/>
    <cellStyle name="Normal 4 4 3 2 3 2 3" xfId="11552" xr:uid="{8B93B46D-C1E8-431A-97D4-AD00CC8099CC}"/>
    <cellStyle name="Normal 4 4 3 2 3 2 4" xfId="20000" xr:uid="{32E02519-CAE0-4818-8325-32B29BF54603}"/>
    <cellStyle name="Normal 4 4 3 2 3 2 5" xfId="28447" xr:uid="{64E72A59-0B08-4CEC-8476-3486C136EE06}"/>
    <cellStyle name="Normal 4 4 3 2 3 3" xfId="5175" xr:uid="{00000000-0005-0000-0000-00007D150000}"/>
    <cellStyle name="Normal 4 4 3 2 3 3 2" xfId="13625" xr:uid="{08BD189C-F408-4398-99A7-92D8783D818F}"/>
    <cellStyle name="Normal 4 4 3 2 3 3 3" xfId="22072" xr:uid="{F2FCA830-3354-452F-91D4-172C9AAF9E53}"/>
    <cellStyle name="Normal 4 4 3 2 3 3 4" xfId="30519" xr:uid="{5E5728B4-CCD9-456C-8FC9-01846DCAB9A9}"/>
    <cellStyle name="Normal 4 4 3 2 3 4" xfId="9407" xr:uid="{11F9BAD3-8791-43AE-BBD4-C2448432074D}"/>
    <cellStyle name="Normal 4 4 3 2 3 5" xfId="17855" xr:uid="{B888E6F7-95F8-4B2C-BFB2-288433A5133D}"/>
    <cellStyle name="Normal 4 4 3 2 3 6" xfId="26302" xr:uid="{5D064435-7E92-4CDF-9AE5-434E98ED1186}"/>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DEDBCADC-BF6B-43DA-8867-A5BBA09E9A25}"/>
    <cellStyle name="Normal 4 4 3 2 4 2 2 3" xfId="24630" xr:uid="{4411C3CC-6877-440B-B834-09CB0B9FC4AC}"/>
    <cellStyle name="Normal 4 4 3 2 4 2 2 4" xfId="33077" xr:uid="{BC26F3E5-5CB7-4479-B623-B74A6F48BBFF}"/>
    <cellStyle name="Normal 4 4 3 2 4 2 3" xfId="11965" xr:uid="{7CCAA714-DE0F-4164-A713-4C83586ABCD0}"/>
    <cellStyle name="Normal 4 4 3 2 4 2 4" xfId="20413" xr:uid="{FC1169A7-3B8F-47D3-87FA-AC51DB3A6926}"/>
    <cellStyle name="Normal 4 4 3 2 4 2 5" xfId="28860" xr:uid="{15A1EF19-940F-4D9F-BB3A-969157A7CC19}"/>
    <cellStyle name="Normal 4 4 3 2 4 3" xfId="5588" xr:uid="{00000000-0005-0000-0000-000081150000}"/>
    <cellStyle name="Normal 4 4 3 2 4 3 2" xfId="14038" xr:uid="{951150BB-73F8-4FF2-8899-61FD7803A71C}"/>
    <cellStyle name="Normal 4 4 3 2 4 3 3" xfId="22485" xr:uid="{E8B8E18A-0095-4B1E-9F99-FF73F2E12E95}"/>
    <cellStyle name="Normal 4 4 3 2 4 3 4" xfId="30932" xr:uid="{5C3BBA9F-221A-4153-BF94-B146F2A30461}"/>
    <cellStyle name="Normal 4 4 3 2 4 4" xfId="9820" xr:uid="{3851014B-68AD-4611-BDE8-27D071E3AD4A}"/>
    <cellStyle name="Normal 4 4 3 2 4 5" xfId="18268" xr:uid="{1CC48896-933D-4272-9BDD-7BD5B5855475}"/>
    <cellStyle name="Normal 4 4 3 2 4 6" xfId="26715" xr:uid="{8E6132B8-7F23-44B8-A8B6-B93703987978}"/>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F53136B7-81A5-403F-8D7B-3575BFE4AD20}"/>
    <cellStyle name="Normal 4 4 3 2 5 2 2 3" xfId="25043" xr:uid="{34075CAD-4A59-4B72-A63A-427B0305C2FE}"/>
    <cellStyle name="Normal 4 4 3 2 5 2 2 4" xfId="33490" xr:uid="{0D74A660-299A-42D4-98A9-3892B0370890}"/>
    <cellStyle name="Normal 4 4 3 2 5 2 3" xfId="12378" xr:uid="{A6F779ED-C4FF-49E3-A673-B310863CCB14}"/>
    <cellStyle name="Normal 4 4 3 2 5 2 4" xfId="20826" xr:uid="{427CB9C3-4EC0-4296-9937-9DD661F1447D}"/>
    <cellStyle name="Normal 4 4 3 2 5 2 5" xfId="29273" xr:uid="{285A48D4-937E-46C4-AAA8-612B51792FE7}"/>
    <cellStyle name="Normal 4 4 3 2 5 3" xfId="6001" xr:uid="{00000000-0005-0000-0000-000085150000}"/>
    <cellStyle name="Normal 4 4 3 2 5 3 2" xfId="14451" xr:uid="{A9C3BC8C-F038-4763-90CB-4A7EFB887071}"/>
    <cellStyle name="Normal 4 4 3 2 5 3 3" xfId="22898" xr:uid="{943E909B-34FC-456C-8E36-3E362AA55C14}"/>
    <cellStyle name="Normal 4 4 3 2 5 3 4" xfId="31345" xr:uid="{82DCECAF-90A2-43B4-A0C9-EA1017E64C92}"/>
    <cellStyle name="Normal 4 4 3 2 5 4" xfId="10233" xr:uid="{2BC4B254-0B0E-4FA9-A3C1-04F629600E06}"/>
    <cellStyle name="Normal 4 4 3 2 5 5" xfId="18681" xr:uid="{71A5891E-69AC-43AC-AEE0-989EA26625D1}"/>
    <cellStyle name="Normal 4 4 3 2 5 6" xfId="27128" xr:uid="{1DBC059D-17ED-4AF1-9EE3-ABB54DD6E2C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B2255821-0677-4B98-8C4A-AA34F1470A6F}"/>
    <cellStyle name="Normal 4 4 3 2 6 2 2 3" xfId="25456" xr:uid="{F249A0E2-5988-4ED3-A3CB-389C483229E7}"/>
    <cellStyle name="Normal 4 4 3 2 6 2 2 4" xfId="33903" xr:uid="{59031BE9-6A3C-43AE-83E6-0288288763DD}"/>
    <cellStyle name="Normal 4 4 3 2 6 2 3" xfId="12791" xr:uid="{B3DB14BE-226A-4D4B-95DD-F88CCDF008E5}"/>
    <cellStyle name="Normal 4 4 3 2 6 2 4" xfId="21239" xr:uid="{2DB3E83E-7409-45F4-92EA-59D54D5F00B7}"/>
    <cellStyle name="Normal 4 4 3 2 6 2 5" xfId="29686" xr:uid="{56B7A1EA-4EAE-4CD6-912B-72F679FD9B45}"/>
    <cellStyle name="Normal 4 4 3 2 6 3" xfId="6414" xr:uid="{00000000-0005-0000-0000-000089150000}"/>
    <cellStyle name="Normal 4 4 3 2 6 3 2" xfId="14864" xr:uid="{26D992D7-90F9-411E-9878-CF171EF79294}"/>
    <cellStyle name="Normal 4 4 3 2 6 3 3" xfId="23311" xr:uid="{BF7F6EFE-0907-428A-9019-7FBEB0DC27DF}"/>
    <cellStyle name="Normal 4 4 3 2 6 3 4" xfId="31758" xr:uid="{890A84CE-3E56-4286-9D69-BCD9E980BC71}"/>
    <cellStyle name="Normal 4 4 3 2 6 4" xfId="10646" xr:uid="{4E166BF4-6D2C-4B29-84A8-B3A4F5B4D462}"/>
    <cellStyle name="Normal 4 4 3 2 6 5" xfId="19094" xr:uid="{E71690B4-45E8-4322-9262-F14425549987}"/>
    <cellStyle name="Normal 4 4 3 2 6 6" xfId="27541" xr:uid="{3049F810-1A1B-4736-9806-9A51DD3F3A92}"/>
    <cellStyle name="Normal 4 4 3 2 7" xfId="2544" xr:uid="{00000000-0005-0000-0000-00008A150000}"/>
    <cellStyle name="Normal 4 4 3 2 7 2" xfId="6827" xr:uid="{00000000-0005-0000-0000-00008B150000}"/>
    <cellStyle name="Normal 4 4 3 2 7 2 2" xfId="15277" xr:uid="{C1813DAD-38B5-4086-9A2C-8CCAA45E9EBB}"/>
    <cellStyle name="Normal 4 4 3 2 7 2 3" xfId="23724" xr:uid="{015388F0-EBF3-453E-9B3C-2A3BDDA0CBA2}"/>
    <cellStyle name="Normal 4 4 3 2 7 2 4" xfId="32171" xr:uid="{E590C8AD-1146-4A23-A536-20586C709955}"/>
    <cellStyle name="Normal 4 4 3 2 7 3" xfId="11059" xr:uid="{A4AAAED2-BA9B-4BA7-AA93-27A1680EA048}"/>
    <cellStyle name="Normal 4 4 3 2 7 4" xfId="19507" xr:uid="{5D9CD81F-58CA-4473-B32B-5E30B0134960}"/>
    <cellStyle name="Normal 4 4 3 2 7 5" xfId="27954" xr:uid="{49FCF5A1-9548-4AE8-9C9A-B0ADE5693A64}"/>
    <cellStyle name="Normal 4 4 3 2 8" xfId="4762" xr:uid="{00000000-0005-0000-0000-00008C150000}"/>
    <cellStyle name="Normal 4 4 3 2 8 2" xfId="13212" xr:uid="{6039B575-A6A9-42C3-8C70-26632E4D301F}"/>
    <cellStyle name="Normal 4 4 3 2 8 3" xfId="21659" xr:uid="{00A87A9C-9C0A-4E33-A633-2BB61A336136}"/>
    <cellStyle name="Normal 4 4 3 2 8 4" xfId="30106" xr:uid="{05682AFA-734D-45CB-8211-C6264E68F1BB}"/>
    <cellStyle name="Normal 4 4 3 2 9" xfId="8994" xr:uid="{3214D3BF-D570-43F7-B8CB-CAB96566ED5B}"/>
    <cellStyle name="Normal 4 4 3 3" xfId="390" xr:uid="{00000000-0005-0000-0000-00008D150000}"/>
    <cellStyle name="Normal 4 4 3 3 10" xfId="25891" xr:uid="{0FE11F63-728A-4072-9FED-BAD84A5CDAF1}"/>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E082D848-1B1F-4EB5-B4DD-DBD7B92C8BA3}"/>
    <cellStyle name="Normal 4 4 3 3 2 2 2 3" xfId="24219" xr:uid="{17AD11A6-0A84-4855-87B9-3C46790C32AB}"/>
    <cellStyle name="Normal 4 4 3 3 2 2 2 4" xfId="32666" xr:uid="{F44D07BE-A5F4-4A90-9C72-BB1D4D65FE11}"/>
    <cellStyle name="Normal 4 4 3 3 2 2 3" xfId="11554" xr:uid="{B8C17722-E8B4-4BF4-9E51-56772800B723}"/>
    <cellStyle name="Normal 4 4 3 3 2 2 4" xfId="20002" xr:uid="{51F25FE3-4049-4BD5-AA9D-ED50503896D4}"/>
    <cellStyle name="Normal 4 4 3 3 2 2 5" xfId="28449" xr:uid="{35E5F487-7974-4B66-8863-89AD7BD82394}"/>
    <cellStyle name="Normal 4 4 3 3 2 3" xfId="5177" xr:uid="{00000000-0005-0000-0000-000091150000}"/>
    <cellStyle name="Normal 4 4 3 3 2 3 2" xfId="13627" xr:uid="{0F721F54-A762-46C5-A0C7-24C5CB50C011}"/>
    <cellStyle name="Normal 4 4 3 3 2 3 3" xfId="22074" xr:uid="{AC05D839-B7C0-4A15-8D52-73E71E2565DB}"/>
    <cellStyle name="Normal 4 4 3 3 2 3 4" xfId="30521" xr:uid="{5CE49B8B-BDE6-4826-96E5-0BF2AF4A662C}"/>
    <cellStyle name="Normal 4 4 3 3 2 4" xfId="9409" xr:uid="{2077E8CD-54AF-42E9-BE7B-65F9EBE7A30E}"/>
    <cellStyle name="Normal 4 4 3 3 2 5" xfId="17857" xr:uid="{61CAB03C-1B00-41E8-B1EB-C460EF24793F}"/>
    <cellStyle name="Normal 4 4 3 3 2 6" xfId="26304" xr:uid="{DE5D14AD-99DA-446D-9C05-F877602E538C}"/>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946CCB05-F116-4951-968C-1E591C394BEB}"/>
    <cellStyle name="Normal 4 4 3 3 3 2 2 3" xfId="24632" xr:uid="{600EB25D-066C-402F-8C02-C37253B6C2FB}"/>
    <cellStyle name="Normal 4 4 3 3 3 2 2 4" xfId="33079" xr:uid="{504FBC84-EAF1-443A-AE44-C68BE9588736}"/>
    <cellStyle name="Normal 4 4 3 3 3 2 3" xfId="11967" xr:uid="{2917B82A-2C3F-41CD-BE33-7C510FB07400}"/>
    <cellStyle name="Normal 4 4 3 3 3 2 4" xfId="20415" xr:uid="{DFA890D1-46E0-4418-946E-A2FBB65B9603}"/>
    <cellStyle name="Normal 4 4 3 3 3 2 5" xfId="28862" xr:uid="{3CECE34D-A363-4FC4-8D43-CBDED038C5FE}"/>
    <cellStyle name="Normal 4 4 3 3 3 3" xfId="5590" xr:uid="{00000000-0005-0000-0000-000095150000}"/>
    <cellStyle name="Normal 4 4 3 3 3 3 2" xfId="14040" xr:uid="{606A7B19-EA5E-478B-B31D-0B87DE2D69C2}"/>
    <cellStyle name="Normal 4 4 3 3 3 3 3" xfId="22487" xr:uid="{B2950876-DBE6-44EA-B4F7-494201AE4081}"/>
    <cellStyle name="Normal 4 4 3 3 3 3 4" xfId="30934" xr:uid="{74E80D9B-4BB5-48B9-A69B-C6A85B10834B}"/>
    <cellStyle name="Normal 4 4 3 3 3 4" xfId="9822" xr:uid="{3F4F96B1-9C27-4901-A45B-D03889F7C1F7}"/>
    <cellStyle name="Normal 4 4 3 3 3 5" xfId="18270" xr:uid="{CFA720E6-9C41-4828-9941-67B4478D8982}"/>
    <cellStyle name="Normal 4 4 3 3 3 6" xfId="26717" xr:uid="{35E2AA22-901B-41BE-9936-27B3C9954D3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B0802426-2F18-4BF8-A676-7C2A9C285460}"/>
    <cellStyle name="Normal 4 4 3 3 4 2 2 3" xfId="25045" xr:uid="{7957308A-414B-4F2C-8D88-3D2F4D403673}"/>
    <cellStyle name="Normal 4 4 3 3 4 2 2 4" xfId="33492" xr:uid="{128AA218-2345-47FE-BCAD-A2B2927698B4}"/>
    <cellStyle name="Normal 4 4 3 3 4 2 3" xfId="12380" xr:uid="{7D42149C-D5F3-4BFF-8638-D295E60717D9}"/>
    <cellStyle name="Normal 4 4 3 3 4 2 4" xfId="20828" xr:uid="{9516CF1C-8087-473E-9EFF-8648A8C5FF12}"/>
    <cellStyle name="Normal 4 4 3 3 4 2 5" xfId="29275" xr:uid="{0EAF703E-0E5E-4383-9166-05720E64C6DE}"/>
    <cellStyle name="Normal 4 4 3 3 4 3" xfId="6003" xr:uid="{00000000-0005-0000-0000-000099150000}"/>
    <cellStyle name="Normal 4 4 3 3 4 3 2" xfId="14453" xr:uid="{7EE8D280-8228-4AF0-AAA1-9C8969BE525A}"/>
    <cellStyle name="Normal 4 4 3 3 4 3 3" xfId="22900" xr:uid="{8B176E9F-920A-4BBC-95CD-9A8BDC64DB96}"/>
    <cellStyle name="Normal 4 4 3 3 4 3 4" xfId="31347" xr:uid="{94AD81E1-ABF2-42B4-A048-98653F1466B5}"/>
    <cellStyle name="Normal 4 4 3 3 4 4" xfId="10235" xr:uid="{ED4941AA-3E7D-4759-82A9-5BEB333F63D3}"/>
    <cellStyle name="Normal 4 4 3 3 4 5" xfId="18683" xr:uid="{AD97F62C-848B-4F57-91E7-7B1FF02D9D6E}"/>
    <cellStyle name="Normal 4 4 3 3 4 6" xfId="27130" xr:uid="{2F731BA1-4A4B-44E3-8E9C-4F5CE66F52CE}"/>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92B88FD6-B058-4C80-93FC-43F2DFDA3C3C}"/>
    <cellStyle name="Normal 4 4 3 3 5 2 2 3" xfId="25458" xr:uid="{DF14AFCB-6923-4676-B101-2FED0DC9E29F}"/>
    <cellStyle name="Normal 4 4 3 3 5 2 2 4" xfId="33905" xr:uid="{726E978F-8BFF-4D00-90DD-7AB065C6B202}"/>
    <cellStyle name="Normal 4 4 3 3 5 2 3" xfId="12793" xr:uid="{1CEF9A09-359F-4117-AD0B-45303C18A104}"/>
    <cellStyle name="Normal 4 4 3 3 5 2 4" xfId="21241" xr:uid="{90B1AC4F-EA01-4D44-84C9-5EA40064FCBF}"/>
    <cellStyle name="Normal 4 4 3 3 5 2 5" xfId="29688" xr:uid="{AC142840-BC58-4A0A-BD1D-5DD562E24993}"/>
    <cellStyle name="Normal 4 4 3 3 5 3" xfId="6416" xr:uid="{00000000-0005-0000-0000-00009D150000}"/>
    <cellStyle name="Normal 4 4 3 3 5 3 2" xfId="14866" xr:uid="{16E004F3-B0A2-46B0-9566-1CDB605CE487}"/>
    <cellStyle name="Normal 4 4 3 3 5 3 3" xfId="23313" xr:uid="{7A103967-444D-4473-BD53-F1E2F0301149}"/>
    <cellStyle name="Normal 4 4 3 3 5 3 4" xfId="31760" xr:uid="{0097075D-2EB8-44C2-97C6-5196248BDCFE}"/>
    <cellStyle name="Normal 4 4 3 3 5 4" xfId="10648" xr:uid="{1847C3C8-75BA-42B3-B63D-D911C55D040B}"/>
    <cellStyle name="Normal 4 4 3 3 5 5" xfId="19096" xr:uid="{93693119-769D-497E-8E0D-E9E0FCB1B93F}"/>
    <cellStyle name="Normal 4 4 3 3 5 6" xfId="27543" xr:uid="{26643B09-239E-4BDE-BD3F-1AFC3A2F5C79}"/>
    <cellStyle name="Normal 4 4 3 3 6" xfId="2546" xr:uid="{00000000-0005-0000-0000-00009E150000}"/>
    <cellStyle name="Normal 4 4 3 3 6 2" xfId="6829" xr:uid="{00000000-0005-0000-0000-00009F150000}"/>
    <cellStyle name="Normal 4 4 3 3 6 2 2" xfId="15279" xr:uid="{B115DF2D-E9CA-4B03-AB57-3E5983B0C740}"/>
    <cellStyle name="Normal 4 4 3 3 6 2 3" xfId="23726" xr:uid="{633273F7-212C-40E4-9A53-59A458F03ED8}"/>
    <cellStyle name="Normal 4 4 3 3 6 2 4" xfId="32173" xr:uid="{246C05DF-F1C2-4A77-96C9-4AC71A87F4A6}"/>
    <cellStyle name="Normal 4 4 3 3 6 3" xfId="11061" xr:uid="{0C2E8CD6-220B-41F0-9E6D-5951B6D18EF0}"/>
    <cellStyle name="Normal 4 4 3 3 6 4" xfId="19509" xr:uid="{AFC7967D-49DE-4C2B-9980-071808C2E86F}"/>
    <cellStyle name="Normal 4 4 3 3 6 5" xfId="27956" xr:uid="{BC39984B-CD77-4DE4-90A1-76697347D30B}"/>
    <cellStyle name="Normal 4 4 3 3 7" xfId="4764" xr:uid="{00000000-0005-0000-0000-0000A0150000}"/>
    <cellStyle name="Normal 4 4 3 3 7 2" xfId="13214" xr:uid="{0146D3D0-2484-4308-8302-5A0DA57BBB6D}"/>
    <cellStyle name="Normal 4 4 3 3 7 3" xfId="21661" xr:uid="{85B4B703-8439-45A2-B845-686F405EAC46}"/>
    <cellStyle name="Normal 4 4 3 3 7 4" xfId="30108" xr:uid="{B8D50682-3CBA-4D88-90DF-7715B4F0BD43}"/>
    <cellStyle name="Normal 4 4 3 3 8" xfId="8996" xr:uid="{1D269F0F-3C7C-432E-8CAD-8E905E8D0237}"/>
    <cellStyle name="Normal 4 4 3 3 9" xfId="17444" xr:uid="{B3AF8F10-D8A9-4C59-97B5-B65485F910B9}"/>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FEFC3D51-3706-4F1B-B0F4-EECA50B2BDB8}"/>
    <cellStyle name="Normal 4 4 3 4 2 2 3" xfId="24216" xr:uid="{F642EA50-2DAC-433B-BD44-2CB4F6625C1B}"/>
    <cellStyle name="Normal 4 4 3 4 2 2 4" xfId="32663" xr:uid="{8217F592-4058-43B2-B2F6-65F147BF76B0}"/>
    <cellStyle name="Normal 4 4 3 4 2 3" xfId="11551" xr:uid="{BBACA455-0F4B-47B2-A43B-B35F59A986EA}"/>
    <cellStyle name="Normal 4 4 3 4 2 4" xfId="19999" xr:uid="{2F594CB6-6EBB-440E-914D-B63B086B64A7}"/>
    <cellStyle name="Normal 4 4 3 4 2 5" xfId="28446" xr:uid="{0E6DC5E3-9D90-4F6D-BD85-CE9C5C454634}"/>
    <cellStyle name="Normal 4 4 3 4 3" xfId="5174" xr:uid="{00000000-0005-0000-0000-0000A4150000}"/>
    <cellStyle name="Normal 4 4 3 4 3 2" xfId="13624" xr:uid="{B91AAA99-FC82-4DB3-9CBC-5D76C9AA4D02}"/>
    <cellStyle name="Normal 4 4 3 4 3 3" xfId="22071" xr:uid="{9A1A35C5-5A98-4F4D-9F1C-2C52714C4E73}"/>
    <cellStyle name="Normal 4 4 3 4 3 4" xfId="30518" xr:uid="{F90DA92E-460B-401C-B5D4-0437CE1B644E}"/>
    <cellStyle name="Normal 4 4 3 4 4" xfId="9406" xr:uid="{4CC12D9A-FFB1-4209-A4FA-BAF71D17E343}"/>
    <cellStyle name="Normal 4 4 3 4 5" xfId="17854" xr:uid="{9602E974-4033-423B-A4B1-20560ED94085}"/>
    <cellStyle name="Normal 4 4 3 4 6" xfId="26301" xr:uid="{D7626081-A925-49BE-B564-E456EE7FFB5E}"/>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4FA36F0E-D4A9-4420-8A97-BED55C94674B}"/>
    <cellStyle name="Normal 4 4 3 5 2 2 3" xfId="24629" xr:uid="{084A0B3A-A526-4716-A39B-23B67FA93D85}"/>
    <cellStyle name="Normal 4 4 3 5 2 2 4" xfId="33076" xr:uid="{05A0F177-DFA3-44AE-9CDD-90852F9F4D22}"/>
    <cellStyle name="Normal 4 4 3 5 2 3" xfId="11964" xr:uid="{BD5D232E-7162-47D9-A226-F65CE27179D3}"/>
    <cellStyle name="Normal 4 4 3 5 2 4" xfId="20412" xr:uid="{0830B9FB-AEA3-4E59-BF47-E1AD81F337BF}"/>
    <cellStyle name="Normal 4 4 3 5 2 5" xfId="28859" xr:uid="{C88137FD-B20A-49AD-87D3-2EA127D891AB}"/>
    <cellStyle name="Normal 4 4 3 5 3" xfId="5587" xr:uid="{00000000-0005-0000-0000-0000A8150000}"/>
    <cellStyle name="Normal 4 4 3 5 3 2" xfId="14037" xr:uid="{BC585B08-7595-4210-B6ED-7C817ACD2226}"/>
    <cellStyle name="Normal 4 4 3 5 3 3" xfId="22484" xr:uid="{51563E92-659D-479C-8496-1EA9E50CDF23}"/>
    <cellStyle name="Normal 4 4 3 5 3 4" xfId="30931" xr:uid="{1551E424-78B7-4E21-87F0-8208F7DE1B81}"/>
    <cellStyle name="Normal 4 4 3 5 4" xfId="9819" xr:uid="{112D0C57-462A-4B7E-B074-4F9F88F48FB1}"/>
    <cellStyle name="Normal 4 4 3 5 5" xfId="18267" xr:uid="{C2F8F7B6-7521-4AF8-B726-EC8390D25E9C}"/>
    <cellStyle name="Normal 4 4 3 5 6" xfId="26714" xr:uid="{145CE244-01D5-4440-9EEB-B1B03F7AF756}"/>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BD46B55D-1C42-4D54-947F-BB16143E0257}"/>
    <cellStyle name="Normal 4 4 3 6 2 2 3" xfId="25042" xr:uid="{F54D0FAA-66AE-49DC-89FE-8D88977C0126}"/>
    <cellStyle name="Normal 4 4 3 6 2 2 4" xfId="33489" xr:uid="{859CA309-5498-4985-A141-C900A12488EE}"/>
    <cellStyle name="Normal 4 4 3 6 2 3" xfId="12377" xr:uid="{7B0A7CE3-A62B-4C94-B5CF-AB01D441D2BD}"/>
    <cellStyle name="Normal 4 4 3 6 2 4" xfId="20825" xr:uid="{9343A61C-DF7E-419D-BC8C-342F3B0A575A}"/>
    <cellStyle name="Normal 4 4 3 6 2 5" xfId="29272" xr:uid="{AFFB3FDF-F6A8-4803-872C-25A3B782C601}"/>
    <cellStyle name="Normal 4 4 3 6 3" xfId="6000" xr:uid="{00000000-0005-0000-0000-0000AC150000}"/>
    <cellStyle name="Normal 4 4 3 6 3 2" xfId="14450" xr:uid="{D0772037-5F79-450D-AB5A-AB8128D05D6C}"/>
    <cellStyle name="Normal 4 4 3 6 3 3" xfId="22897" xr:uid="{37330241-EB99-4601-AAB6-94FB403EB12D}"/>
    <cellStyle name="Normal 4 4 3 6 3 4" xfId="31344" xr:uid="{FAFDBA2C-B636-4F3F-96C5-3480B85FF597}"/>
    <cellStyle name="Normal 4 4 3 6 4" xfId="10232" xr:uid="{A3EE424C-44DB-4E67-9934-7BC9028E59CD}"/>
    <cellStyle name="Normal 4 4 3 6 5" xfId="18680" xr:uid="{8FDA3ABD-89DB-4D41-A3F8-E0A00763C339}"/>
    <cellStyle name="Normal 4 4 3 6 6" xfId="27127" xr:uid="{D827016B-8C13-4822-BAF4-49881AD18A0A}"/>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B50EC11C-4B3B-4070-960D-460950BEA4BD}"/>
    <cellStyle name="Normal 4 4 3 7 2 2 3" xfId="25455" xr:uid="{F4BFD104-309E-40A6-8BED-96D5E2AD0DA5}"/>
    <cellStyle name="Normal 4 4 3 7 2 2 4" xfId="33902" xr:uid="{0F0F3D77-DF8B-46CA-8F7B-2F14AA0B3DE0}"/>
    <cellStyle name="Normal 4 4 3 7 2 3" xfId="12790" xr:uid="{A847F8DA-7EFB-428B-BD8E-817D8306A381}"/>
    <cellStyle name="Normal 4 4 3 7 2 4" xfId="21238" xr:uid="{1674BF26-B798-42A1-AAF2-1F9AE64B30BB}"/>
    <cellStyle name="Normal 4 4 3 7 2 5" xfId="29685" xr:uid="{974B3A47-158E-48CF-8952-4F4D23D887B3}"/>
    <cellStyle name="Normal 4 4 3 7 3" xfId="6413" xr:uid="{00000000-0005-0000-0000-0000B0150000}"/>
    <cellStyle name="Normal 4 4 3 7 3 2" xfId="14863" xr:uid="{7435F8BC-3178-4D11-8DAD-9F6E1C7FC694}"/>
    <cellStyle name="Normal 4 4 3 7 3 3" xfId="23310" xr:uid="{65743CDE-393C-4A28-A036-ED91817C1CAE}"/>
    <cellStyle name="Normal 4 4 3 7 3 4" xfId="31757" xr:uid="{19FEC5B5-93FB-428E-BBB0-AB0971C1A320}"/>
    <cellStyle name="Normal 4 4 3 7 4" xfId="10645" xr:uid="{AAC9A557-B6AC-44AB-BCE7-BD07E9FD5FD0}"/>
    <cellStyle name="Normal 4 4 3 7 5" xfId="19093" xr:uid="{2E50A404-253D-4F96-923E-933BF51B7E1A}"/>
    <cellStyle name="Normal 4 4 3 7 6" xfId="27540" xr:uid="{9BC489D7-E541-4174-8E21-FC64132AC57C}"/>
    <cellStyle name="Normal 4 4 3 8" xfId="2543" xr:uid="{00000000-0005-0000-0000-0000B1150000}"/>
    <cellStyle name="Normal 4 4 3 8 2" xfId="6826" xr:uid="{00000000-0005-0000-0000-0000B2150000}"/>
    <cellStyle name="Normal 4 4 3 8 2 2" xfId="15276" xr:uid="{94125D4B-F6DC-4806-AB8A-65882CA39EB5}"/>
    <cellStyle name="Normal 4 4 3 8 2 3" xfId="23723" xr:uid="{22B2CBD7-3D2B-4C07-B59B-5AFCD287A513}"/>
    <cellStyle name="Normal 4 4 3 8 2 4" xfId="32170" xr:uid="{73D7494B-7379-4A60-8734-4C00A1E46421}"/>
    <cellStyle name="Normal 4 4 3 8 3" xfId="11058" xr:uid="{9883BFA3-86BA-40EE-BBF7-B768646D1B1A}"/>
    <cellStyle name="Normal 4 4 3 8 4" xfId="19506" xr:uid="{8D069E36-0CAF-4E1C-8DBE-18BD752170E9}"/>
    <cellStyle name="Normal 4 4 3 8 5" xfId="27953" xr:uid="{8F0CBA13-B8DA-42B4-A01D-FB0849576448}"/>
    <cellStyle name="Normal 4 4 3 9" xfId="4761" xr:uid="{00000000-0005-0000-0000-0000B3150000}"/>
    <cellStyle name="Normal 4 4 3 9 2" xfId="13211" xr:uid="{93A7DF6F-70D6-49E0-B43F-DC4F0343DD1B}"/>
    <cellStyle name="Normal 4 4 3 9 3" xfId="21658" xr:uid="{C03739F6-550D-4E48-B9F3-FDCD5752D3B5}"/>
    <cellStyle name="Normal 4 4 3 9 4" xfId="30105" xr:uid="{526FF9F8-E0CE-46EF-814A-CDBE59A7A94D}"/>
    <cellStyle name="Normal 4 4 4" xfId="391" xr:uid="{00000000-0005-0000-0000-0000B4150000}"/>
    <cellStyle name="Normal 4 4 4 10" xfId="17445" xr:uid="{EFC75A2C-5394-4FEC-96C4-18238E449650}"/>
    <cellStyle name="Normal 4 4 4 11" xfId="25892" xr:uid="{02B800F6-F0A5-445B-B0FB-1BBDE01948F6}"/>
    <cellStyle name="Normal 4 4 4 2" xfId="392" xr:uid="{00000000-0005-0000-0000-0000B5150000}"/>
    <cellStyle name="Normal 4 4 4 2 10" xfId="25893" xr:uid="{149840E5-1C90-4B74-B7D8-3ED0016E9109}"/>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090805F-1BE6-42C0-8561-D3D79C2D3624}"/>
    <cellStyle name="Normal 4 4 4 2 2 2 2 3" xfId="24221" xr:uid="{C96EBD61-D7CD-485A-B2C9-D06903A38B18}"/>
    <cellStyle name="Normal 4 4 4 2 2 2 2 4" xfId="32668" xr:uid="{085FA761-F675-4CE9-8F91-CC55489AC3A4}"/>
    <cellStyle name="Normal 4 4 4 2 2 2 3" xfId="11556" xr:uid="{1C9382C0-69A6-4218-864F-3111D25037A3}"/>
    <cellStyle name="Normal 4 4 4 2 2 2 4" xfId="20004" xr:uid="{BEC9807C-DB7E-4E93-BA69-17CE6920C8BC}"/>
    <cellStyle name="Normal 4 4 4 2 2 2 5" xfId="28451" xr:uid="{86E07223-C603-4D2B-AB3B-EA5BF9419FD5}"/>
    <cellStyle name="Normal 4 4 4 2 2 3" xfId="5179" xr:uid="{00000000-0005-0000-0000-0000B9150000}"/>
    <cellStyle name="Normal 4 4 4 2 2 3 2" xfId="13629" xr:uid="{DF8CF6EE-5E96-428D-AB13-DB1DD3F2D3CB}"/>
    <cellStyle name="Normal 4 4 4 2 2 3 3" xfId="22076" xr:uid="{CE7E1356-487D-446F-B975-13461BD49A3C}"/>
    <cellStyle name="Normal 4 4 4 2 2 3 4" xfId="30523" xr:uid="{937CF81F-76A9-460E-A4CA-145CAD33C5BE}"/>
    <cellStyle name="Normal 4 4 4 2 2 4" xfId="9411" xr:uid="{3557BDAD-7EEC-448E-80EB-070A208BF783}"/>
    <cellStyle name="Normal 4 4 4 2 2 5" xfId="17859" xr:uid="{C472D660-F63E-4CE5-8073-BE1CE3D014DC}"/>
    <cellStyle name="Normal 4 4 4 2 2 6" xfId="26306" xr:uid="{8019BE79-C682-4242-A3AA-32A6294CC0D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2FE7A57C-4660-4826-95E8-09125ED51788}"/>
    <cellStyle name="Normal 4 4 4 2 3 2 2 3" xfId="24634" xr:uid="{48EF247A-6B54-4CD3-A1F0-5B42C01623CA}"/>
    <cellStyle name="Normal 4 4 4 2 3 2 2 4" xfId="33081" xr:uid="{4D48A8BF-8CEE-4A5E-B83E-93F36AE2B63E}"/>
    <cellStyle name="Normal 4 4 4 2 3 2 3" xfId="11969" xr:uid="{8214316D-807C-467E-865E-7C3BCAA07AFC}"/>
    <cellStyle name="Normal 4 4 4 2 3 2 4" xfId="20417" xr:uid="{15AC5338-8D59-43BC-ADAA-CC59471635C9}"/>
    <cellStyle name="Normal 4 4 4 2 3 2 5" xfId="28864" xr:uid="{685C1132-0061-465C-9BF2-B6C188957E88}"/>
    <cellStyle name="Normal 4 4 4 2 3 3" xfId="5592" xr:uid="{00000000-0005-0000-0000-0000BD150000}"/>
    <cellStyle name="Normal 4 4 4 2 3 3 2" xfId="14042" xr:uid="{D58EF869-2E24-4A89-9C20-C3C5C5AC0320}"/>
    <cellStyle name="Normal 4 4 4 2 3 3 3" xfId="22489" xr:uid="{E3A91394-6EEF-4FD5-B763-ED90CEF6F1B5}"/>
    <cellStyle name="Normal 4 4 4 2 3 3 4" xfId="30936" xr:uid="{5ABB254B-2583-4498-86BF-15B71606AD7A}"/>
    <cellStyle name="Normal 4 4 4 2 3 4" xfId="9824" xr:uid="{8ABE0B8C-F3F2-4DC5-97DF-AAE24EC8ED6B}"/>
    <cellStyle name="Normal 4 4 4 2 3 5" xfId="18272" xr:uid="{66655D5B-AAE5-4611-89C0-7D58C6175CFF}"/>
    <cellStyle name="Normal 4 4 4 2 3 6" xfId="26719" xr:uid="{721397BC-125D-48D3-9C41-B73C037C573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AC4ED952-7951-48E5-856A-E5E5BA84C80E}"/>
    <cellStyle name="Normal 4 4 4 2 4 2 2 3" xfId="25047" xr:uid="{F59448F0-8458-476E-B7AA-401C0000252B}"/>
    <cellStyle name="Normal 4 4 4 2 4 2 2 4" xfId="33494" xr:uid="{6D10D7BE-3645-40E4-AAE6-DE4DB5F7CF05}"/>
    <cellStyle name="Normal 4 4 4 2 4 2 3" xfId="12382" xr:uid="{8206550E-4811-4D45-B3FC-179CC7D1DFCB}"/>
    <cellStyle name="Normal 4 4 4 2 4 2 4" xfId="20830" xr:uid="{6B5C6138-2528-4E49-B418-87E80E88F1D5}"/>
    <cellStyle name="Normal 4 4 4 2 4 2 5" xfId="29277" xr:uid="{89E44D0B-9B47-4201-BD8A-5D6F65C02929}"/>
    <cellStyle name="Normal 4 4 4 2 4 3" xfId="6005" xr:uid="{00000000-0005-0000-0000-0000C1150000}"/>
    <cellStyle name="Normal 4 4 4 2 4 3 2" xfId="14455" xr:uid="{7CC97A8C-E8F0-4C07-84C4-C8644943C758}"/>
    <cellStyle name="Normal 4 4 4 2 4 3 3" xfId="22902" xr:uid="{55989161-E148-4DAD-9CA2-9F5EC6463DB2}"/>
    <cellStyle name="Normal 4 4 4 2 4 3 4" xfId="31349" xr:uid="{9F11727A-EDEC-4D5A-ABB4-A86AE1337D3C}"/>
    <cellStyle name="Normal 4 4 4 2 4 4" xfId="10237" xr:uid="{695CDE4E-B13B-4FEA-982D-092B384FEE4B}"/>
    <cellStyle name="Normal 4 4 4 2 4 5" xfId="18685" xr:uid="{DEFEEEDA-0FFE-4BBC-A3DA-9BC3BFC3414B}"/>
    <cellStyle name="Normal 4 4 4 2 4 6" xfId="27132" xr:uid="{1943358E-5E72-422F-88A4-C7A1EAAA2FC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492AD36C-E8D9-4324-9E88-58C6251A9C8B}"/>
    <cellStyle name="Normal 4 4 4 2 5 2 2 3" xfId="25460" xr:uid="{6AD207F3-3828-407A-BB3B-CBC53417A955}"/>
    <cellStyle name="Normal 4 4 4 2 5 2 2 4" xfId="33907" xr:uid="{4CF716B0-D67C-400A-9F6F-D11FAA36DF5F}"/>
    <cellStyle name="Normal 4 4 4 2 5 2 3" xfId="12795" xr:uid="{74653737-7902-45C7-9B3A-398FCE58B8FC}"/>
    <cellStyle name="Normal 4 4 4 2 5 2 4" xfId="21243" xr:uid="{453A77CC-EABB-4B1D-B1A7-0EA8DB194F0A}"/>
    <cellStyle name="Normal 4 4 4 2 5 2 5" xfId="29690" xr:uid="{A20E37B7-EA11-4F6C-80EA-B772FA96E720}"/>
    <cellStyle name="Normal 4 4 4 2 5 3" xfId="6418" xr:uid="{00000000-0005-0000-0000-0000C5150000}"/>
    <cellStyle name="Normal 4 4 4 2 5 3 2" xfId="14868" xr:uid="{3D21B805-1160-4D67-87C2-7D7F96760DBA}"/>
    <cellStyle name="Normal 4 4 4 2 5 3 3" xfId="23315" xr:uid="{20004C61-6734-4337-B091-A732B50FD719}"/>
    <cellStyle name="Normal 4 4 4 2 5 3 4" xfId="31762" xr:uid="{1C85A538-9B91-45C6-ADA1-08DC48AB74D5}"/>
    <cellStyle name="Normal 4 4 4 2 5 4" xfId="10650" xr:uid="{FDF8FE1C-AB5D-4A31-B8DF-2BF3EB60BED2}"/>
    <cellStyle name="Normal 4 4 4 2 5 5" xfId="19098" xr:uid="{D0420F23-B512-43EA-9039-526764BD72E8}"/>
    <cellStyle name="Normal 4 4 4 2 5 6" xfId="27545" xr:uid="{969EEEBF-CC4F-4F6B-92E2-F355D5AFF67F}"/>
    <cellStyle name="Normal 4 4 4 2 6" xfId="2548" xr:uid="{00000000-0005-0000-0000-0000C6150000}"/>
    <cellStyle name="Normal 4 4 4 2 6 2" xfId="6831" xr:uid="{00000000-0005-0000-0000-0000C7150000}"/>
    <cellStyle name="Normal 4 4 4 2 6 2 2" xfId="15281" xr:uid="{D0D4F66E-4A03-4875-B6F3-093978ACF60B}"/>
    <cellStyle name="Normal 4 4 4 2 6 2 3" xfId="23728" xr:uid="{830C2AAC-4D61-4885-9B34-A84588632514}"/>
    <cellStyle name="Normal 4 4 4 2 6 2 4" xfId="32175" xr:uid="{9D40A3A7-5ECE-441D-80E9-98C2CB6E46DD}"/>
    <cellStyle name="Normal 4 4 4 2 6 3" xfId="11063" xr:uid="{DAFF5D3A-ACFB-481B-B417-D9E70777DD64}"/>
    <cellStyle name="Normal 4 4 4 2 6 4" xfId="19511" xr:uid="{BEA0EB7F-4461-4E33-96F3-A94045FDD380}"/>
    <cellStyle name="Normal 4 4 4 2 6 5" xfId="27958" xr:uid="{B9E32374-D24D-46A4-BC53-E317792E2E35}"/>
    <cellStyle name="Normal 4 4 4 2 7" xfId="4766" xr:uid="{00000000-0005-0000-0000-0000C8150000}"/>
    <cellStyle name="Normal 4 4 4 2 7 2" xfId="13216" xr:uid="{B55F9B3B-9988-4CBD-92D5-816EB9EC33F6}"/>
    <cellStyle name="Normal 4 4 4 2 7 3" xfId="21663" xr:uid="{D31C99D9-71B9-4610-86E5-2E88597FAF71}"/>
    <cellStyle name="Normal 4 4 4 2 7 4" xfId="30110" xr:uid="{807BD6AC-FD92-457F-B2B3-35073579D3E2}"/>
    <cellStyle name="Normal 4 4 4 2 8" xfId="8998" xr:uid="{469D747C-1F9C-4373-9D9A-835255278D40}"/>
    <cellStyle name="Normal 4 4 4 2 9" xfId="17446" xr:uid="{C34A8BEF-EA13-46A3-88EC-1DF9710F7D7F}"/>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6B37E5A8-2176-4C84-A92F-70A87D656B0D}"/>
    <cellStyle name="Normal 4 4 4 3 2 2 3" xfId="24220" xr:uid="{07283899-76F7-4D9D-90F5-779CA5E5E4CF}"/>
    <cellStyle name="Normal 4 4 4 3 2 2 4" xfId="32667" xr:uid="{33824D65-E525-4D88-B2E0-B717221BCF8A}"/>
    <cellStyle name="Normal 4 4 4 3 2 3" xfId="11555" xr:uid="{F5B488D2-A1FD-4B3C-AE15-278AA86381EE}"/>
    <cellStyle name="Normal 4 4 4 3 2 4" xfId="20003" xr:uid="{0952E516-A1A7-4909-AAA0-28AB8FEE6B27}"/>
    <cellStyle name="Normal 4 4 4 3 2 5" xfId="28450" xr:uid="{B78E70C0-6A1C-460D-AAD7-1B83D6984BE1}"/>
    <cellStyle name="Normal 4 4 4 3 3" xfId="5178" xr:uid="{00000000-0005-0000-0000-0000CC150000}"/>
    <cellStyle name="Normal 4 4 4 3 3 2" xfId="13628" xr:uid="{779AF18D-97FA-4EB1-9553-D19797A24C2F}"/>
    <cellStyle name="Normal 4 4 4 3 3 3" xfId="22075" xr:uid="{345DC1EA-AEA7-4AAD-8014-402AC8E5EB52}"/>
    <cellStyle name="Normal 4 4 4 3 3 4" xfId="30522" xr:uid="{EF214808-D1BD-4178-8FB3-2728343ACDD9}"/>
    <cellStyle name="Normal 4 4 4 3 4" xfId="9410" xr:uid="{3263B069-C78F-4BFA-98A7-C35548FC776D}"/>
    <cellStyle name="Normal 4 4 4 3 5" xfId="17858" xr:uid="{74F922D7-9A32-45BC-B230-4C139A62AD1A}"/>
    <cellStyle name="Normal 4 4 4 3 6" xfId="26305" xr:uid="{39961ED6-BDBD-4071-B24C-A493ECA839A2}"/>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E6274D43-44C0-4894-946D-C56F06829FB0}"/>
    <cellStyle name="Normal 4 4 4 4 2 2 3" xfId="24633" xr:uid="{A0DECC65-B38F-4167-9393-BD0F72D5275A}"/>
    <cellStyle name="Normal 4 4 4 4 2 2 4" xfId="33080" xr:uid="{F1263EA6-C9F4-4B1F-9C3B-03EE76075746}"/>
    <cellStyle name="Normal 4 4 4 4 2 3" xfId="11968" xr:uid="{A650C228-AA3D-4660-B617-2C950B1C5F70}"/>
    <cellStyle name="Normal 4 4 4 4 2 4" xfId="20416" xr:uid="{A57EFB52-6459-4C2F-A595-DB5927B6EC17}"/>
    <cellStyle name="Normal 4 4 4 4 2 5" xfId="28863" xr:uid="{A9F4F3CB-13B8-4CB2-9E26-B94972990341}"/>
    <cellStyle name="Normal 4 4 4 4 3" xfId="5591" xr:uid="{00000000-0005-0000-0000-0000D0150000}"/>
    <cellStyle name="Normal 4 4 4 4 3 2" xfId="14041" xr:uid="{6834FA37-CFB9-44B1-B2AC-76200F1C5631}"/>
    <cellStyle name="Normal 4 4 4 4 3 3" xfId="22488" xr:uid="{3CFE5653-FA78-4E63-B125-D9FBC615DF56}"/>
    <cellStyle name="Normal 4 4 4 4 3 4" xfId="30935" xr:uid="{7BD02592-E9E2-4B59-8C42-3E6AAC5E4595}"/>
    <cellStyle name="Normal 4 4 4 4 4" xfId="9823" xr:uid="{7DF93E52-B287-4A6B-ADDD-5C377EBD9354}"/>
    <cellStyle name="Normal 4 4 4 4 5" xfId="18271" xr:uid="{E7241692-9901-43B1-A0E9-7D85E50AA7A0}"/>
    <cellStyle name="Normal 4 4 4 4 6" xfId="26718" xr:uid="{68F48F03-5A94-46D3-AA05-0492B1050CA9}"/>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5B9C8A2A-EF77-4689-A543-AFE17121F744}"/>
    <cellStyle name="Normal 4 4 4 5 2 2 3" xfId="25046" xr:uid="{46B31578-704E-4209-988C-B9C38528292C}"/>
    <cellStyle name="Normal 4 4 4 5 2 2 4" xfId="33493" xr:uid="{A8F92659-0794-4D79-9AC0-4ACD8BCA3179}"/>
    <cellStyle name="Normal 4 4 4 5 2 3" xfId="12381" xr:uid="{0C569785-4B22-48FF-8E60-668391367FC2}"/>
    <cellStyle name="Normal 4 4 4 5 2 4" xfId="20829" xr:uid="{A962DA8A-9918-44F0-9BB1-C0D99CA56D46}"/>
    <cellStyle name="Normal 4 4 4 5 2 5" xfId="29276" xr:uid="{E49CD77B-140B-4A6F-A3F6-7EECAD54D403}"/>
    <cellStyle name="Normal 4 4 4 5 3" xfId="6004" xr:uid="{00000000-0005-0000-0000-0000D4150000}"/>
    <cellStyle name="Normal 4 4 4 5 3 2" xfId="14454" xr:uid="{830D3762-5447-484A-B200-F7172D9E7FA0}"/>
    <cellStyle name="Normal 4 4 4 5 3 3" xfId="22901" xr:uid="{602DDF01-961F-406B-8497-86E4E9BA1401}"/>
    <cellStyle name="Normal 4 4 4 5 3 4" xfId="31348" xr:uid="{393AE03A-10A1-4893-B152-6EC7A5736C8F}"/>
    <cellStyle name="Normal 4 4 4 5 4" xfId="10236" xr:uid="{AADF567A-3E2E-47CD-99DE-D63D88A30D3C}"/>
    <cellStyle name="Normal 4 4 4 5 5" xfId="18684" xr:uid="{DB791B21-83BF-448B-95E8-27BAFDC8E409}"/>
    <cellStyle name="Normal 4 4 4 5 6" xfId="27131" xr:uid="{6A6D94E3-F230-4219-AF31-D2356A2673B4}"/>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E271377F-99A6-496C-8C1A-AD8825B6E061}"/>
    <cellStyle name="Normal 4 4 4 6 2 2 3" xfId="25459" xr:uid="{02234719-4BD1-4DF0-B7DB-CC710A5A20E6}"/>
    <cellStyle name="Normal 4 4 4 6 2 2 4" xfId="33906" xr:uid="{B7BF1912-4C7F-4CA0-8B19-F16586FEA2CC}"/>
    <cellStyle name="Normal 4 4 4 6 2 3" xfId="12794" xr:uid="{72FB858C-E509-42F7-9800-6F2D231C80C3}"/>
    <cellStyle name="Normal 4 4 4 6 2 4" xfId="21242" xr:uid="{C5CF25FD-A638-4B0A-B7F0-31B938DC593D}"/>
    <cellStyle name="Normal 4 4 4 6 2 5" xfId="29689" xr:uid="{D8F31D9C-33A6-4B35-9368-59799413CE52}"/>
    <cellStyle name="Normal 4 4 4 6 3" xfId="6417" xr:uid="{00000000-0005-0000-0000-0000D8150000}"/>
    <cellStyle name="Normal 4 4 4 6 3 2" xfId="14867" xr:uid="{9AE71ADA-0DD5-48C8-ADA6-567BA741F1AD}"/>
    <cellStyle name="Normal 4 4 4 6 3 3" xfId="23314" xr:uid="{98DC0F3B-9FF1-4F85-A31D-557F9739980F}"/>
    <cellStyle name="Normal 4 4 4 6 3 4" xfId="31761" xr:uid="{176256C5-E666-4427-A934-493378E50678}"/>
    <cellStyle name="Normal 4 4 4 6 4" xfId="10649" xr:uid="{48365D5E-B512-4668-B521-B959DB6D9CBB}"/>
    <cellStyle name="Normal 4 4 4 6 5" xfId="19097" xr:uid="{29DAE380-7FBF-4798-8AF7-A57737D995DE}"/>
    <cellStyle name="Normal 4 4 4 6 6" xfId="27544" xr:uid="{4EF736A8-FF14-48F1-9571-5963ED164AF3}"/>
    <cellStyle name="Normal 4 4 4 7" xfId="2547" xr:uid="{00000000-0005-0000-0000-0000D9150000}"/>
    <cellStyle name="Normal 4 4 4 7 2" xfId="6830" xr:uid="{00000000-0005-0000-0000-0000DA150000}"/>
    <cellStyle name="Normal 4 4 4 7 2 2" xfId="15280" xr:uid="{1D538BC0-0BF9-4EA8-B100-19141F933264}"/>
    <cellStyle name="Normal 4 4 4 7 2 3" xfId="23727" xr:uid="{631A0A86-E4F9-4DD1-814D-020B68C3D5FE}"/>
    <cellStyle name="Normal 4 4 4 7 2 4" xfId="32174" xr:uid="{95E67726-84A3-445F-BC68-7B36646CC501}"/>
    <cellStyle name="Normal 4 4 4 7 3" xfId="11062" xr:uid="{5934FDD3-94A4-42ED-B607-22952A6CD89E}"/>
    <cellStyle name="Normal 4 4 4 7 4" xfId="19510" xr:uid="{D7C3BA58-2F3F-41D6-8347-ABBCCEFA603A}"/>
    <cellStyle name="Normal 4 4 4 7 5" xfId="27957" xr:uid="{F3CE8FE7-8C86-4203-8A69-918CA3623C15}"/>
    <cellStyle name="Normal 4 4 4 8" xfId="4765" xr:uid="{00000000-0005-0000-0000-0000DB150000}"/>
    <cellStyle name="Normal 4 4 4 8 2" xfId="13215" xr:uid="{06A735B6-14F4-476E-B926-3B5CCAE73256}"/>
    <cellStyle name="Normal 4 4 4 8 3" xfId="21662" xr:uid="{59DF1FD4-DEF9-4B81-8F2B-D267EC57AA54}"/>
    <cellStyle name="Normal 4 4 4 8 4" xfId="30109" xr:uid="{DF554A80-D121-4358-8438-7972B29A9EC9}"/>
    <cellStyle name="Normal 4 4 4 9" xfId="8997" xr:uid="{BEB21FFC-EA1C-4680-9D76-1F70C1FF93B7}"/>
    <cellStyle name="Normal 4 4 5" xfId="393" xr:uid="{00000000-0005-0000-0000-0000DC150000}"/>
    <cellStyle name="Normal 4 4 5 10" xfId="25894" xr:uid="{B70D2D4B-E0F6-44F9-8558-0949D99709BA}"/>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EBD352CF-4076-4525-99F8-C82DB5654F02}"/>
    <cellStyle name="Normal 4 4 5 2 2 2 3" xfId="24222" xr:uid="{D194B5A4-389D-4B6E-BBDF-D57F414D13C2}"/>
    <cellStyle name="Normal 4 4 5 2 2 2 4" xfId="32669" xr:uid="{8C9DF557-B305-4104-BF13-4AD8345DDDCC}"/>
    <cellStyle name="Normal 4 4 5 2 2 3" xfId="11557" xr:uid="{C7751073-862B-43BB-A016-9EF32980224A}"/>
    <cellStyle name="Normal 4 4 5 2 2 4" xfId="20005" xr:uid="{EDADEE35-315F-4A0F-99EA-5277282A0250}"/>
    <cellStyle name="Normal 4 4 5 2 2 5" xfId="28452" xr:uid="{43675587-6921-4270-A092-B1A986246455}"/>
    <cellStyle name="Normal 4 4 5 2 3" xfId="5180" xr:uid="{00000000-0005-0000-0000-0000E0150000}"/>
    <cellStyle name="Normal 4 4 5 2 3 2" xfId="13630" xr:uid="{C7FD6E33-58B2-42F3-B7AE-AD5F033EF66A}"/>
    <cellStyle name="Normal 4 4 5 2 3 3" xfId="22077" xr:uid="{6250EBF9-57AF-4747-8F31-2730252ED914}"/>
    <cellStyle name="Normal 4 4 5 2 3 4" xfId="30524" xr:uid="{A1913630-2AAD-4EE0-BCD1-9C4807C95FE7}"/>
    <cellStyle name="Normal 4 4 5 2 4" xfId="9412" xr:uid="{DA3E0420-8745-49A1-9053-ABD6E678BD03}"/>
    <cellStyle name="Normal 4 4 5 2 5" xfId="17860" xr:uid="{1A711243-9B60-4050-A333-7F1F2AC13F37}"/>
    <cellStyle name="Normal 4 4 5 2 6" xfId="26307" xr:uid="{043FAFBB-3677-4EAC-BF26-FD588AFD0ACA}"/>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7F23D6AA-81BC-4AC9-B092-0E79A0636B9D}"/>
    <cellStyle name="Normal 4 4 5 3 2 2 3" xfId="24635" xr:uid="{C48834C7-84E5-494B-A6A9-40378F0900F9}"/>
    <cellStyle name="Normal 4 4 5 3 2 2 4" xfId="33082" xr:uid="{0BFF961B-CD5E-4E87-9D2F-2E7594C8D307}"/>
    <cellStyle name="Normal 4 4 5 3 2 3" xfId="11970" xr:uid="{C23116B6-C225-4131-9CE5-5B4089BF94D7}"/>
    <cellStyle name="Normal 4 4 5 3 2 4" xfId="20418" xr:uid="{6970606C-F897-4C46-92F4-FE545FEF4AD3}"/>
    <cellStyle name="Normal 4 4 5 3 2 5" xfId="28865" xr:uid="{E195C99D-1E0B-452F-9977-EE58D7B0E138}"/>
    <cellStyle name="Normal 4 4 5 3 3" xfId="5593" xr:uid="{00000000-0005-0000-0000-0000E4150000}"/>
    <cellStyle name="Normal 4 4 5 3 3 2" xfId="14043" xr:uid="{E67BAA6C-509A-415E-BBA9-8DA18875FF73}"/>
    <cellStyle name="Normal 4 4 5 3 3 3" xfId="22490" xr:uid="{C91C394A-AF48-479E-BA99-32F4FF30946F}"/>
    <cellStyle name="Normal 4 4 5 3 3 4" xfId="30937" xr:uid="{A0D79AFB-DDED-4A2F-8E87-662E74A7E9AE}"/>
    <cellStyle name="Normal 4 4 5 3 4" xfId="9825" xr:uid="{4F43BCA5-4BB0-41FE-B940-F95F3B6DEC05}"/>
    <cellStyle name="Normal 4 4 5 3 5" xfId="18273" xr:uid="{7FEE0D26-18E3-454F-94B1-6CAD943A3C45}"/>
    <cellStyle name="Normal 4 4 5 3 6" xfId="26720" xr:uid="{6684CAF4-2317-4754-BFCC-CA1FDA885D17}"/>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B9E0A71A-1C45-4673-8153-C8400B50C27D}"/>
    <cellStyle name="Normal 4 4 5 4 2 2 3" xfId="25048" xr:uid="{B96D3ECD-D39B-4033-95AC-B389CD470839}"/>
    <cellStyle name="Normal 4 4 5 4 2 2 4" xfId="33495" xr:uid="{29A65228-CD57-4FF8-BBAC-7E213F1DED94}"/>
    <cellStyle name="Normal 4 4 5 4 2 3" xfId="12383" xr:uid="{3E91F7CA-682B-4B7D-8978-14C528F35AB9}"/>
    <cellStyle name="Normal 4 4 5 4 2 4" xfId="20831" xr:uid="{53C288D1-8665-47EF-A2E8-5EDAE3320FA8}"/>
    <cellStyle name="Normal 4 4 5 4 2 5" xfId="29278" xr:uid="{4D79B4BB-F88B-4A3A-8AFE-D3B785EFDAC9}"/>
    <cellStyle name="Normal 4 4 5 4 3" xfId="6006" xr:uid="{00000000-0005-0000-0000-0000E8150000}"/>
    <cellStyle name="Normal 4 4 5 4 3 2" xfId="14456" xr:uid="{D33EF1B7-72EA-4070-A494-C1061BD5893C}"/>
    <cellStyle name="Normal 4 4 5 4 3 3" xfId="22903" xr:uid="{4B86F8C1-03D9-47A4-9184-E03F2B699EA1}"/>
    <cellStyle name="Normal 4 4 5 4 3 4" xfId="31350" xr:uid="{941E29AB-04EB-488F-A8A9-3753280C44F9}"/>
    <cellStyle name="Normal 4 4 5 4 4" xfId="10238" xr:uid="{5138A4A6-1745-4D27-9000-9FE2AE5264D3}"/>
    <cellStyle name="Normal 4 4 5 4 5" xfId="18686" xr:uid="{2ACF04B9-67BB-4BCC-A1ED-49E382FCB88E}"/>
    <cellStyle name="Normal 4 4 5 4 6" xfId="27133" xr:uid="{EDDE862C-87F7-4CB8-BCC5-40F2C13663CB}"/>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93059D79-49C0-45C1-B310-44522420F4C1}"/>
    <cellStyle name="Normal 4 4 5 5 2 2 3" xfId="25461" xr:uid="{04605B67-94A6-4153-8E7E-F01C60A4195E}"/>
    <cellStyle name="Normal 4 4 5 5 2 2 4" xfId="33908" xr:uid="{4D583154-84EC-49EF-8B65-26C105829BAA}"/>
    <cellStyle name="Normal 4 4 5 5 2 3" xfId="12796" xr:uid="{0D7F6100-D400-4CF0-8FE4-AB9EA98E6257}"/>
    <cellStyle name="Normal 4 4 5 5 2 4" xfId="21244" xr:uid="{A6D1BAD0-0386-419E-A07C-16675576447B}"/>
    <cellStyle name="Normal 4 4 5 5 2 5" xfId="29691" xr:uid="{92E1AF10-6D7D-4AF8-BADA-E919BBDA0F0B}"/>
    <cellStyle name="Normal 4 4 5 5 3" xfId="6419" xr:uid="{00000000-0005-0000-0000-0000EC150000}"/>
    <cellStyle name="Normal 4 4 5 5 3 2" xfId="14869" xr:uid="{B6003472-2104-4CBE-A2C5-C44B1C1468F9}"/>
    <cellStyle name="Normal 4 4 5 5 3 3" xfId="23316" xr:uid="{2BD9E8B5-FC07-4263-AE7A-5BA88F578174}"/>
    <cellStyle name="Normal 4 4 5 5 3 4" xfId="31763" xr:uid="{03DDA846-DA75-4793-9639-6ACAA8672DDC}"/>
    <cellStyle name="Normal 4 4 5 5 4" xfId="10651" xr:uid="{55A11808-C7B3-459C-A4E6-3DAE979CB862}"/>
    <cellStyle name="Normal 4 4 5 5 5" xfId="19099" xr:uid="{777381D3-094B-4A39-931E-D92264A15BED}"/>
    <cellStyle name="Normal 4 4 5 5 6" xfId="27546" xr:uid="{0F7D2A14-1583-4378-B14A-25684E9C61D4}"/>
    <cellStyle name="Normal 4 4 5 6" xfId="2549" xr:uid="{00000000-0005-0000-0000-0000ED150000}"/>
    <cellStyle name="Normal 4 4 5 6 2" xfId="6832" xr:uid="{00000000-0005-0000-0000-0000EE150000}"/>
    <cellStyle name="Normal 4 4 5 6 2 2" xfId="15282" xr:uid="{9A13CC81-1F8B-4DD2-A9F7-A2880F4DE771}"/>
    <cellStyle name="Normal 4 4 5 6 2 3" xfId="23729" xr:uid="{BC9CF1FA-C3EC-460D-9D0B-C5128075D4FE}"/>
    <cellStyle name="Normal 4 4 5 6 2 4" xfId="32176" xr:uid="{A653E115-6408-467D-B192-69E4B96AB0A3}"/>
    <cellStyle name="Normal 4 4 5 6 3" xfId="11064" xr:uid="{F4036948-9493-486D-8A68-268EB5762B98}"/>
    <cellStyle name="Normal 4 4 5 6 4" xfId="19512" xr:uid="{70BA61BA-6147-4806-A86E-93C5D3F66739}"/>
    <cellStyle name="Normal 4 4 5 6 5" xfId="27959" xr:uid="{7070CFAA-7307-44E9-87E4-1494A77D1E77}"/>
    <cellStyle name="Normal 4 4 5 7" xfId="4767" xr:uid="{00000000-0005-0000-0000-0000EF150000}"/>
    <cellStyle name="Normal 4 4 5 7 2" xfId="13217" xr:uid="{F94950CA-AA20-4636-AC29-2B5459C59BEF}"/>
    <cellStyle name="Normal 4 4 5 7 3" xfId="21664" xr:uid="{EF176DC0-6C0B-4CB0-ACB8-60D06E643BC4}"/>
    <cellStyle name="Normal 4 4 5 7 4" xfId="30111" xr:uid="{85C13F8A-62A8-43AB-8AB4-C3D987C54484}"/>
    <cellStyle name="Normal 4 4 5 8" xfId="8999" xr:uid="{4DA848C6-DCD9-4510-8673-1639B0F5664F}"/>
    <cellStyle name="Normal 4 4 5 9" xfId="17447" xr:uid="{15339961-028B-4BD2-A42B-7204BC00F632}"/>
    <cellStyle name="Normal 4 4 6" xfId="853" xr:uid="{00000000-0005-0000-0000-0000F0150000}"/>
    <cellStyle name="Normal 4 4 6 2" xfId="3088" xr:uid="{00000000-0005-0000-0000-0000F1150000}"/>
    <cellStyle name="Normal 4 4 6 2 2" xfId="7310" xr:uid="{00000000-0005-0000-0000-0000F2150000}"/>
    <cellStyle name="Normal 4 4 6 2 2 2" xfId="15760" xr:uid="{6A631997-3BDC-4AD3-A5CA-EBF259E01836}"/>
    <cellStyle name="Normal 4 4 6 2 2 3" xfId="24207" xr:uid="{86D0B1BA-43D4-4274-B2F0-F62FEFF0BA33}"/>
    <cellStyle name="Normal 4 4 6 2 2 4" xfId="32654" xr:uid="{1D416852-F371-484F-AD35-1C9586F09689}"/>
    <cellStyle name="Normal 4 4 6 2 3" xfId="11542" xr:uid="{3AE5CE08-9FC2-41CA-9666-355E6EFF26AD}"/>
    <cellStyle name="Normal 4 4 6 2 4" xfId="19990" xr:uid="{B54F09AC-4DCA-4ADF-A56A-2FD93573DE8D}"/>
    <cellStyle name="Normal 4 4 6 2 5" xfId="28437" xr:uid="{BC3AB3F0-135F-4A34-B944-63E9EFAF8F7A}"/>
    <cellStyle name="Normal 4 4 6 3" xfId="5165" xr:uid="{00000000-0005-0000-0000-0000F3150000}"/>
    <cellStyle name="Normal 4 4 6 3 2" xfId="13615" xr:uid="{E09663EB-175E-4022-A6F4-4E8DE1E20552}"/>
    <cellStyle name="Normal 4 4 6 3 3" xfId="22062" xr:uid="{A9B7542E-A84D-451C-9BA2-D2BDF94B6A72}"/>
    <cellStyle name="Normal 4 4 6 3 4" xfId="30509" xr:uid="{9D01B320-81EA-40A1-987B-1AB99C1FA8D2}"/>
    <cellStyle name="Normal 4 4 6 4" xfId="9397" xr:uid="{60151270-C18F-44E8-9FF7-4AE50C922163}"/>
    <cellStyle name="Normal 4 4 6 5" xfId="17845" xr:uid="{86894C42-96E7-4BEC-AC4B-1C31AED5D864}"/>
    <cellStyle name="Normal 4 4 6 6" xfId="26292" xr:uid="{526D9E3B-287C-4FC6-9453-16AEF5D76269}"/>
    <cellStyle name="Normal 4 4 7" xfId="1271" xr:uid="{00000000-0005-0000-0000-0000F4150000}"/>
    <cellStyle name="Normal 4 4 7 2" xfId="3501" xr:uid="{00000000-0005-0000-0000-0000F5150000}"/>
    <cellStyle name="Normal 4 4 7 2 2" xfId="7723" xr:uid="{00000000-0005-0000-0000-0000F6150000}"/>
    <cellStyle name="Normal 4 4 7 2 2 2" xfId="16173" xr:uid="{7E2346E9-96FD-487B-9D7E-6B0A18ED99BA}"/>
    <cellStyle name="Normal 4 4 7 2 2 3" xfId="24620" xr:uid="{8877340E-73B4-49BE-BD65-BE14617CFEB8}"/>
    <cellStyle name="Normal 4 4 7 2 2 4" xfId="33067" xr:uid="{2A78BB66-5907-4673-B3E3-35D490075C76}"/>
    <cellStyle name="Normal 4 4 7 2 3" xfId="11955" xr:uid="{2B3944D6-17A0-4D25-AB1A-2354E1AEF3AA}"/>
    <cellStyle name="Normal 4 4 7 2 4" xfId="20403" xr:uid="{36DA8BA2-DDA5-4C7A-8C30-AE080BEAA417}"/>
    <cellStyle name="Normal 4 4 7 2 5" xfId="28850" xr:uid="{94C885CE-3F54-4595-8F4F-0F383A2B9C9C}"/>
    <cellStyle name="Normal 4 4 7 3" xfId="5578" xr:uid="{00000000-0005-0000-0000-0000F7150000}"/>
    <cellStyle name="Normal 4 4 7 3 2" xfId="14028" xr:uid="{5A1A205A-A387-4998-8FE2-D884A2325861}"/>
    <cellStyle name="Normal 4 4 7 3 3" xfId="22475" xr:uid="{0E9A547C-3BD0-4A25-8F00-461B4702B31F}"/>
    <cellStyle name="Normal 4 4 7 3 4" xfId="30922" xr:uid="{7D0864EE-9EFC-4E86-9D35-0AFE2D040863}"/>
    <cellStyle name="Normal 4 4 7 4" xfId="9810" xr:uid="{73A6CE52-69D7-4EBC-9453-DAE38F55FA3F}"/>
    <cellStyle name="Normal 4 4 7 5" xfId="18258" xr:uid="{4E62F3AB-40FD-4003-A743-44728E68BA53}"/>
    <cellStyle name="Normal 4 4 7 6" xfId="26705" xr:uid="{FAF4D7C6-A1C3-4230-9E74-77616A5E7BF4}"/>
    <cellStyle name="Normal 4 4 8" xfId="1684" xr:uid="{00000000-0005-0000-0000-0000F8150000}"/>
    <cellStyle name="Normal 4 4 8 2" xfId="3914" xr:uid="{00000000-0005-0000-0000-0000F9150000}"/>
    <cellStyle name="Normal 4 4 8 2 2" xfId="8136" xr:uid="{00000000-0005-0000-0000-0000FA150000}"/>
    <cellStyle name="Normal 4 4 8 2 2 2" xfId="16586" xr:uid="{44484F8E-E535-412E-9488-9DDA2BBC6961}"/>
    <cellStyle name="Normal 4 4 8 2 2 3" xfId="25033" xr:uid="{172B54DE-ECE1-4AB3-A71C-E397407AD9C3}"/>
    <cellStyle name="Normal 4 4 8 2 2 4" xfId="33480" xr:uid="{FD7FD924-6B3D-4046-A649-2AA557E33F28}"/>
    <cellStyle name="Normal 4 4 8 2 3" xfId="12368" xr:uid="{D945F4B1-6C7E-4673-AF7B-58AB4B803D77}"/>
    <cellStyle name="Normal 4 4 8 2 4" xfId="20816" xr:uid="{54038EAC-EDFB-41D3-BF0A-029D5C790F10}"/>
    <cellStyle name="Normal 4 4 8 2 5" xfId="29263" xr:uid="{347CC9E7-02D3-4DD2-9944-855CDC2A57B7}"/>
    <cellStyle name="Normal 4 4 8 3" xfId="5991" xr:uid="{00000000-0005-0000-0000-0000FB150000}"/>
    <cellStyle name="Normal 4 4 8 3 2" xfId="14441" xr:uid="{FC36BC4D-D6DE-4B62-B730-5B62D6928F4C}"/>
    <cellStyle name="Normal 4 4 8 3 3" xfId="22888" xr:uid="{BCF5B975-BB7E-4E85-ACC8-E61832414701}"/>
    <cellStyle name="Normal 4 4 8 3 4" xfId="31335" xr:uid="{969376EB-D93D-47FE-AA56-F3747731AFE3}"/>
    <cellStyle name="Normal 4 4 8 4" xfId="10223" xr:uid="{D7958C5F-258C-434E-A045-F02D53CBEAF2}"/>
    <cellStyle name="Normal 4 4 8 5" xfId="18671" xr:uid="{02AD3EEA-60AC-46F9-9FD3-C37C95F639D1}"/>
    <cellStyle name="Normal 4 4 8 6" xfId="27118" xr:uid="{7728162F-0CB1-47B6-8AF6-8D2938D13BA5}"/>
    <cellStyle name="Normal 4 4 9" xfId="2098" xr:uid="{00000000-0005-0000-0000-0000FC150000}"/>
    <cellStyle name="Normal 4 4 9 2" xfId="4327" xr:uid="{00000000-0005-0000-0000-0000FD150000}"/>
    <cellStyle name="Normal 4 4 9 2 2" xfId="8549" xr:uid="{00000000-0005-0000-0000-0000FE150000}"/>
    <cellStyle name="Normal 4 4 9 2 2 2" xfId="16999" xr:uid="{4DEA2FBE-47C7-4C98-8550-E7DC6678CCB9}"/>
    <cellStyle name="Normal 4 4 9 2 2 3" xfId="25446" xr:uid="{13F931FE-8726-4AD8-9EBD-3CAFB8021A26}"/>
    <cellStyle name="Normal 4 4 9 2 2 4" xfId="33893" xr:uid="{DCBA4F88-14CD-4C76-893B-CD7ACEFF37FA}"/>
    <cellStyle name="Normal 4 4 9 2 3" xfId="12781" xr:uid="{49FF6890-2770-4833-994A-A1B1C4EF975D}"/>
    <cellStyle name="Normal 4 4 9 2 4" xfId="21229" xr:uid="{03732F39-6F09-44E3-BE23-05DCD0F4B402}"/>
    <cellStyle name="Normal 4 4 9 2 5" xfId="29676" xr:uid="{FBC5F504-4B46-4CCA-AB26-DC35185861FA}"/>
    <cellStyle name="Normal 4 4 9 3" xfId="6404" xr:uid="{00000000-0005-0000-0000-0000FF150000}"/>
    <cellStyle name="Normal 4 4 9 3 2" xfId="14854" xr:uid="{603984F2-6ADB-4F69-AF05-E7C083CC2DEE}"/>
    <cellStyle name="Normal 4 4 9 3 3" xfId="23301" xr:uid="{644E3A58-D4C6-4247-94A1-3B648713991B}"/>
    <cellStyle name="Normal 4 4 9 3 4" xfId="31748" xr:uid="{798FCD7E-9EFA-4077-B21E-741988156E70}"/>
    <cellStyle name="Normal 4 4 9 4" xfId="10636" xr:uid="{9B2DAFFD-FB70-49D1-A0D1-8E679B83B85B}"/>
    <cellStyle name="Normal 4 4 9 5" xfId="19084" xr:uid="{6F1D3FB0-579B-4CEF-981F-EAC8645F600F}"/>
    <cellStyle name="Normal 4 4 9 6" xfId="27531" xr:uid="{3EA7B127-06B6-44EC-9262-465887C147EF}"/>
    <cellStyle name="Normal 4 5" xfId="394" xr:uid="{00000000-0005-0000-0000-000000160000}"/>
    <cellStyle name="Normal 4 6" xfId="395" xr:uid="{00000000-0005-0000-0000-000001160000}"/>
    <cellStyle name="Normal 4 6 10" xfId="4768" xr:uid="{00000000-0005-0000-0000-000002160000}"/>
    <cellStyle name="Normal 4 6 10 2" xfId="13218" xr:uid="{EEBD8910-8156-4AEA-B538-1E3D7A43B8B2}"/>
    <cellStyle name="Normal 4 6 10 3" xfId="21665" xr:uid="{29C8C678-79C3-4010-9143-52CF76DFA1EF}"/>
    <cellStyle name="Normal 4 6 10 4" xfId="30112" xr:uid="{F703CF78-9476-4400-A3EC-B89B25400F53}"/>
    <cellStyle name="Normal 4 6 11" xfId="9000" xr:uid="{D07A06C4-5188-425B-9A87-4C4C7810DB98}"/>
    <cellStyle name="Normal 4 6 12" xfId="17448" xr:uid="{B1CD977D-0025-45ED-86C0-DC541D996691}"/>
    <cellStyle name="Normal 4 6 13" xfId="25895" xr:uid="{9CE647C5-6D7B-4137-ABE2-9C38740B29FE}"/>
    <cellStyle name="Normal 4 6 2" xfId="396" xr:uid="{00000000-0005-0000-0000-000003160000}"/>
    <cellStyle name="Normal 4 6 2 10" xfId="9001" xr:uid="{CE1CE932-3CC4-444D-92C6-B85BFF6EC20E}"/>
    <cellStyle name="Normal 4 6 2 11" xfId="17449" xr:uid="{A4C0DB27-5094-4387-B405-354C63E9B453}"/>
    <cellStyle name="Normal 4 6 2 12" xfId="25896" xr:uid="{B43E8924-7789-4120-80C4-570A9D99607F}"/>
    <cellStyle name="Normal 4 6 2 2" xfId="397" xr:uid="{00000000-0005-0000-0000-000004160000}"/>
    <cellStyle name="Normal 4 6 2 2 10" xfId="17450" xr:uid="{E06524FA-FEF7-4E0D-AE31-8626DD14C970}"/>
    <cellStyle name="Normal 4 6 2 2 11" xfId="25897" xr:uid="{290ACC3E-857E-42DC-906B-C09921172328}"/>
    <cellStyle name="Normal 4 6 2 2 2" xfId="398" xr:uid="{00000000-0005-0000-0000-000005160000}"/>
    <cellStyle name="Normal 4 6 2 2 2 10" xfId="25898" xr:uid="{CA46E04F-ADDA-48E6-8F6C-20A874B31675}"/>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DD146E42-BA4E-4FD8-BAA8-99A0BACB061D}"/>
    <cellStyle name="Normal 4 6 2 2 2 2 2 2 3" xfId="24226" xr:uid="{419253D2-7A66-4BB8-8C2C-57C471892E08}"/>
    <cellStyle name="Normal 4 6 2 2 2 2 2 2 4" xfId="32673" xr:uid="{7B4053C0-70E5-43D4-B4EE-898B011E5FEE}"/>
    <cellStyle name="Normal 4 6 2 2 2 2 2 3" xfId="11561" xr:uid="{3ABF5EE1-784E-43FA-8525-F8E87D160DF8}"/>
    <cellStyle name="Normal 4 6 2 2 2 2 2 4" xfId="20009" xr:uid="{5311B254-927C-4C83-BC9D-34263D326579}"/>
    <cellStyle name="Normal 4 6 2 2 2 2 2 5" xfId="28456" xr:uid="{FACB1301-B56A-428D-9FB7-B70AE9E9042B}"/>
    <cellStyle name="Normal 4 6 2 2 2 2 3" xfId="5184" xr:uid="{00000000-0005-0000-0000-000009160000}"/>
    <cellStyle name="Normal 4 6 2 2 2 2 3 2" xfId="13634" xr:uid="{F46BD667-E50D-42FF-85E5-77FF3EEFFF12}"/>
    <cellStyle name="Normal 4 6 2 2 2 2 3 3" xfId="22081" xr:uid="{15B7350B-7056-49B3-A9DD-FDFBB7568FA3}"/>
    <cellStyle name="Normal 4 6 2 2 2 2 3 4" xfId="30528" xr:uid="{8CB02D68-4C98-4492-A476-B71DC68FF94D}"/>
    <cellStyle name="Normal 4 6 2 2 2 2 4" xfId="9416" xr:uid="{8CB64688-A4C5-481C-88B6-065F56DA207F}"/>
    <cellStyle name="Normal 4 6 2 2 2 2 5" xfId="17864" xr:uid="{11F81354-E114-4435-9CBD-14AE19CF2481}"/>
    <cellStyle name="Normal 4 6 2 2 2 2 6" xfId="26311" xr:uid="{FB72047D-A676-4CE1-9285-B6D99430295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9D9FE9D7-4C83-4DC8-A2BD-C15CD029DE38}"/>
    <cellStyle name="Normal 4 6 2 2 2 3 2 2 3" xfId="24639" xr:uid="{38F5E8ED-ECC8-4A35-B293-446513BF6BB1}"/>
    <cellStyle name="Normal 4 6 2 2 2 3 2 2 4" xfId="33086" xr:uid="{84C28B60-742B-4625-8826-733CE4E26744}"/>
    <cellStyle name="Normal 4 6 2 2 2 3 2 3" xfId="11974" xr:uid="{A54BF2C3-96A0-44A4-9211-456C714D9854}"/>
    <cellStyle name="Normal 4 6 2 2 2 3 2 4" xfId="20422" xr:uid="{4B9B67EA-B2BD-4940-8D88-DE6DB8826248}"/>
    <cellStyle name="Normal 4 6 2 2 2 3 2 5" xfId="28869" xr:uid="{854996FB-3108-4A2A-8F3B-36CB6560EF40}"/>
    <cellStyle name="Normal 4 6 2 2 2 3 3" xfId="5597" xr:uid="{00000000-0005-0000-0000-00000D160000}"/>
    <cellStyle name="Normal 4 6 2 2 2 3 3 2" xfId="14047" xr:uid="{995AC336-0051-4638-99A4-CBDEEBC156F1}"/>
    <cellStyle name="Normal 4 6 2 2 2 3 3 3" xfId="22494" xr:uid="{E099A0D7-4887-4ADC-84E3-E18ABE258BC4}"/>
    <cellStyle name="Normal 4 6 2 2 2 3 3 4" xfId="30941" xr:uid="{750EFD12-0F9F-48FA-932F-5BE04CB0E68E}"/>
    <cellStyle name="Normal 4 6 2 2 2 3 4" xfId="9829" xr:uid="{BD709EF7-FD38-450D-9FF5-D9D94BD5A678}"/>
    <cellStyle name="Normal 4 6 2 2 2 3 5" xfId="18277" xr:uid="{2C80E4A7-7157-4B62-96EB-7357A683FEA3}"/>
    <cellStyle name="Normal 4 6 2 2 2 3 6" xfId="26724" xr:uid="{59C6EDBE-1A92-4628-A968-ED936837CDD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D0D33CA0-4074-4670-8817-86E4FF2675E4}"/>
    <cellStyle name="Normal 4 6 2 2 2 4 2 2 3" xfId="25052" xr:uid="{C6729836-0C96-4ACA-AF55-A64D7B5B7ABE}"/>
    <cellStyle name="Normal 4 6 2 2 2 4 2 2 4" xfId="33499" xr:uid="{AA191A03-617D-41B0-903F-66F8B8722A41}"/>
    <cellStyle name="Normal 4 6 2 2 2 4 2 3" xfId="12387" xr:uid="{3A1D7684-C114-4ECD-8900-F5A10D3ED59A}"/>
    <cellStyle name="Normal 4 6 2 2 2 4 2 4" xfId="20835" xr:uid="{C5C01707-E358-4338-94F8-8472D0F30717}"/>
    <cellStyle name="Normal 4 6 2 2 2 4 2 5" xfId="29282" xr:uid="{22FFE973-9025-40ED-990E-E6444622E301}"/>
    <cellStyle name="Normal 4 6 2 2 2 4 3" xfId="6010" xr:uid="{00000000-0005-0000-0000-000011160000}"/>
    <cellStyle name="Normal 4 6 2 2 2 4 3 2" xfId="14460" xr:uid="{5DABFB1C-4A40-44D6-8E48-CCBCF690FE07}"/>
    <cellStyle name="Normal 4 6 2 2 2 4 3 3" xfId="22907" xr:uid="{DD138BDA-4EAF-4CD9-89D2-92F9CD39540A}"/>
    <cellStyle name="Normal 4 6 2 2 2 4 3 4" xfId="31354" xr:uid="{6F7A0D79-E70E-4C3D-A718-169A4AFCCA9E}"/>
    <cellStyle name="Normal 4 6 2 2 2 4 4" xfId="10242" xr:uid="{34FB31B3-75B0-4AA8-85F2-CF97D8085DB6}"/>
    <cellStyle name="Normal 4 6 2 2 2 4 5" xfId="18690" xr:uid="{15DD6D54-2AFF-4E16-A6D2-6803B65DE663}"/>
    <cellStyle name="Normal 4 6 2 2 2 4 6" xfId="27137" xr:uid="{E09F704C-591F-44BE-8E9E-12B451EF2FDC}"/>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FDC1F185-9DE5-4548-BD2C-A1D294712F57}"/>
    <cellStyle name="Normal 4 6 2 2 2 5 2 2 3" xfId="25465" xr:uid="{47982474-DD1B-4390-A05D-C0306F40B064}"/>
    <cellStyle name="Normal 4 6 2 2 2 5 2 2 4" xfId="33912" xr:uid="{3FD53CBB-4822-422A-9FDA-3D9CD7126A0E}"/>
    <cellStyle name="Normal 4 6 2 2 2 5 2 3" xfId="12800" xr:uid="{B8A33C2F-1625-40DE-8E2B-B95C7DFA5301}"/>
    <cellStyle name="Normal 4 6 2 2 2 5 2 4" xfId="21248" xr:uid="{0229A1E1-55D0-44FC-8932-693965DD5926}"/>
    <cellStyle name="Normal 4 6 2 2 2 5 2 5" xfId="29695" xr:uid="{103E89DC-E2E2-4847-9FB5-A3DA406D64E8}"/>
    <cellStyle name="Normal 4 6 2 2 2 5 3" xfId="6423" xr:uid="{00000000-0005-0000-0000-000015160000}"/>
    <cellStyle name="Normal 4 6 2 2 2 5 3 2" xfId="14873" xr:uid="{BE028BE1-85B8-46E5-A7EB-590DF4635544}"/>
    <cellStyle name="Normal 4 6 2 2 2 5 3 3" xfId="23320" xr:uid="{5A24E615-2D4A-462F-BA11-676A587A6033}"/>
    <cellStyle name="Normal 4 6 2 2 2 5 3 4" xfId="31767" xr:uid="{F565B1B8-BC65-4C7A-9359-31D0C555B63F}"/>
    <cellStyle name="Normal 4 6 2 2 2 5 4" xfId="10655" xr:uid="{83BB825D-14B7-42BF-A981-3D47C78223D8}"/>
    <cellStyle name="Normal 4 6 2 2 2 5 5" xfId="19103" xr:uid="{36FD8E84-B712-4971-9BBB-D3C59E48BF14}"/>
    <cellStyle name="Normal 4 6 2 2 2 5 6" xfId="27550" xr:uid="{CA3886D4-0BED-4517-A98B-70296899429F}"/>
    <cellStyle name="Normal 4 6 2 2 2 6" xfId="2553" xr:uid="{00000000-0005-0000-0000-000016160000}"/>
    <cellStyle name="Normal 4 6 2 2 2 6 2" xfId="6836" xr:uid="{00000000-0005-0000-0000-000017160000}"/>
    <cellStyle name="Normal 4 6 2 2 2 6 2 2" xfId="15286" xr:uid="{D811464A-A428-4C13-99C1-F99DB72531DF}"/>
    <cellStyle name="Normal 4 6 2 2 2 6 2 3" xfId="23733" xr:uid="{738C7E11-0318-40AD-A4D9-B4EC92C5FB32}"/>
    <cellStyle name="Normal 4 6 2 2 2 6 2 4" xfId="32180" xr:uid="{5A60E048-84C1-48CF-B632-6742015C601B}"/>
    <cellStyle name="Normal 4 6 2 2 2 6 3" xfId="11068" xr:uid="{607454CB-4ACD-4615-81F4-10BF4465A2F7}"/>
    <cellStyle name="Normal 4 6 2 2 2 6 4" xfId="19516" xr:uid="{35BEB561-55BB-45C0-A5BD-508271D3F120}"/>
    <cellStyle name="Normal 4 6 2 2 2 6 5" xfId="27963" xr:uid="{0C1ECC2E-5265-4890-9488-474741D8DD8F}"/>
    <cellStyle name="Normal 4 6 2 2 2 7" xfId="4771" xr:uid="{00000000-0005-0000-0000-000018160000}"/>
    <cellStyle name="Normal 4 6 2 2 2 7 2" xfId="13221" xr:uid="{B5FBD311-7B45-4308-93F0-4643391AEDCF}"/>
    <cellStyle name="Normal 4 6 2 2 2 7 3" xfId="21668" xr:uid="{7D14A9D1-A46A-4F82-9BD0-BDBF8D10EDD8}"/>
    <cellStyle name="Normal 4 6 2 2 2 7 4" xfId="30115" xr:uid="{4E6ECC87-E681-44F0-98F5-C678DA391C3E}"/>
    <cellStyle name="Normal 4 6 2 2 2 8" xfId="9003" xr:uid="{5DECD9EC-147D-4040-B5D6-38EADFEE8CE6}"/>
    <cellStyle name="Normal 4 6 2 2 2 9" xfId="17451" xr:uid="{D39360A8-A4A8-4FFC-BCDE-A54422BBE10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841A489-72EF-44EE-A1A9-40069AF2E6C1}"/>
    <cellStyle name="Normal 4 6 2 2 3 2 2 3" xfId="24225" xr:uid="{77A01CD2-FFA8-4EF0-82CC-CB4B0F2890FF}"/>
    <cellStyle name="Normal 4 6 2 2 3 2 2 4" xfId="32672" xr:uid="{6CFB3CD1-3D95-46C2-9F08-E54D0EBF0212}"/>
    <cellStyle name="Normal 4 6 2 2 3 2 3" xfId="11560" xr:uid="{ECDB9D0E-F177-42B4-A97E-B33AB119E246}"/>
    <cellStyle name="Normal 4 6 2 2 3 2 4" xfId="20008" xr:uid="{7902B179-4480-46A9-997C-62056093830A}"/>
    <cellStyle name="Normal 4 6 2 2 3 2 5" xfId="28455" xr:uid="{C5474BA0-A1BF-416B-AB0B-3992526E1491}"/>
    <cellStyle name="Normal 4 6 2 2 3 3" xfId="5183" xr:uid="{00000000-0005-0000-0000-00001C160000}"/>
    <cellStyle name="Normal 4 6 2 2 3 3 2" xfId="13633" xr:uid="{5625EF0A-5A10-44C7-917C-E11B8F4972D0}"/>
    <cellStyle name="Normal 4 6 2 2 3 3 3" xfId="22080" xr:uid="{E92941A2-2B85-482F-9B40-9F5F3A4D2933}"/>
    <cellStyle name="Normal 4 6 2 2 3 3 4" xfId="30527" xr:uid="{30F7E998-EAB9-4CDE-85FD-FDA80D6305B4}"/>
    <cellStyle name="Normal 4 6 2 2 3 4" xfId="9415" xr:uid="{0658BE66-F1A0-4424-B915-1DA4ADBAB699}"/>
    <cellStyle name="Normal 4 6 2 2 3 5" xfId="17863" xr:uid="{FB635478-E054-4105-A8F0-161232A958A8}"/>
    <cellStyle name="Normal 4 6 2 2 3 6" xfId="26310" xr:uid="{009E6A19-0324-4C95-AF28-86BC53A5EA63}"/>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5AAFECA5-CB33-4771-AB29-64A8727EC8AC}"/>
    <cellStyle name="Normal 4 6 2 2 4 2 2 3" xfId="24638" xr:uid="{F9C65512-8E08-4EA8-A38F-24755750EE3C}"/>
    <cellStyle name="Normal 4 6 2 2 4 2 2 4" xfId="33085" xr:uid="{F989A6CF-ED41-4ED7-9EAC-361649E570B6}"/>
    <cellStyle name="Normal 4 6 2 2 4 2 3" xfId="11973" xr:uid="{49CB3A64-5922-4B60-9388-B75A51360F2E}"/>
    <cellStyle name="Normal 4 6 2 2 4 2 4" xfId="20421" xr:uid="{AFB6FAA0-F34F-4C54-8AE3-ED6F9C0734F8}"/>
    <cellStyle name="Normal 4 6 2 2 4 2 5" xfId="28868" xr:uid="{0649E67B-B7F8-4EFA-899B-FA2E4AF953B0}"/>
    <cellStyle name="Normal 4 6 2 2 4 3" xfId="5596" xr:uid="{00000000-0005-0000-0000-000020160000}"/>
    <cellStyle name="Normal 4 6 2 2 4 3 2" xfId="14046" xr:uid="{3782BD3A-CAE9-418E-806D-12340892C79D}"/>
    <cellStyle name="Normal 4 6 2 2 4 3 3" xfId="22493" xr:uid="{8B84FA65-1EDB-470D-9484-9F281F65884F}"/>
    <cellStyle name="Normal 4 6 2 2 4 3 4" xfId="30940" xr:uid="{F34FD1CB-C66A-4142-ACC8-98287D20197E}"/>
    <cellStyle name="Normal 4 6 2 2 4 4" xfId="9828" xr:uid="{675E5626-E5B8-4BF4-9573-ED04F9DF623A}"/>
    <cellStyle name="Normal 4 6 2 2 4 5" xfId="18276" xr:uid="{024F48C1-B2C3-4846-BB26-64161A28B876}"/>
    <cellStyle name="Normal 4 6 2 2 4 6" xfId="26723" xr:uid="{949645C6-D363-4F4B-A88C-73E16D430564}"/>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280CD49B-0DBB-415E-A092-0AC7BCF75B78}"/>
    <cellStyle name="Normal 4 6 2 2 5 2 2 3" xfId="25051" xr:uid="{83EE40C9-61A3-499B-BDC5-89ACCF97903A}"/>
    <cellStyle name="Normal 4 6 2 2 5 2 2 4" xfId="33498" xr:uid="{38A78BBE-B8B0-4F84-8338-5FCE43A2783C}"/>
    <cellStyle name="Normal 4 6 2 2 5 2 3" xfId="12386" xr:uid="{F819AC38-2305-40BB-8991-C6994605D7ED}"/>
    <cellStyle name="Normal 4 6 2 2 5 2 4" xfId="20834" xr:uid="{61F15468-0F47-48AF-8BC2-AA7D0B455466}"/>
    <cellStyle name="Normal 4 6 2 2 5 2 5" xfId="29281" xr:uid="{EBD0BED5-81F4-4EF2-B289-0BEC9ACEC487}"/>
    <cellStyle name="Normal 4 6 2 2 5 3" xfId="6009" xr:uid="{00000000-0005-0000-0000-000024160000}"/>
    <cellStyle name="Normal 4 6 2 2 5 3 2" xfId="14459" xr:uid="{2FA3F200-7E65-495C-B0FB-2DDE204B6516}"/>
    <cellStyle name="Normal 4 6 2 2 5 3 3" xfId="22906" xr:uid="{9FE04E51-F693-4C20-8193-3184E0F6E4AB}"/>
    <cellStyle name="Normal 4 6 2 2 5 3 4" xfId="31353" xr:uid="{208D2914-8392-4455-8E52-A7F9B1EAD3EE}"/>
    <cellStyle name="Normal 4 6 2 2 5 4" xfId="10241" xr:uid="{EE7EFE78-616B-41F0-8A18-A115BF6971AE}"/>
    <cellStyle name="Normal 4 6 2 2 5 5" xfId="18689" xr:uid="{D27CAEA5-E906-42C9-868D-F50043DD0CE6}"/>
    <cellStyle name="Normal 4 6 2 2 5 6" xfId="27136" xr:uid="{BBD8BEDE-951F-48A5-AB5A-9D3512DECC6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BC7EF7FD-E9BC-4ACA-BAD8-BAEAF43ADB2C}"/>
    <cellStyle name="Normal 4 6 2 2 6 2 2 3" xfId="25464" xr:uid="{3A841CB7-46C6-4393-AD1F-DDEF012CEBCE}"/>
    <cellStyle name="Normal 4 6 2 2 6 2 2 4" xfId="33911" xr:uid="{3F288DBE-CBC2-48D5-A784-79B1C0927FEE}"/>
    <cellStyle name="Normal 4 6 2 2 6 2 3" xfId="12799" xr:uid="{3BA9446E-377A-4D19-AF0A-11C476F1D267}"/>
    <cellStyle name="Normal 4 6 2 2 6 2 4" xfId="21247" xr:uid="{F5BEB9BB-8E51-4D9E-B488-2D6858B3FC23}"/>
    <cellStyle name="Normal 4 6 2 2 6 2 5" xfId="29694" xr:uid="{3F9161EE-78E0-4BE8-860B-27708A83E63C}"/>
    <cellStyle name="Normal 4 6 2 2 6 3" xfId="6422" xr:uid="{00000000-0005-0000-0000-000028160000}"/>
    <cellStyle name="Normal 4 6 2 2 6 3 2" xfId="14872" xr:uid="{3A336C8A-37EF-4105-9B4F-96B04AE2DA84}"/>
    <cellStyle name="Normal 4 6 2 2 6 3 3" xfId="23319" xr:uid="{F38EF183-C3FF-4345-BD65-5394ECA3BD57}"/>
    <cellStyle name="Normal 4 6 2 2 6 3 4" xfId="31766" xr:uid="{6717383F-B819-41D6-88A1-C2E2C2E17865}"/>
    <cellStyle name="Normal 4 6 2 2 6 4" xfId="10654" xr:uid="{47B8DC61-B11C-4E72-90C9-4134A94A6A3D}"/>
    <cellStyle name="Normal 4 6 2 2 6 5" xfId="19102" xr:uid="{DC80B229-2201-4504-AEEE-6B7B48BD5C08}"/>
    <cellStyle name="Normal 4 6 2 2 6 6" xfId="27549" xr:uid="{38A090E4-2D51-4ECC-B42A-BC93E680BF3E}"/>
    <cellStyle name="Normal 4 6 2 2 7" xfId="2552" xr:uid="{00000000-0005-0000-0000-000029160000}"/>
    <cellStyle name="Normal 4 6 2 2 7 2" xfId="6835" xr:uid="{00000000-0005-0000-0000-00002A160000}"/>
    <cellStyle name="Normal 4 6 2 2 7 2 2" xfId="15285" xr:uid="{83F849A2-1F04-4A85-BD14-D9164672BA31}"/>
    <cellStyle name="Normal 4 6 2 2 7 2 3" xfId="23732" xr:uid="{910E2543-8E57-4E2F-8A3C-616C5E85D786}"/>
    <cellStyle name="Normal 4 6 2 2 7 2 4" xfId="32179" xr:uid="{755054DD-2918-46D1-AB61-FE6DDF92E463}"/>
    <cellStyle name="Normal 4 6 2 2 7 3" xfId="11067" xr:uid="{05EF1E43-3EF4-4482-B0A4-93B48D39A2A2}"/>
    <cellStyle name="Normal 4 6 2 2 7 4" xfId="19515" xr:uid="{0F013755-1D13-410F-8676-66BCE58A7FFB}"/>
    <cellStyle name="Normal 4 6 2 2 7 5" xfId="27962" xr:uid="{CFCC5B43-F532-4BAF-AFE8-7F674235F142}"/>
    <cellStyle name="Normal 4 6 2 2 8" xfId="4770" xr:uid="{00000000-0005-0000-0000-00002B160000}"/>
    <cellStyle name="Normal 4 6 2 2 8 2" xfId="13220" xr:uid="{3B6085AE-E9F9-4605-BCA5-3F4E03F03D0F}"/>
    <cellStyle name="Normal 4 6 2 2 8 3" xfId="21667" xr:uid="{62A23E6A-7B87-46F0-B4AF-596A5B87C599}"/>
    <cellStyle name="Normal 4 6 2 2 8 4" xfId="30114" xr:uid="{424E9764-6AD5-494E-A376-6BA4BC3F0452}"/>
    <cellStyle name="Normal 4 6 2 2 9" xfId="9002" xr:uid="{58F07427-883C-4F7B-AB3E-33D402C0245C}"/>
    <cellStyle name="Normal 4 6 2 3" xfId="399" xr:uid="{00000000-0005-0000-0000-00002C160000}"/>
    <cellStyle name="Normal 4 6 2 3 10" xfId="25899" xr:uid="{E3947A43-0AD8-417F-BBAA-4DC9D93DB02A}"/>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56A968FF-2840-4D8C-A766-4C09EC0542B9}"/>
    <cellStyle name="Normal 4 6 2 3 2 2 2 3" xfId="24227" xr:uid="{4C07ECA1-D902-49AB-A88B-B1B2A6E8D135}"/>
    <cellStyle name="Normal 4 6 2 3 2 2 2 4" xfId="32674" xr:uid="{9FCBAEF8-2355-45D1-B9C6-F5AEEB98DC7A}"/>
    <cellStyle name="Normal 4 6 2 3 2 2 3" xfId="11562" xr:uid="{270418B4-50AD-4632-9DE7-2EFBAFFAB8F4}"/>
    <cellStyle name="Normal 4 6 2 3 2 2 4" xfId="20010" xr:uid="{B9AAE6CB-A64A-4949-BC89-E63AE26F6396}"/>
    <cellStyle name="Normal 4 6 2 3 2 2 5" xfId="28457" xr:uid="{55E337DB-1946-4BF8-98EC-49F8ED445CFA}"/>
    <cellStyle name="Normal 4 6 2 3 2 3" xfId="5185" xr:uid="{00000000-0005-0000-0000-000030160000}"/>
    <cellStyle name="Normal 4 6 2 3 2 3 2" xfId="13635" xr:uid="{D64A4810-2893-4E7C-A3A8-9611E87027CD}"/>
    <cellStyle name="Normal 4 6 2 3 2 3 3" xfId="22082" xr:uid="{AFCA4C3E-80B8-4809-879D-C51096A35848}"/>
    <cellStyle name="Normal 4 6 2 3 2 3 4" xfId="30529" xr:uid="{77BBC28B-C34F-4775-A341-531A7C57F8A5}"/>
    <cellStyle name="Normal 4 6 2 3 2 4" xfId="9417" xr:uid="{1E90A5D6-8F4E-4286-9426-5F7A88BA086C}"/>
    <cellStyle name="Normal 4 6 2 3 2 5" xfId="17865" xr:uid="{69C5E553-C4CC-4577-A876-B1B3D277C67B}"/>
    <cellStyle name="Normal 4 6 2 3 2 6" xfId="26312" xr:uid="{FB2CF1E0-5DF6-49F2-9D7C-0E2F0B9507A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6509D53F-9B36-46B3-8DDD-E76D3D9D83E7}"/>
    <cellStyle name="Normal 4 6 2 3 3 2 2 3" xfId="24640" xr:uid="{BD39F616-DC53-4589-8AD4-BC87FF39447E}"/>
    <cellStyle name="Normal 4 6 2 3 3 2 2 4" xfId="33087" xr:uid="{35CEE730-B8F0-455E-B33C-68EB64568E55}"/>
    <cellStyle name="Normal 4 6 2 3 3 2 3" xfId="11975" xr:uid="{52364312-6DAB-4FB5-BE45-310E80B9B7FB}"/>
    <cellStyle name="Normal 4 6 2 3 3 2 4" xfId="20423" xr:uid="{165A2DFE-F7F7-4B70-AA18-D19625819DD0}"/>
    <cellStyle name="Normal 4 6 2 3 3 2 5" xfId="28870" xr:uid="{B867A0A5-F92E-4C44-976B-D54D6E54E3C9}"/>
    <cellStyle name="Normal 4 6 2 3 3 3" xfId="5598" xr:uid="{00000000-0005-0000-0000-000034160000}"/>
    <cellStyle name="Normal 4 6 2 3 3 3 2" xfId="14048" xr:uid="{C3491515-B0C6-44FC-897A-ABA6D439C4BE}"/>
    <cellStyle name="Normal 4 6 2 3 3 3 3" xfId="22495" xr:uid="{53EE7B08-EC17-42BD-B47B-1CAB106568CC}"/>
    <cellStyle name="Normal 4 6 2 3 3 3 4" xfId="30942" xr:uid="{D3C5543E-95B0-41A8-9861-9B5ACF59CAE4}"/>
    <cellStyle name="Normal 4 6 2 3 3 4" xfId="9830" xr:uid="{F22B3DE4-413A-4020-8AF8-953C1A333610}"/>
    <cellStyle name="Normal 4 6 2 3 3 5" xfId="18278" xr:uid="{413F4972-C16B-45BC-8FA2-43CA54E80FB7}"/>
    <cellStyle name="Normal 4 6 2 3 3 6" xfId="26725" xr:uid="{CE0FE093-C492-498B-94E3-B9AD2AD61E74}"/>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E4BFD208-9554-4A77-B68D-AE88D41ADAFD}"/>
    <cellStyle name="Normal 4 6 2 3 4 2 2 3" xfId="25053" xr:uid="{B2E2B183-CB90-452D-9453-EC7A26FC04B3}"/>
    <cellStyle name="Normal 4 6 2 3 4 2 2 4" xfId="33500" xr:uid="{D4E5DFCC-DFAC-4371-8188-830C4B5997E2}"/>
    <cellStyle name="Normal 4 6 2 3 4 2 3" xfId="12388" xr:uid="{7134F23F-54A4-4436-8EEE-8D15593A899F}"/>
    <cellStyle name="Normal 4 6 2 3 4 2 4" xfId="20836" xr:uid="{BD76A0B6-A1C2-4E3A-A8AD-0B1BCDC357D2}"/>
    <cellStyle name="Normal 4 6 2 3 4 2 5" xfId="29283" xr:uid="{5BFD46B6-3901-415C-AB9A-D088F904F6D5}"/>
    <cellStyle name="Normal 4 6 2 3 4 3" xfId="6011" xr:uid="{00000000-0005-0000-0000-000038160000}"/>
    <cellStyle name="Normal 4 6 2 3 4 3 2" xfId="14461" xr:uid="{06CDCCF3-3A8A-47BC-9082-5D088437F2F5}"/>
    <cellStyle name="Normal 4 6 2 3 4 3 3" xfId="22908" xr:uid="{68FC5F21-44B7-41A6-8919-E3541BACCB4F}"/>
    <cellStyle name="Normal 4 6 2 3 4 3 4" xfId="31355" xr:uid="{45161F18-EA2B-408C-991A-39C3E8CE40AA}"/>
    <cellStyle name="Normal 4 6 2 3 4 4" xfId="10243" xr:uid="{D40876A4-3A96-47DB-9F3D-FC82068D1360}"/>
    <cellStyle name="Normal 4 6 2 3 4 5" xfId="18691" xr:uid="{F3DAD55A-DB48-4842-935E-E00EF27F7D9F}"/>
    <cellStyle name="Normal 4 6 2 3 4 6" xfId="27138" xr:uid="{3A297FC4-05A9-4DE1-91C8-935B427544C9}"/>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E371D787-5CBA-45BB-9355-C2DB1C55DFA2}"/>
    <cellStyle name="Normal 4 6 2 3 5 2 2 3" xfId="25466" xr:uid="{EF942816-D1F8-4C12-BA49-92F2F9128151}"/>
    <cellStyle name="Normal 4 6 2 3 5 2 2 4" xfId="33913" xr:uid="{CEC71358-F442-42CA-A23A-54AB00E52B90}"/>
    <cellStyle name="Normal 4 6 2 3 5 2 3" xfId="12801" xr:uid="{DF2534B9-4CDD-41EB-BACD-967E1E2FA87C}"/>
    <cellStyle name="Normal 4 6 2 3 5 2 4" xfId="21249" xr:uid="{0F68C20B-0BD1-408F-A19F-778214C7B9E7}"/>
    <cellStyle name="Normal 4 6 2 3 5 2 5" xfId="29696" xr:uid="{DB8BFDBA-2A69-4494-9706-1F490CCF43BF}"/>
    <cellStyle name="Normal 4 6 2 3 5 3" xfId="6424" xr:uid="{00000000-0005-0000-0000-00003C160000}"/>
    <cellStyle name="Normal 4 6 2 3 5 3 2" xfId="14874" xr:uid="{110EF35C-ECA8-4880-A961-FA53964409EA}"/>
    <cellStyle name="Normal 4 6 2 3 5 3 3" xfId="23321" xr:uid="{B7D17DBC-C9B4-404E-9D0D-7454C570228A}"/>
    <cellStyle name="Normal 4 6 2 3 5 3 4" xfId="31768" xr:uid="{478D8854-9C2D-4896-8871-7E75CC5496EE}"/>
    <cellStyle name="Normal 4 6 2 3 5 4" xfId="10656" xr:uid="{0C6AC503-01B0-41B8-89AD-C38E17922EC0}"/>
    <cellStyle name="Normal 4 6 2 3 5 5" xfId="19104" xr:uid="{4A66E9BC-73E5-4A38-ADE4-2FF396E507FD}"/>
    <cellStyle name="Normal 4 6 2 3 5 6" xfId="27551" xr:uid="{028B33C9-8B93-4480-B66A-796C9EF0D1C8}"/>
    <cellStyle name="Normal 4 6 2 3 6" xfId="2554" xr:uid="{00000000-0005-0000-0000-00003D160000}"/>
    <cellStyle name="Normal 4 6 2 3 6 2" xfId="6837" xr:uid="{00000000-0005-0000-0000-00003E160000}"/>
    <cellStyle name="Normal 4 6 2 3 6 2 2" xfId="15287" xr:uid="{887FA346-E86A-49BD-B456-2CF868640B63}"/>
    <cellStyle name="Normal 4 6 2 3 6 2 3" xfId="23734" xr:uid="{3131B29B-116D-4F97-AA20-7EA7285E387B}"/>
    <cellStyle name="Normal 4 6 2 3 6 2 4" xfId="32181" xr:uid="{5D2058AD-42E5-48A7-8AF7-A618DE0514B6}"/>
    <cellStyle name="Normal 4 6 2 3 6 3" xfId="11069" xr:uid="{16E06FAC-F49C-4BEE-B307-AD974512FB99}"/>
    <cellStyle name="Normal 4 6 2 3 6 4" xfId="19517" xr:uid="{5368F6DC-6B7E-4FB7-92F3-4C7C517C5E73}"/>
    <cellStyle name="Normal 4 6 2 3 6 5" xfId="27964" xr:uid="{BC4DF813-6A7E-47A5-B630-CD88FD4F8C13}"/>
    <cellStyle name="Normal 4 6 2 3 7" xfId="4772" xr:uid="{00000000-0005-0000-0000-00003F160000}"/>
    <cellStyle name="Normal 4 6 2 3 7 2" xfId="13222" xr:uid="{BA187E42-EC75-485F-A807-F80F67385086}"/>
    <cellStyle name="Normal 4 6 2 3 7 3" xfId="21669" xr:uid="{6ED58483-202A-4882-93AA-23C0F4C43A35}"/>
    <cellStyle name="Normal 4 6 2 3 7 4" xfId="30116" xr:uid="{67014741-6F55-44F9-BD8D-FA1D23C851C0}"/>
    <cellStyle name="Normal 4 6 2 3 8" xfId="9004" xr:uid="{4F4D7318-E271-4532-BE18-42758089D3DF}"/>
    <cellStyle name="Normal 4 6 2 3 9" xfId="17452" xr:uid="{B2084B65-C465-41E9-AE4A-1546F2FB6C44}"/>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59414C46-31CE-4841-8D57-28052AA2C2A0}"/>
    <cellStyle name="Normal 4 6 2 4 2 2 3" xfId="24224" xr:uid="{5729DF3D-344C-40AA-8A00-4C1BA6E8D35D}"/>
    <cellStyle name="Normal 4 6 2 4 2 2 4" xfId="32671" xr:uid="{E4671BA1-2704-4C76-B760-DB7657704035}"/>
    <cellStyle name="Normal 4 6 2 4 2 3" xfId="11559" xr:uid="{E0A1BFC3-6EC6-46A3-B326-E90E7B627452}"/>
    <cellStyle name="Normal 4 6 2 4 2 4" xfId="20007" xr:uid="{6DEE5AC2-31D9-4AA2-9102-A61F73ED2D82}"/>
    <cellStyle name="Normal 4 6 2 4 2 5" xfId="28454" xr:uid="{AB7C409B-2847-42BE-84A6-042E3776AFC2}"/>
    <cellStyle name="Normal 4 6 2 4 3" xfId="5182" xr:uid="{00000000-0005-0000-0000-000043160000}"/>
    <cellStyle name="Normal 4 6 2 4 3 2" xfId="13632" xr:uid="{4EC69F1A-E0F0-4CDF-89D4-D96138C1A188}"/>
    <cellStyle name="Normal 4 6 2 4 3 3" xfId="22079" xr:uid="{9A5B54F0-6777-47E6-B158-6E074FC8C607}"/>
    <cellStyle name="Normal 4 6 2 4 3 4" xfId="30526" xr:uid="{11EFB6D4-519F-4E2E-987F-FC24C0A4B158}"/>
    <cellStyle name="Normal 4 6 2 4 4" xfId="9414" xr:uid="{DAC21F01-2252-4B6C-A517-0FA123B2461E}"/>
    <cellStyle name="Normal 4 6 2 4 5" xfId="17862" xr:uid="{F1569712-AB70-4681-9099-04F73A69BED4}"/>
    <cellStyle name="Normal 4 6 2 4 6" xfId="26309" xr:uid="{529F0648-8323-4264-B681-02B831F3BE2C}"/>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F0087DA0-EBF6-4D39-AD37-B0F95BA9EED3}"/>
    <cellStyle name="Normal 4 6 2 5 2 2 3" xfId="24637" xr:uid="{EC8FD810-8D1A-421F-A6E5-55DBEA2C6847}"/>
    <cellStyle name="Normal 4 6 2 5 2 2 4" xfId="33084" xr:uid="{3F9E90C6-1ABF-46F2-BD19-D654C49775ED}"/>
    <cellStyle name="Normal 4 6 2 5 2 3" xfId="11972" xr:uid="{DC651133-6860-421C-BCA1-932DC74AFA5A}"/>
    <cellStyle name="Normal 4 6 2 5 2 4" xfId="20420" xr:uid="{15C262DE-D909-4EDE-820B-7C2CA491AB24}"/>
    <cellStyle name="Normal 4 6 2 5 2 5" xfId="28867" xr:uid="{22B24E45-C785-413B-9595-43F2673C49B1}"/>
    <cellStyle name="Normal 4 6 2 5 3" xfId="5595" xr:uid="{00000000-0005-0000-0000-000047160000}"/>
    <cellStyle name="Normal 4 6 2 5 3 2" xfId="14045" xr:uid="{13D72AD9-92F5-4FDF-AFB2-24A6D6D334DE}"/>
    <cellStyle name="Normal 4 6 2 5 3 3" xfId="22492" xr:uid="{7A28E5D1-1028-4339-A23B-0497EDF57792}"/>
    <cellStyle name="Normal 4 6 2 5 3 4" xfId="30939" xr:uid="{1ADB9494-245A-46D9-9310-A4BB400C17E3}"/>
    <cellStyle name="Normal 4 6 2 5 4" xfId="9827" xr:uid="{3A232AD8-067D-460B-9312-0D6DC06F0C7F}"/>
    <cellStyle name="Normal 4 6 2 5 5" xfId="18275" xr:uid="{A4962C0B-5CF0-4716-AE01-652C0889E37A}"/>
    <cellStyle name="Normal 4 6 2 5 6" xfId="26722" xr:uid="{8EBB850D-3AF9-42ED-A3C6-ACFFFF9147B3}"/>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E227D167-29C9-44B2-A345-C7084A0FDD0F}"/>
    <cellStyle name="Normal 4 6 2 6 2 2 3" xfId="25050" xr:uid="{8BCC055B-351F-4125-81F1-C5AAC95C6332}"/>
    <cellStyle name="Normal 4 6 2 6 2 2 4" xfId="33497" xr:uid="{53B38182-85A7-4058-B8A6-D6316E8ECD37}"/>
    <cellStyle name="Normal 4 6 2 6 2 3" xfId="12385" xr:uid="{F1974B60-1DF1-47CA-B058-7D6062F417CE}"/>
    <cellStyle name="Normal 4 6 2 6 2 4" xfId="20833" xr:uid="{A17D5D76-C944-45B2-9C8A-B237D22B3059}"/>
    <cellStyle name="Normal 4 6 2 6 2 5" xfId="29280" xr:uid="{1219EDA3-83D7-4C8B-A9FE-9EEE9390BDBA}"/>
    <cellStyle name="Normal 4 6 2 6 3" xfId="6008" xr:uid="{00000000-0005-0000-0000-00004B160000}"/>
    <cellStyle name="Normal 4 6 2 6 3 2" xfId="14458" xr:uid="{9DEEC529-C7E0-4D8F-A7F3-2F5A02DD5923}"/>
    <cellStyle name="Normal 4 6 2 6 3 3" xfId="22905" xr:uid="{2A2986B8-3EF0-4FD8-81F3-7C16EC391C3C}"/>
    <cellStyle name="Normal 4 6 2 6 3 4" xfId="31352" xr:uid="{5248B1EE-5333-4EE8-89C7-1461E6BFFF5C}"/>
    <cellStyle name="Normal 4 6 2 6 4" xfId="10240" xr:uid="{8D8D4025-7D72-4EA4-AD94-705F4F5C2BD7}"/>
    <cellStyle name="Normal 4 6 2 6 5" xfId="18688" xr:uid="{C7031168-5090-46F8-8554-C4BD4D40A3B6}"/>
    <cellStyle name="Normal 4 6 2 6 6" xfId="27135" xr:uid="{B5D83904-FFC1-4420-9A23-E4992BC7BB8E}"/>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69BCBA5A-51B6-43CF-AF5F-3CE455F48CCE}"/>
    <cellStyle name="Normal 4 6 2 7 2 2 3" xfId="25463" xr:uid="{115AE9E5-FD18-4C75-BB39-7030B56A7DC4}"/>
    <cellStyle name="Normal 4 6 2 7 2 2 4" xfId="33910" xr:uid="{2E8CAB16-4442-4E81-892D-4F9E25046E83}"/>
    <cellStyle name="Normal 4 6 2 7 2 3" xfId="12798" xr:uid="{7211B75F-7A5A-4546-9CAC-4A908A5238EB}"/>
    <cellStyle name="Normal 4 6 2 7 2 4" xfId="21246" xr:uid="{35077FFD-200D-474A-AD8A-7438D855184C}"/>
    <cellStyle name="Normal 4 6 2 7 2 5" xfId="29693" xr:uid="{C709692A-22E2-4C86-99CD-5C024D628DAE}"/>
    <cellStyle name="Normal 4 6 2 7 3" xfId="6421" xr:uid="{00000000-0005-0000-0000-00004F160000}"/>
    <cellStyle name="Normal 4 6 2 7 3 2" xfId="14871" xr:uid="{B8600BAE-7127-4E09-B621-0341C7981262}"/>
    <cellStyle name="Normal 4 6 2 7 3 3" xfId="23318" xr:uid="{C7E4A3B1-6CD1-4DE7-99DF-3D6C1BE2D493}"/>
    <cellStyle name="Normal 4 6 2 7 3 4" xfId="31765" xr:uid="{81B51FDA-455A-4D14-AC8F-58D4708B81FF}"/>
    <cellStyle name="Normal 4 6 2 7 4" xfId="10653" xr:uid="{AD2DEDA3-6CDE-4F4F-A32B-AEA09AA70ADF}"/>
    <cellStyle name="Normal 4 6 2 7 5" xfId="19101" xr:uid="{C5E51937-91EA-4F6D-AF82-805763C66461}"/>
    <cellStyle name="Normal 4 6 2 7 6" xfId="27548" xr:uid="{83BC1958-6F13-4E0B-B755-7B2D73FAD321}"/>
    <cellStyle name="Normal 4 6 2 8" xfId="2551" xr:uid="{00000000-0005-0000-0000-000050160000}"/>
    <cellStyle name="Normal 4 6 2 8 2" xfId="6834" xr:uid="{00000000-0005-0000-0000-000051160000}"/>
    <cellStyle name="Normal 4 6 2 8 2 2" xfId="15284" xr:uid="{765A2A35-2D93-49CB-867E-7833AB1FF816}"/>
    <cellStyle name="Normal 4 6 2 8 2 3" xfId="23731" xr:uid="{AD9C849C-8534-42BA-88C3-8A46128E85C0}"/>
    <cellStyle name="Normal 4 6 2 8 2 4" xfId="32178" xr:uid="{EF5E7D96-0CBF-405A-9F22-903ED3EA75FC}"/>
    <cellStyle name="Normal 4 6 2 8 3" xfId="11066" xr:uid="{7C35E204-EDE8-4019-B3FE-F6DCB12616BB}"/>
    <cellStyle name="Normal 4 6 2 8 4" xfId="19514" xr:uid="{3E7F3498-5F18-4E92-9CA8-CA3C085879A5}"/>
    <cellStyle name="Normal 4 6 2 8 5" xfId="27961" xr:uid="{FE79B125-F76A-40C4-BC63-A4696C71AF6F}"/>
    <cellStyle name="Normal 4 6 2 9" xfId="4769" xr:uid="{00000000-0005-0000-0000-000052160000}"/>
    <cellStyle name="Normal 4 6 2 9 2" xfId="13219" xr:uid="{64FBB381-B60D-427E-95D8-E791497A6996}"/>
    <cellStyle name="Normal 4 6 2 9 3" xfId="21666" xr:uid="{6E83C38B-C439-4549-85B2-B0C22703A84F}"/>
    <cellStyle name="Normal 4 6 2 9 4" xfId="30113" xr:uid="{B1860526-0300-44F5-B660-165F86C0DED2}"/>
    <cellStyle name="Normal 4 6 3" xfId="400" xr:uid="{00000000-0005-0000-0000-000053160000}"/>
    <cellStyle name="Normal 4 6 3 10" xfId="17453" xr:uid="{A21541F2-A6DE-4BFC-8059-47AF9D129C75}"/>
    <cellStyle name="Normal 4 6 3 11" xfId="25900" xr:uid="{0B018BF6-4D4F-4293-9E74-9E288E47A843}"/>
    <cellStyle name="Normal 4 6 3 2" xfId="401" xr:uid="{00000000-0005-0000-0000-000054160000}"/>
    <cellStyle name="Normal 4 6 3 2 10" xfId="25901" xr:uid="{E369D81F-85ED-420F-8658-A11537A49C03}"/>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7CCC250E-664C-4BD0-8DAA-7F53B9BB4168}"/>
    <cellStyle name="Normal 4 6 3 2 2 2 2 3" xfId="24229" xr:uid="{033EC509-4B83-485F-9E85-2926A4837CFD}"/>
    <cellStyle name="Normal 4 6 3 2 2 2 2 4" xfId="32676" xr:uid="{C4F25C84-0EE9-4CC3-8CDD-968AAEADAE08}"/>
    <cellStyle name="Normal 4 6 3 2 2 2 3" xfId="11564" xr:uid="{6EACE002-6269-4B1F-A72A-9DC5F024D883}"/>
    <cellStyle name="Normal 4 6 3 2 2 2 4" xfId="20012" xr:uid="{CFD6B13F-4784-41A1-8DDA-C22CD7132304}"/>
    <cellStyle name="Normal 4 6 3 2 2 2 5" xfId="28459" xr:uid="{55D0D206-4E2A-485F-9752-C29F96BE39AE}"/>
    <cellStyle name="Normal 4 6 3 2 2 3" xfId="5187" xr:uid="{00000000-0005-0000-0000-000058160000}"/>
    <cellStyle name="Normal 4 6 3 2 2 3 2" xfId="13637" xr:uid="{62EBDBE6-D19A-4AA6-B447-49354A84499F}"/>
    <cellStyle name="Normal 4 6 3 2 2 3 3" xfId="22084" xr:uid="{84D6F033-1BCE-4E31-9607-1EC525BA5821}"/>
    <cellStyle name="Normal 4 6 3 2 2 3 4" xfId="30531" xr:uid="{930301FA-9CB2-45BA-9C13-98159F5506F2}"/>
    <cellStyle name="Normal 4 6 3 2 2 4" xfId="9419" xr:uid="{8FE6E24A-2981-4F7A-BF53-60DE83CDB3A2}"/>
    <cellStyle name="Normal 4 6 3 2 2 5" xfId="17867" xr:uid="{1F41A676-0C96-4A10-BFEF-B8B00BCBF9EF}"/>
    <cellStyle name="Normal 4 6 3 2 2 6" xfId="26314" xr:uid="{F502299E-5D00-44F0-A2E6-EAACD4C88FCB}"/>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75254AB9-C313-4975-A235-DFE87F985B83}"/>
    <cellStyle name="Normal 4 6 3 2 3 2 2 3" xfId="24642" xr:uid="{E203565B-ECB2-4980-B942-C70E3E4CE088}"/>
    <cellStyle name="Normal 4 6 3 2 3 2 2 4" xfId="33089" xr:uid="{EE88CF0D-68CA-4E5C-9D95-BE69275F9355}"/>
    <cellStyle name="Normal 4 6 3 2 3 2 3" xfId="11977" xr:uid="{8C790695-0468-4CAA-8E39-04437A08C301}"/>
    <cellStyle name="Normal 4 6 3 2 3 2 4" xfId="20425" xr:uid="{4503A1C4-A5F6-4E7D-BC37-67116D4C7A98}"/>
    <cellStyle name="Normal 4 6 3 2 3 2 5" xfId="28872" xr:uid="{77A0C6A9-10CE-4AE7-BB08-E9779DF97EAA}"/>
    <cellStyle name="Normal 4 6 3 2 3 3" xfId="5600" xr:uid="{00000000-0005-0000-0000-00005C160000}"/>
    <cellStyle name="Normal 4 6 3 2 3 3 2" xfId="14050" xr:uid="{29D00141-5B4E-48DD-92E5-7B1DE7525E68}"/>
    <cellStyle name="Normal 4 6 3 2 3 3 3" xfId="22497" xr:uid="{1B6696CD-1E2D-4BB7-9CDF-BB6CB9556ACA}"/>
    <cellStyle name="Normal 4 6 3 2 3 3 4" xfId="30944" xr:uid="{0B5C9916-BC96-4AFB-820C-EC71AC2BF073}"/>
    <cellStyle name="Normal 4 6 3 2 3 4" xfId="9832" xr:uid="{DF39ADEA-A748-43F1-B2E3-928BA17CFDDA}"/>
    <cellStyle name="Normal 4 6 3 2 3 5" xfId="18280" xr:uid="{56C5E933-5862-4702-ACD7-7C2B7247747E}"/>
    <cellStyle name="Normal 4 6 3 2 3 6" xfId="26727" xr:uid="{2C6DAB52-4939-4B14-975B-3AC43E12EF1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5660AF28-E76D-4B55-9399-CBD1D6689D0E}"/>
    <cellStyle name="Normal 4 6 3 2 4 2 2 3" xfId="25055" xr:uid="{E1BD2650-E48A-4EC3-9ABE-5B0B2DA28237}"/>
    <cellStyle name="Normal 4 6 3 2 4 2 2 4" xfId="33502" xr:uid="{2DFF5E8B-0DFC-4481-97D7-125915AB2859}"/>
    <cellStyle name="Normal 4 6 3 2 4 2 3" xfId="12390" xr:uid="{95412F87-7DE4-4369-9286-F4B530782FFF}"/>
    <cellStyle name="Normal 4 6 3 2 4 2 4" xfId="20838" xr:uid="{9B896304-C91B-4E28-99C1-012173E2676A}"/>
    <cellStyle name="Normal 4 6 3 2 4 2 5" xfId="29285" xr:uid="{2133B58F-6C1F-4B77-A279-D7F51CEF57E0}"/>
    <cellStyle name="Normal 4 6 3 2 4 3" xfId="6013" xr:uid="{00000000-0005-0000-0000-000060160000}"/>
    <cellStyle name="Normal 4 6 3 2 4 3 2" xfId="14463" xr:uid="{D054E6F2-0718-4889-9672-D0EEC81DEE5A}"/>
    <cellStyle name="Normal 4 6 3 2 4 3 3" xfId="22910" xr:uid="{B3C7A3E6-8782-4C5E-B57F-C6ED60314A7F}"/>
    <cellStyle name="Normal 4 6 3 2 4 3 4" xfId="31357" xr:uid="{C1D139FD-9257-4FCC-A098-F168ADDF8C05}"/>
    <cellStyle name="Normal 4 6 3 2 4 4" xfId="10245" xr:uid="{BEB7640A-9038-48BC-9519-86FF9840D6D8}"/>
    <cellStyle name="Normal 4 6 3 2 4 5" xfId="18693" xr:uid="{959CB0D1-7554-4DE8-87C4-6BA4A4DE3183}"/>
    <cellStyle name="Normal 4 6 3 2 4 6" xfId="27140" xr:uid="{6140C886-20D7-4076-A5C5-C81DF19A563F}"/>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88229355-CAB2-4805-97A4-EE741919863C}"/>
    <cellStyle name="Normal 4 6 3 2 5 2 2 3" xfId="25468" xr:uid="{80B145D3-D90D-48E8-AF87-6420290BCD3F}"/>
    <cellStyle name="Normal 4 6 3 2 5 2 2 4" xfId="33915" xr:uid="{05B26A36-289D-4DD5-8F87-35720658748B}"/>
    <cellStyle name="Normal 4 6 3 2 5 2 3" xfId="12803" xr:uid="{8A3B9735-FE0D-4306-9B66-37036ACD63E4}"/>
    <cellStyle name="Normal 4 6 3 2 5 2 4" xfId="21251" xr:uid="{B80128D6-2422-47E5-9589-5D610E35D4E3}"/>
    <cellStyle name="Normal 4 6 3 2 5 2 5" xfId="29698" xr:uid="{D64EF64D-9013-4A52-9D9C-B93D2F1E7BDA}"/>
    <cellStyle name="Normal 4 6 3 2 5 3" xfId="6426" xr:uid="{00000000-0005-0000-0000-000064160000}"/>
    <cellStyle name="Normal 4 6 3 2 5 3 2" xfId="14876" xr:uid="{5D32E351-F1C4-425C-879C-F407C6FFE035}"/>
    <cellStyle name="Normal 4 6 3 2 5 3 3" xfId="23323" xr:uid="{21C3026A-2027-4D5A-B8F4-1721875A4D6F}"/>
    <cellStyle name="Normal 4 6 3 2 5 3 4" xfId="31770" xr:uid="{980FC8CD-57EC-429D-BD9C-EF5D9AC05B4A}"/>
    <cellStyle name="Normal 4 6 3 2 5 4" xfId="10658" xr:uid="{81CDF260-86CE-4E49-9C09-D3117BA2A932}"/>
    <cellStyle name="Normal 4 6 3 2 5 5" xfId="19106" xr:uid="{CEB229DA-B8A3-49E5-852B-1ED664106E12}"/>
    <cellStyle name="Normal 4 6 3 2 5 6" xfId="27553" xr:uid="{CCC1E407-F596-4FF1-B678-148FE13605A6}"/>
    <cellStyle name="Normal 4 6 3 2 6" xfId="2556" xr:uid="{00000000-0005-0000-0000-000065160000}"/>
    <cellStyle name="Normal 4 6 3 2 6 2" xfId="6839" xr:uid="{00000000-0005-0000-0000-000066160000}"/>
    <cellStyle name="Normal 4 6 3 2 6 2 2" xfId="15289" xr:uid="{9CE0371B-DF3E-44DF-996A-FCD1972B4F32}"/>
    <cellStyle name="Normal 4 6 3 2 6 2 3" xfId="23736" xr:uid="{6114F61B-D602-4872-8A0D-D364F4096699}"/>
    <cellStyle name="Normal 4 6 3 2 6 2 4" xfId="32183" xr:uid="{F6DB2C04-931E-41BF-AB39-F10CDD799BE3}"/>
    <cellStyle name="Normal 4 6 3 2 6 3" xfId="11071" xr:uid="{BF855114-5C9F-40DB-ABD6-8E982AB72D38}"/>
    <cellStyle name="Normal 4 6 3 2 6 4" xfId="19519" xr:uid="{2CC866E4-D5C0-4476-A061-BE63E61A71C0}"/>
    <cellStyle name="Normal 4 6 3 2 6 5" xfId="27966" xr:uid="{AAA17D10-94B4-4083-AC83-36AD9F217C2E}"/>
    <cellStyle name="Normal 4 6 3 2 7" xfId="4774" xr:uid="{00000000-0005-0000-0000-000067160000}"/>
    <cellStyle name="Normal 4 6 3 2 7 2" xfId="13224" xr:uid="{9A9B82E7-2BCB-40CF-8857-F81898536A15}"/>
    <cellStyle name="Normal 4 6 3 2 7 3" xfId="21671" xr:uid="{DA7FA538-09EB-4CAB-8027-8D3600C7FF32}"/>
    <cellStyle name="Normal 4 6 3 2 7 4" xfId="30118" xr:uid="{8636018E-63C8-4D83-89FB-468A158E365B}"/>
    <cellStyle name="Normal 4 6 3 2 8" xfId="9006" xr:uid="{BE75A866-32A6-422D-9497-D682C9596D5A}"/>
    <cellStyle name="Normal 4 6 3 2 9" xfId="17454" xr:uid="{CF93EA22-0594-4D52-9099-F994E6736A59}"/>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D7943902-CDC2-44EB-A687-7BA3AF3B0838}"/>
    <cellStyle name="Normal 4 6 3 3 2 2 3" xfId="24228" xr:uid="{09703521-B4A6-4052-8517-8DF3CB9B065C}"/>
    <cellStyle name="Normal 4 6 3 3 2 2 4" xfId="32675" xr:uid="{08BE68A1-1E37-4757-99B4-138D504DF6BD}"/>
    <cellStyle name="Normal 4 6 3 3 2 3" xfId="11563" xr:uid="{FD17E76A-0DFF-41B6-89E8-703C9ADDB718}"/>
    <cellStyle name="Normal 4 6 3 3 2 4" xfId="20011" xr:uid="{863CA510-0DCA-40D4-B1C0-893B53D5A2EE}"/>
    <cellStyle name="Normal 4 6 3 3 2 5" xfId="28458" xr:uid="{BA3B6D13-64D3-4B16-B75E-0F97C1B69FBC}"/>
    <cellStyle name="Normal 4 6 3 3 3" xfId="5186" xr:uid="{00000000-0005-0000-0000-00006B160000}"/>
    <cellStyle name="Normal 4 6 3 3 3 2" xfId="13636" xr:uid="{CC91E9CD-8FBF-43B0-AE3C-3E8E2B8F05AC}"/>
    <cellStyle name="Normal 4 6 3 3 3 3" xfId="22083" xr:uid="{94A384A0-E5AC-452E-9079-563C1C4AC9F6}"/>
    <cellStyle name="Normal 4 6 3 3 3 4" xfId="30530" xr:uid="{687A6D32-6E56-4BB8-BD8E-F93CECB93949}"/>
    <cellStyle name="Normal 4 6 3 3 4" xfId="9418" xr:uid="{4CD5ACFE-356E-4A32-ACC2-9901D2A17326}"/>
    <cellStyle name="Normal 4 6 3 3 5" xfId="17866" xr:uid="{E5EA5603-5A02-4665-8CF5-0830761A14BC}"/>
    <cellStyle name="Normal 4 6 3 3 6" xfId="26313" xr:uid="{FE1A4167-E2F9-4498-8986-606B6D78DFAA}"/>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084E5250-386C-4D71-B19C-AD5847F25593}"/>
    <cellStyle name="Normal 4 6 3 4 2 2 3" xfId="24641" xr:uid="{582F6AE3-08B3-421A-B4F2-ACBC1BC60D0B}"/>
    <cellStyle name="Normal 4 6 3 4 2 2 4" xfId="33088" xr:uid="{68D967FF-A6D0-44FB-83DD-BD1C319D7977}"/>
    <cellStyle name="Normal 4 6 3 4 2 3" xfId="11976" xr:uid="{72A2580F-9F0F-4B36-AB71-DE9A9A7B549B}"/>
    <cellStyle name="Normal 4 6 3 4 2 4" xfId="20424" xr:uid="{DE1F7FEA-39D6-4865-BEB0-55E15C5B6771}"/>
    <cellStyle name="Normal 4 6 3 4 2 5" xfId="28871" xr:uid="{C688BA11-F453-4883-A15D-7D1D507F13DE}"/>
    <cellStyle name="Normal 4 6 3 4 3" xfId="5599" xr:uid="{00000000-0005-0000-0000-00006F160000}"/>
    <cellStyle name="Normal 4 6 3 4 3 2" xfId="14049" xr:uid="{E2545B82-3ACA-4859-BE5C-8B3958F2F09E}"/>
    <cellStyle name="Normal 4 6 3 4 3 3" xfId="22496" xr:uid="{9815E22A-DEFE-45D0-AE36-ABBD80E99B3E}"/>
    <cellStyle name="Normal 4 6 3 4 3 4" xfId="30943" xr:uid="{6ED2BE87-0640-4B8D-86DD-A84B3E42F1CF}"/>
    <cellStyle name="Normal 4 6 3 4 4" xfId="9831" xr:uid="{75BF48A6-70D4-43F8-A2E6-31B8922F291C}"/>
    <cellStyle name="Normal 4 6 3 4 5" xfId="18279" xr:uid="{84C01162-8F04-457B-BFD9-1740C9470456}"/>
    <cellStyle name="Normal 4 6 3 4 6" xfId="26726" xr:uid="{C5D9BFE0-621A-416B-A9DC-46F31D7F21DA}"/>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E1882C79-B75B-4DD2-9639-8A44C9F930B8}"/>
    <cellStyle name="Normal 4 6 3 5 2 2 3" xfId="25054" xr:uid="{3A7D0A95-4D4C-423A-88D3-7DA96D9AA34B}"/>
    <cellStyle name="Normal 4 6 3 5 2 2 4" xfId="33501" xr:uid="{A54AEAA5-C963-4F0B-AAC0-FD0DC4C7ADA5}"/>
    <cellStyle name="Normal 4 6 3 5 2 3" xfId="12389" xr:uid="{3D14F64C-1D75-4C96-8F4F-16BB175E8708}"/>
    <cellStyle name="Normal 4 6 3 5 2 4" xfId="20837" xr:uid="{AFAE1AC8-9E81-42DA-98ED-F724CFFF9909}"/>
    <cellStyle name="Normal 4 6 3 5 2 5" xfId="29284" xr:uid="{67CB2CB7-C9EA-485F-AA01-DB5C3CCA1B9D}"/>
    <cellStyle name="Normal 4 6 3 5 3" xfId="6012" xr:uid="{00000000-0005-0000-0000-000073160000}"/>
    <cellStyle name="Normal 4 6 3 5 3 2" xfId="14462" xr:uid="{9B48A4E5-1F93-40D1-9FBD-283C11F00453}"/>
    <cellStyle name="Normal 4 6 3 5 3 3" xfId="22909" xr:uid="{3EE8F380-32DF-44D0-8C9E-9EDC86AC0CF8}"/>
    <cellStyle name="Normal 4 6 3 5 3 4" xfId="31356" xr:uid="{D1F7D437-424B-4FA5-89E9-8362AFFB1672}"/>
    <cellStyle name="Normal 4 6 3 5 4" xfId="10244" xr:uid="{7D11D4F5-5F09-4AB7-A5D0-02176DF5F862}"/>
    <cellStyle name="Normal 4 6 3 5 5" xfId="18692" xr:uid="{BD8604E4-6F48-4538-A687-9ECC2C1F90BC}"/>
    <cellStyle name="Normal 4 6 3 5 6" xfId="27139" xr:uid="{C2E79E5C-DA11-4512-940A-55E347E2287D}"/>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EDBCB26F-83DA-44D2-99B4-68908DAF4C8C}"/>
    <cellStyle name="Normal 4 6 3 6 2 2 3" xfId="25467" xr:uid="{6D287C09-6555-4FA3-83D5-33CD7EF05BEB}"/>
    <cellStyle name="Normal 4 6 3 6 2 2 4" xfId="33914" xr:uid="{A4F9604C-3315-4A35-9E01-C3A03A823340}"/>
    <cellStyle name="Normal 4 6 3 6 2 3" xfId="12802" xr:uid="{2D1D7EA6-DCEB-488F-A118-5E1D9E00495E}"/>
    <cellStyle name="Normal 4 6 3 6 2 4" xfId="21250" xr:uid="{145E07E3-1606-4B62-B67E-83FC7D9A7262}"/>
    <cellStyle name="Normal 4 6 3 6 2 5" xfId="29697" xr:uid="{E4816B66-BC2B-44FF-8040-DFAA615EF1B9}"/>
    <cellStyle name="Normal 4 6 3 6 3" xfId="6425" xr:uid="{00000000-0005-0000-0000-000077160000}"/>
    <cellStyle name="Normal 4 6 3 6 3 2" xfId="14875" xr:uid="{92D4851A-2334-41E6-A473-04372438EB8B}"/>
    <cellStyle name="Normal 4 6 3 6 3 3" xfId="23322" xr:uid="{F4B1D4E2-8748-4174-8781-43CD79041042}"/>
    <cellStyle name="Normal 4 6 3 6 3 4" xfId="31769" xr:uid="{BDF837CD-1471-4221-9FE4-04912979F04C}"/>
    <cellStyle name="Normal 4 6 3 6 4" xfId="10657" xr:uid="{612D060D-2272-4B8F-BF72-07B7D796731F}"/>
    <cellStyle name="Normal 4 6 3 6 5" xfId="19105" xr:uid="{43877E11-A3E0-4DF2-9D63-477B6E59E979}"/>
    <cellStyle name="Normal 4 6 3 6 6" xfId="27552" xr:uid="{0BAF7522-5D45-4119-A00E-57601BA0632D}"/>
    <cellStyle name="Normal 4 6 3 7" xfId="2555" xr:uid="{00000000-0005-0000-0000-000078160000}"/>
    <cellStyle name="Normal 4 6 3 7 2" xfId="6838" xr:uid="{00000000-0005-0000-0000-000079160000}"/>
    <cellStyle name="Normal 4 6 3 7 2 2" xfId="15288" xr:uid="{BF4921F7-1527-43B5-B1B4-2B5127F2B5C7}"/>
    <cellStyle name="Normal 4 6 3 7 2 3" xfId="23735" xr:uid="{1FCFBE8B-7FE3-4D4B-AE13-FFF766473603}"/>
    <cellStyle name="Normal 4 6 3 7 2 4" xfId="32182" xr:uid="{E7CE3FEA-B150-4403-AABC-A8232870F265}"/>
    <cellStyle name="Normal 4 6 3 7 3" xfId="11070" xr:uid="{A4A331C6-6E14-440C-B581-CCEF2A1887D0}"/>
    <cellStyle name="Normal 4 6 3 7 4" xfId="19518" xr:uid="{A4DD4B91-3E73-45E5-8C61-4B618F7857AE}"/>
    <cellStyle name="Normal 4 6 3 7 5" xfId="27965" xr:uid="{88FB490A-F4A9-450C-B0D8-1E41E09DC81C}"/>
    <cellStyle name="Normal 4 6 3 8" xfId="4773" xr:uid="{00000000-0005-0000-0000-00007A160000}"/>
    <cellStyle name="Normal 4 6 3 8 2" xfId="13223" xr:uid="{6E6FC01C-AA09-4ACA-B6A0-132F0B87A2F7}"/>
    <cellStyle name="Normal 4 6 3 8 3" xfId="21670" xr:uid="{937012A6-94F4-45E2-A21B-3AE05256CE6A}"/>
    <cellStyle name="Normal 4 6 3 8 4" xfId="30117" xr:uid="{C208B2FE-C901-4749-AD98-A631BF230F5A}"/>
    <cellStyle name="Normal 4 6 3 9" xfId="9005" xr:uid="{266EFAB7-FCB2-410F-8C97-31AD6581CBB8}"/>
    <cellStyle name="Normal 4 6 4" xfId="402" xr:uid="{00000000-0005-0000-0000-00007B160000}"/>
    <cellStyle name="Normal 4 6 4 10" xfId="25902" xr:uid="{3588AC30-9796-4879-8F73-DD5DF1720274}"/>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A4530D3C-1318-42BD-B95C-73539FA38F01}"/>
    <cellStyle name="Normal 4 6 4 2 2 2 3" xfId="24230" xr:uid="{D65EEF86-DB8C-49CE-AF51-C54409DFDC8C}"/>
    <cellStyle name="Normal 4 6 4 2 2 2 4" xfId="32677" xr:uid="{CF262993-FAEE-430F-BE1A-E72399BC62EF}"/>
    <cellStyle name="Normal 4 6 4 2 2 3" xfId="11565" xr:uid="{D34E44B5-8430-4652-BB90-A1FEBD5AD65D}"/>
    <cellStyle name="Normal 4 6 4 2 2 4" xfId="20013" xr:uid="{F3AA0422-939A-4B2B-AD28-B22A10C44850}"/>
    <cellStyle name="Normal 4 6 4 2 2 5" xfId="28460" xr:uid="{26E28163-28AC-4A6D-955B-A2CBAC93A7B6}"/>
    <cellStyle name="Normal 4 6 4 2 3" xfId="5188" xr:uid="{00000000-0005-0000-0000-00007F160000}"/>
    <cellStyle name="Normal 4 6 4 2 3 2" xfId="13638" xr:uid="{0E362E2B-FF41-44E1-B8CC-7C76BC0AB13F}"/>
    <cellStyle name="Normal 4 6 4 2 3 3" xfId="22085" xr:uid="{77A0A903-986C-4A0E-A3C5-B9CEA471597C}"/>
    <cellStyle name="Normal 4 6 4 2 3 4" xfId="30532" xr:uid="{A3AADAAE-C73A-452F-8373-EAD6D1AF27C7}"/>
    <cellStyle name="Normal 4 6 4 2 4" xfId="9420" xr:uid="{AFD2F6FC-8716-4693-BFE3-9D6CA29B0340}"/>
    <cellStyle name="Normal 4 6 4 2 5" xfId="17868" xr:uid="{1A5AEC4A-6599-4793-AD28-BF1908B6A3B5}"/>
    <cellStyle name="Normal 4 6 4 2 6" xfId="26315" xr:uid="{A3302D9B-623D-4E9A-BF3B-F60954CAE6E0}"/>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40A2EB97-0CFF-464F-9F20-DD2D9DB91EE7}"/>
    <cellStyle name="Normal 4 6 4 3 2 2 3" xfId="24643" xr:uid="{B250451F-C000-4EB6-8A48-933130B45842}"/>
    <cellStyle name="Normal 4 6 4 3 2 2 4" xfId="33090" xr:uid="{63EDF137-81CD-4C6F-986C-22C48ECD483A}"/>
    <cellStyle name="Normal 4 6 4 3 2 3" xfId="11978" xr:uid="{B2FE612E-2304-4A1A-82E9-2DC7FE5079C9}"/>
    <cellStyle name="Normal 4 6 4 3 2 4" xfId="20426" xr:uid="{E7B86650-B128-4966-BC42-9A58F6250033}"/>
    <cellStyle name="Normal 4 6 4 3 2 5" xfId="28873" xr:uid="{0EDCE951-C335-4055-95D5-B19245999160}"/>
    <cellStyle name="Normal 4 6 4 3 3" xfId="5601" xr:uid="{00000000-0005-0000-0000-000083160000}"/>
    <cellStyle name="Normal 4 6 4 3 3 2" xfId="14051" xr:uid="{C08AF595-CED4-43CC-870E-12A8E2CAB5F7}"/>
    <cellStyle name="Normal 4 6 4 3 3 3" xfId="22498" xr:uid="{5C831140-8561-4029-BA47-694B6FC99FBA}"/>
    <cellStyle name="Normal 4 6 4 3 3 4" xfId="30945" xr:uid="{B4AD5D6A-CA5F-4925-8BC9-60A8D8FC1F0C}"/>
    <cellStyle name="Normal 4 6 4 3 4" xfId="9833" xr:uid="{4B8C0758-73A4-460C-8ABA-FC6E8D0B021F}"/>
    <cellStyle name="Normal 4 6 4 3 5" xfId="18281" xr:uid="{84460A4F-9292-41AC-9FD6-CD822C81B696}"/>
    <cellStyle name="Normal 4 6 4 3 6" xfId="26728" xr:uid="{28D649A2-B084-4835-9794-9B8448FD15A8}"/>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F0CB7266-2441-4E0B-ADAC-87E230875B98}"/>
    <cellStyle name="Normal 4 6 4 4 2 2 3" xfId="25056" xr:uid="{AFABCEBC-7B1E-4596-B4CF-A4495EC41A81}"/>
    <cellStyle name="Normal 4 6 4 4 2 2 4" xfId="33503" xr:uid="{F7530E05-7F66-450A-B790-39FA8EA1A6BA}"/>
    <cellStyle name="Normal 4 6 4 4 2 3" xfId="12391" xr:uid="{B91B1AA4-9B28-4211-A84C-B31A45B22771}"/>
    <cellStyle name="Normal 4 6 4 4 2 4" xfId="20839" xr:uid="{8A70D490-DCB0-4655-938D-07650B572FCB}"/>
    <cellStyle name="Normal 4 6 4 4 2 5" xfId="29286" xr:uid="{2CAF1DEE-FEEF-491F-9C77-C07C2CA7D623}"/>
    <cellStyle name="Normal 4 6 4 4 3" xfId="6014" xr:uid="{00000000-0005-0000-0000-000087160000}"/>
    <cellStyle name="Normal 4 6 4 4 3 2" xfId="14464" xr:uid="{3DBEA3BA-4B3F-497B-804C-0AFDB0E827EA}"/>
    <cellStyle name="Normal 4 6 4 4 3 3" xfId="22911" xr:uid="{55A02EF8-45EE-49CC-85E6-7747DE8CD5CD}"/>
    <cellStyle name="Normal 4 6 4 4 3 4" xfId="31358" xr:uid="{84B5E5F1-8521-4022-97DD-622022B576BB}"/>
    <cellStyle name="Normal 4 6 4 4 4" xfId="10246" xr:uid="{4185EF7F-2721-44AB-8CB2-80985E51BC0F}"/>
    <cellStyle name="Normal 4 6 4 4 5" xfId="18694" xr:uid="{B74E655F-8DD4-4450-9F8C-F50311BE9473}"/>
    <cellStyle name="Normal 4 6 4 4 6" xfId="27141" xr:uid="{476C5B48-F52A-4536-8BC5-04A0FEEFAC3C}"/>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6BD915D3-0CBA-4A76-9C26-62B2BE5DBF75}"/>
    <cellStyle name="Normal 4 6 4 5 2 2 3" xfId="25469" xr:uid="{32F2A364-A891-44DE-AAD4-7F9E0E606A5E}"/>
    <cellStyle name="Normal 4 6 4 5 2 2 4" xfId="33916" xr:uid="{9BC7A7A6-7E86-493A-9310-0137A1E10C54}"/>
    <cellStyle name="Normal 4 6 4 5 2 3" xfId="12804" xr:uid="{45EDBF3B-7EF8-4783-8509-259B71CC5FAE}"/>
    <cellStyle name="Normal 4 6 4 5 2 4" xfId="21252" xr:uid="{28934297-6A5B-46FE-8B16-87FB7E409E33}"/>
    <cellStyle name="Normal 4 6 4 5 2 5" xfId="29699" xr:uid="{4146827B-DF76-4865-9EE2-D82ACE25D70F}"/>
    <cellStyle name="Normal 4 6 4 5 3" xfId="6427" xr:uid="{00000000-0005-0000-0000-00008B160000}"/>
    <cellStyle name="Normal 4 6 4 5 3 2" xfId="14877" xr:uid="{D4022C29-07E5-45F4-9D69-3B646A5A4594}"/>
    <cellStyle name="Normal 4 6 4 5 3 3" xfId="23324" xr:uid="{68C2148D-C8B2-47D2-9090-E98703F42681}"/>
    <cellStyle name="Normal 4 6 4 5 3 4" xfId="31771" xr:uid="{4F52181D-B50A-4F9E-AD5B-699C991EC82D}"/>
    <cellStyle name="Normal 4 6 4 5 4" xfId="10659" xr:uid="{CF8F3720-C381-4B0B-80F0-B33D59117EB7}"/>
    <cellStyle name="Normal 4 6 4 5 5" xfId="19107" xr:uid="{26C2FEC5-39F2-4087-961B-63DB60E80377}"/>
    <cellStyle name="Normal 4 6 4 5 6" xfId="27554" xr:uid="{B08508AC-49DA-4419-A3D8-DFACBC867BF0}"/>
    <cellStyle name="Normal 4 6 4 6" xfId="2557" xr:uid="{00000000-0005-0000-0000-00008C160000}"/>
    <cellStyle name="Normal 4 6 4 6 2" xfId="6840" xr:uid="{00000000-0005-0000-0000-00008D160000}"/>
    <cellStyle name="Normal 4 6 4 6 2 2" xfId="15290" xr:uid="{C57BDBA0-B67C-4C80-8A8A-8DDB0218AE81}"/>
    <cellStyle name="Normal 4 6 4 6 2 3" xfId="23737" xr:uid="{0B9D5BE8-9AF7-4EF8-B14D-AA0041E0CABC}"/>
    <cellStyle name="Normal 4 6 4 6 2 4" xfId="32184" xr:uid="{1B169FEB-8E4D-4550-A57F-9D8CD36209CD}"/>
    <cellStyle name="Normal 4 6 4 6 3" xfId="11072" xr:uid="{F6A5F113-8144-480A-8E63-1AA5B210E028}"/>
    <cellStyle name="Normal 4 6 4 6 4" xfId="19520" xr:uid="{CD457E0A-A059-4FA3-891E-7AFB82358C1D}"/>
    <cellStyle name="Normal 4 6 4 6 5" xfId="27967" xr:uid="{30785F94-C67C-4B16-8CF9-54BBB5A45DEE}"/>
    <cellStyle name="Normal 4 6 4 7" xfId="4775" xr:uid="{00000000-0005-0000-0000-00008E160000}"/>
    <cellStyle name="Normal 4 6 4 7 2" xfId="13225" xr:uid="{5B4B3845-2E06-4B1D-9C0D-232CA67463AB}"/>
    <cellStyle name="Normal 4 6 4 7 3" xfId="21672" xr:uid="{DBFBC445-C815-4D60-AEB9-51265E04713D}"/>
    <cellStyle name="Normal 4 6 4 7 4" xfId="30119" xr:uid="{7D7449FD-D6D4-46C4-8FEE-3F246726054F}"/>
    <cellStyle name="Normal 4 6 4 8" xfId="9007" xr:uid="{ADCA410C-D9EF-4F36-946F-B377C8CD1E42}"/>
    <cellStyle name="Normal 4 6 4 9" xfId="17455" xr:uid="{DBCF5571-F444-4B68-BA0A-E211DE7AD2F9}"/>
    <cellStyle name="Normal 4 6 5" xfId="869" xr:uid="{00000000-0005-0000-0000-00008F160000}"/>
    <cellStyle name="Normal 4 6 5 2" xfId="3104" xr:uid="{00000000-0005-0000-0000-000090160000}"/>
    <cellStyle name="Normal 4 6 5 2 2" xfId="7326" xr:uid="{00000000-0005-0000-0000-000091160000}"/>
    <cellStyle name="Normal 4 6 5 2 2 2" xfId="15776" xr:uid="{CF9ADA7D-5CA9-4C2A-98ED-37C713B78009}"/>
    <cellStyle name="Normal 4 6 5 2 2 3" xfId="24223" xr:uid="{485A4596-9A8D-454C-9EFF-E78767EF8626}"/>
    <cellStyle name="Normal 4 6 5 2 2 4" xfId="32670" xr:uid="{A262E1BD-8974-476E-835D-0422F83AC8EE}"/>
    <cellStyle name="Normal 4 6 5 2 3" xfId="11558" xr:uid="{35E8836B-7FBD-4D69-B691-B74096D1815B}"/>
    <cellStyle name="Normal 4 6 5 2 4" xfId="20006" xr:uid="{F087F533-BFB3-4E9D-8312-06565683EA2D}"/>
    <cellStyle name="Normal 4 6 5 2 5" xfId="28453" xr:uid="{44BD6371-8919-4D04-90BF-E9830304E203}"/>
    <cellStyle name="Normal 4 6 5 3" xfId="5181" xr:uid="{00000000-0005-0000-0000-000092160000}"/>
    <cellStyle name="Normal 4 6 5 3 2" xfId="13631" xr:uid="{F1E04B5A-424B-4782-8425-3178290A7D0C}"/>
    <cellStyle name="Normal 4 6 5 3 3" xfId="22078" xr:uid="{612460CB-7CEA-43B9-88D6-DA2E6ED87984}"/>
    <cellStyle name="Normal 4 6 5 3 4" xfId="30525" xr:uid="{A21D31EA-68E9-439E-BF5C-AC840B8E7AD5}"/>
    <cellStyle name="Normal 4 6 5 4" xfId="9413" xr:uid="{6FE6ED74-4C19-4775-800F-CFFFB75E4868}"/>
    <cellStyle name="Normal 4 6 5 5" xfId="17861" xr:uid="{01791079-76D7-405B-91D1-BE1DC83E5E85}"/>
    <cellStyle name="Normal 4 6 5 6" xfId="26308" xr:uid="{BFEA6C88-DB84-4F9F-93CC-5AFA6ADFEF3C}"/>
    <cellStyle name="Normal 4 6 6" xfId="1287" xr:uid="{00000000-0005-0000-0000-000093160000}"/>
    <cellStyle name="Normal 4 6 6 2" xfId="3517" xr:uid="{00000000-0005-0000-0000-000094160000}"/>
    <cellStyle name="Normal 4 6 6 2 2" xfId="7739" xr:uid="{00000000-0005-0000-0000-000095160000}"/>
    <cellStyle name="Normal 4 6 6 2 2 2" xfId="16189" xr:uid="{321435EF-ACD6-408B-BB98-124FED2A8089}"/>
    <cellStyle name="Normal 4 6 6 2 2 3" xfId="24636" xr:uid="{460EB77F-7AAC-40CF-96C2-C24622047E20}"/>
    <cellStyle name="Normal 4 6 6 2 2 4" xfId="33083" xr:uid="{A80CD0BC-0989-4CAB-8E92-C5106E7707C4}"/>
    <cellStyle name="Normal 4 6 6 2 3" xfId="11971" xr:uid="{9983FD83-E1A5-488C-BD6E-AACC3BA23560}"/>
    <cellStyle name="Normal 4 6 6 2 4" xfId="20419" xr:uid="{A95FABEE-3C98-4B3E-9019-DBDD828DB197}"/>
    <cellStyle name="Normal 4 6 6 2 5" xfId="28866" xr:uid="{E21BC328-C20A-40C1-85FC-4F2D076CBBD5}"/>
    <cellStyle name="Normal 4 6 6 3" xfId="5594" xr:uid="{00000000-0005-0000-0000-000096160000}"/>
    <cellStyle name="Normal 4 6 6 3 2" xfId="14044" xr:uid="{211F58AA-A9F5-44F4-971C-2851CC0C0373}"/>
    <cellStyle name="Normal 4 6 6 3 3" xfId="22491" xr:uid="{D2BA9645-3129-4D60-BDCC-EAB9B54D3A4F}"/>
    <cellStyle name="Normal 4 6 6 3 4" xfId="30938" xr:uid="{971B4097-03B9-46E4-BE32-5353D5C9E3B4}"/>
    <cellStyle name="Normal 4 6 6 4" xfId="9826" xr:uid="{B42F9ECA-14BA-455A-AC07-E48F415FB582}"/>
    <cellStyle name="Normal 4 6 6 5" xfId="18274" xr:uid="{F73D15FF-80F2-4F80-ACE3-F8F35B0FB918}"/>
    <cellStyle name="Normal 4 6 6 6" xfId="26721" xr:uid="{7ACFE6B7-F5A9-42B3-8CEA-BFBAC1486673}"/>
    <cellStyle name="Normal 4 6 7" xfId="1700" xr:uid="{00000000-0005-0000-0000-000097160000}"/>
    <cellStyle name="Normal 4 6 7 2" xfId="3930" xr:uid="{00000000-0005-0000-0000-000098160000}"/>
    <cellStyle name="Normal 4 6 7 2 2" xfId="8152" xr:uid="{00000000-0005-0000-0000-000099160000}"/>
    <cellStyle name="Normal 4 6 7 2 2 2" xfId="16602" xr:uid="{01940A06-BED3-4B40-8784-6544628510DC}"/>
    <cellStyle name="Normal 4 6 7 2 2 3" xfId="25049" xr:uid="{8C50AC2E-5128-4332-ABA4-DDEC0F686E47}"/>
    <cellStyle name="Normal 4 6 7 2 2 4" xfId="33496" xr:uid="{32361E1E-28C9-419D-B3E6-80651834014B}"/>
    <cellStyle name="Normal 4 6 7 2 3" xfId="12384" xr:uid="{7F51802D-AAD7-47CA-805E-451B6450FE5F}"/>
    <cellStyle name="Normal 4 6 7 2 4" xfId="20832" xr:uid="{C16E335E-3BD0-45F1-BEBC-7FA4D36F0039}"/>
    <cellStyle name="Normal 4 6 7 2 5" xfId="29279" xr:uid="{4B770116-9A33-444D-99A4-8EE460741C0E}"/>
    <cellStyle name="Normal 4 6 7 3" xfId="6007" xr:uid="{00000000-0005-0000-0000-00009A160000}"/>
    <cellStyle name="Normal 4 6 7 3 2" xfId="14457" xr:uid="{6D738E00-FFAB-4868-B98D-E77484298850}"/>
    <cellStyle name="Normal 4 6 7 3 3" xfId="22904" xr:uid="{5C6E9939-A16F-4D83-843B-B5A620A2594D}"/>
    <cellStyle name="Normal 4 6 7 3 4" xfId="31351" xr:uid="{29FE846D-E782-4161-B088-D8A6BABFBDE4}"/>
    <cellStyle name="Normal 4 6 7 4" xfId="10239" xr:uid="{54209CFB-0F71-4ABF-8CDD-DBAA5CC1CD8B}"/>
    <cellStyle name="Normal 4 6 7 5" xfId="18687" xr:uid="{BC51D3D3-B071-4D5D-9DC7-218317E2B2A2}"/>
    <cellStyle name="Normal 4 6 7 6" xfId="27134" xr:uid="{3AD2BFA8-0819-4510-A5BC-ECA412AC219A}"/>
    <cellStyle name="Normal 4 6 8" xfId="2114" xr:uid="{00000000-0005-0000-0000-00009B160000}"/>
    <cellStyle name="Normal 4 6 8 2" xfId="4343" xr:uid="{00000000-0005-0000-0000-00009C160000}"/>
    <cellStyle name="Normal 4 6 8 2 2" xfId="8565" xr:uid="{00000000-0005-0000-0000-00009D160000}"/>
    <cellStyle name="Normal 4 6 8 2 2 2" xfId="17015" xr:uid="{B913EA83-FE8A-4C3B-8BC4-C4CB368FC8FD}"/>
    <cellStyle name="Normal 4 6 8 2 2 3" xfId="25462" xr:uid="{3A269B19-E311-4C18-8BB6-A1708EA0AC85}"/>
    <cellStyle name="Normal 4 6 8 2 2 4" xfId="33909" xr:uid="{2D1403EB-C332-4E2F-8EC5-DAE1079E9C05}"/>
    <cellStyle name="Normal 4 6 8 2 3" xfId="12797" xr:uid="{8F0568D6-8EA9-43D2-8093-26F5C9F68827}"/>
    <cellStyle name="Normal 4 6 8 2 4" xfId="21245" xr:uid="{49E88362-46F6-4CE1-93F5-9C99BEA18A44}"/>
    <cellStyle name="Normal 4 6 8 2 5" xfId="29692" xr:uid="{2814DEE0-BDAE-4904-B3F4-63D66E451AE5}"/>
    <cellStyle name="Normal 4 6 8 3" xfId="6420" xr:uid="{00000000-0005-0000-0000-00009E160000}"/>
    <cellStyle name="Normal 4 6 8 3 2" xfId="14870" xr:uid="{EC00A6ED-BBC8-446F-B461-BBDA81C0465F}"/>
    <cellStyle name="Normal 4 6 8 3 3" xfId="23317" xr:uid="{44B50404-6726-4541-9B26-AB4F7B558C09}"/>
    <cellStyle name="Normal 4 6 8 3 4" xfId="31764" xr:uid="{87134C76-F17C-4290-B654-72DE59306AF9}"/>
    <cellStyle name="Normal 4 6 8 4" xfId="10652" xr:uid="{4BC39361-71EA-412D-A9CF-C048C0F58396}"/>
    <cellStyle name="Normal 4 6 8 5" xfId="19100" xr:uid="{3292F50B-0E4F-42BA-852B-18892C76EA1D}"/>
    <cellStyle name="Normal 4 6 8 6" xfId="27547" xr:uid="{F3FAB2B6-330F-48B6-B766-BBDEB3B13683}"/>
    <cellStyle name="Normal 4 6 9" xfId="2550" xr:uid="{00000000-0005-0000-0000-00009F160000}"/>
    <cellStyle name="Normal 4 6 9 2" xfId="6833" xr:uid="{00000000-0005-0000-0000-0000A0160000}"/>
    <cellStyle name="Normal 4 6 9 2 2" xfId="15283" xr:uid="{F21F4DEF-FEE4-4EA8-8D18-E5D86542A633}"/>
    <cellStyle name="Normal 4 6 9 2 3" xfId="23730" xr:uid="{B4A203AA-CBF6-4B47-8047-6838C00D3CB1}"/>
    <cellStyle name="Normal 4 6 9 2 4" xfId="32177" xr:uid="{568251FB-1039-4E1D-831F-D4BE20BC47C3}"/>
    <cellStyle name="Normal 4 6 9 3" xfId="11065" xr:uid="{A865FA1E-D53D-4425-9E19-4D6BC828A6A4}"/>
    <cellStyle name="Normal 4 6 9 4" xfId="19513" xr:uid="{21B19CCB-C64C-4AA7-BF08-7456BFAA68C8}"/>
    <cellStyle name="Normal 4 6 9 5" xfId="27960" xr:uid="{95DDD53A-839F-4528-AFDC-E5C679874ADB}"/>
    <cellStyle name="Normal 4 7" xfId="403" xr:uid="{00000000-0005-0000-0000-0000A1160000}"/>
    <cellStyle name="Normal 4 7 10" xfId="17456" xr:uid="{9ACD5A65-5898-4F8B-9821-723F846BAC85}"/>
    <cellStyle name="Normal 4 7 11" xfId="25903" xr:uid="{15717386-71A5-4A70-9286-8653F57DFAF8}"/>
    <cellStyle name="Normal 4 7 2" xfId="404" xr:uid="{00000000-0005-0000-0000-0000A2160000}"/>
    <cellStyle name="Normal 4 7 2 10" xfId="25904" xr:uid="{B2D35B3A-F033-421A-BC71-19B802D5AB81}"/>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FC304EC7-37D2-40ED-9B70-380A24B865F8}"/>
    <cellStyle name="Normal 4 7 2 2 2 2 3" xfId="24232" xr:uid="{5EC56C55-203E-4B2B-9D0C-D5DE556A321C}"/>
    <cellStyle name="Normal 4 7 2 2 2 2 4" xfId="32679" xr:uid="{77066601-F2A5-4153-A1F4-8FDBAF1CA238}"/>
    <cellStyle name="Normal 4 7 2 2 2 3" xfId="11567" xr:uid="{56E65D3A-712C-4984-9DDA-90987CE51611}"/>
    <cellStyle name="Normal 4 7 2 2 2 4" xfId="20015" xr:uid="{09C1288E-E722-4157-BC1B-241F21C3E690}"/>
    <cellStyle name="Normal 4 7 2 2 2 5" xfId="28462" xr:uid="{C880BC97-15D7-4FF4-8AB9-AE29325EBBE9}"/>
    <cellStyle name="Normal 4 7 2 2 3" xfId="5190" xr:uid="{00000000-0005-0000-0000-0000A6160000}"/>
    <cellStyle name="Normal 4 7 2 2 3 2" xfId="13640" xr:uid="{1BD6D70E-5A9A-475D-8555-DA3690876283}"/>
    <cellStyle name="Normal 4 7 2 2 3 3" xfId="22087" xr:uid="{6097A08F-BE65-4C1E-A8F3-1C2C2F3EEEC0}"/>
    <cellStyle name="Normal 4 7 2 2 3 4" xfId="30534" xr:uid="{87D11362-719E-473A-867A-DE9F0EED00E3}"/>
    <cellStyle name="Normal 4 7 2 2 4" xfId="9422" xr:uid="{218F6667-876C-42FA-B709-EC47113F587A}"/>
    <cellStyle name="Normal 4 7 2 2 5" xfId="17870" xr:uid="{52EB9E17-E04B-4BBF-AF9F-5DCC784A2528}"/>
    <cellStyle name="Normal 4 7 2 2 6" xfId="26317" xr:uid="{C70EC29A-46CF-45F3-A574-8FFCCB178B9D}"/>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5ABEA871-3A1A-44DA-81D0-A10C32E79E9F}"/>
    <cellStyle name="Normal 4 7 2 3 2 2 3" xfId="24645" xr:uid="{DB062A29-7DDA-4334-ABB3-C1C0178843CF}"/>
    <cellStyle name="Normal 4 7 2 3 2 2 4" xfId="33092" xr:uid="{4E0EDD0E-9D33-402F-B248-684187C9FFE3}"/>
    <cellStyle name="Normal 4 7 2 3 2 3" xfId="11980" xr:uid="{59FAF432-1D8F-45E7-9208-39D4F97B3224}"/>
    <cellStyle name="Normal 4 7 2 3 2 4" xfId="20428" xr:uid="{A0CE759B-F31B-4357-9EB1-94D48281B054}"/>
    <cellStyle name="Normal 4 7 2 3 2 5" xfId="28875" xr:uid="{D5B3EB2E-F889-476B-9F11-F53573834A63}"/>
    <cellStyle name="Normal 4 7 2 3 3" xfId="5603" xr:uid="{00000000-0005-0000-0000-0000AA160000}"/>
    <cellStyle name="Normal 4 7 2 3 3 2" xfId="14053" xr:uid="{91EE5B51-4560-4B04-BD7E-E66BCBCB8713}"/>
    <cellStyle name="Normal 4 7 2 3 3 3" xfId="22500" xr:uid="{A0D08E8F-AE5E-4114-B77D-1BB623665840}"/>
    <cellStyle name="Normal 4 7 2 3 3 4" xfId="30947" xr:uid="{289CCDF0-73E6-4BB9-A9DD-F5EB7638D3A4}"/>
    <cellStyle name="Normal 4 7 2 3 4" xfId="9835" xr:uid="{97634582-2F37-45DE-B24B-C6F2EB41EE86}"/>
    <cellStyle name="Normal 4 7 2 3 5" xfId="18283" xr:uid="{71CE4098-D2F9-409F-823A-262572AD51C8}"/>
    <cellStyle name="Normal 4 7 2 3 6" xfId="26730" xr:uid="{CEF303C8-459D-4B6F-961D-E84ABD93A300}"/>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9E282669-AF4B-40DC-853D-8F0D56F6775C}"/>
    <cellStyle name="Normal 4 7 2 4 2 2 3" xfId="25058" xr:uid="{A348E7A7-27B0-441F-AE45-C26E8AF00341}"/>
    <cellStyle name="Normal 4 7 2 4 2 2 4" xfId="33505" xr:uid="{E3F7FE5D-69DA-40F8-AC9D-9A944F8D82E6}"/>
    <cellStyle name="Normal 4 7 2 4 2 3" xfId="12393" xr:uid="{22F8151C-4474-4D02-A8E8-7555CAF4EA98}"/>
    <cellStyle name="Normal 4 7 2 4 2 4" xfId="20841" xr:uid="{D9687A25-43F3-4C9F-AF49-333C0A64B938}"/>
    <cellStyle name="Normal 4 7 2 4 2 5" xfId="29288" xr:uid="{BD3D13C7-DBF3-4762-8E83-AE05A8835912}"/>
    <cellStyle name="Normal 4 7 2 4 3" xfId="6016" xr:uid="{00000000-0005-0000-0000-0000AE160000}"/>
    <cellStyle name="Normal 4 7 2 4 3 2" xfId="14466" xr:uid="{855FD55F-F2FA-415D-B5C2-D9E5D1071C00}"/>
    <cellStyle name="Normal 4 7 2 4 3 3" xfId="22913" xr:uid="{70F2AA24-0664-4A4F-9373-9C957F94D8C3}"/>
    <cellStyle name="Normal 4 7 2 4 3 4" xfId="31360" xr:uid="{40259D2D-EE6B-4BFD-AA37-B238790F45EE}"/>
    <cellStyle name="Normal 4 7 2 4 4" xfId="10248" xr:uid="{F439AED2-C407-4322-9E35-80F403A53727}"/>
    <cellStyle name="Normal 4 7 2 4 5" xfId="18696" xr:uid="{67681D51-C089-4733-A691-1355D383C3BE}"/>
    <cellStyle name="Normal 4 7 2 4 6" xfId="27143" xr:uid="{5B262C45-B686-45D4-B282-15090CB2B1C3}"/>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4F70B1BD-D174-477C-BBF2-61FF2659E932}"/>
    <cellStyle name="Normal 4 7 2 5 2 2 3" xfId="25471" xr:uid="{7A2CE286-DD5E-4DF4-8FDD-A807C7ECD725}"/>
    <cellStyle name="Normal 4 7 2 5 2 2 4" xfId="33918" xr:uid="{7F04EC36-3572-4D73-9AF0-1D27CE085C0D}"/>
    <cellStyle name="Normal 4 7 2 5 2 3" xfId="12806" xr:uid="{083EF972-34AC-4E90-92A6-55236867D745}"/>
    <cellStyle name="Normal 4 7 2 5 2 4" xfId="21254" xr:uid="{41A598D0-4B43-442D-9BB2-BA7D88A7AE33}"/>
    <cellStyle name="Normal 4 7 2 5 2 5" xfId="29701" xr:uid="{04228CE4-B009-4890-B039-6C48E853955D}"/>
    <cellStyle name="Normal 4 7 2 5 3" xfId="6429" xr:uid="{00000000-0005-0000-0000-0000B2160000}"/>
    <cellStyle name="Normal 4 7 2 5 3 2" xfId="14879" xr:uid="{F6D00EDB-54F3-4DFD-8D6E-1A730817D15C}"/>
    <cellStyle name="Normal 4 7 2 5 3 3" xfId="23326" xr:uid="{28229A1A-7FB5-4D64-AA25-9C8E061DAADD}"/>
    <cellStyle name="Normal 4 7 2 5 3 4" xfId="31773" xr:uid="{070BA1F3-C32D-480C-A1A1-17CBBAD9A8BA}"/>
    <cellStyle name="Normal 4 7 2 5 4" xfId="10661" xr:uid="{DD4F6BB4-E188-492E-9E5C-8DC032557FDF}"/>
    <cellStyle name="Normal 4 7 2 5 5" xfId="19109" xr:uid="{0635BF2C-AC20-4583-8D61-008D59A92622}"/>
    <cellStyle name="Normal 4 7 2 5 6" xfId="27556" xr:uid="{B13DAA28-C1FF-466B-9B4E-BF858EA8D592}"/>
    <cellStyle name="Normal 4 7 2 6" xfId="2559" xr:uid="{00000000-0005-0000-0000-0000B3160000}"/>
    <cellStyle name="Normal 4 7 2 6 2" xfId="6842" xr:uid="{00000000-0005-0000-0000-0000B4160000}"/>
    <cellStyle name="Normal 4 7 2 6 2 2" xfId="15292" xr:uid="{AC766427-F185-4953-B174-89077F6F11FC}"/>
    <cellStyle name="Normal 4 7 2 6 2 3" xfId="23739" xr:uid="{B51FD5E0-3739-46CE-88F1-F192280D72BD}"/>
    <cellStyle name="Normal 4 7 2 6 2 4" xfId="32186" xr:uid="{3ADD1E81-E5C4-4830-8684-50F82932C174}"/>
    <cellStyle name="Normal 4 7 2 6 3" xfId="11074" xr:uid="{8426A4D0-0890-4F9D-9474-E7C3817F6786}"/>
    <cellStyle name="Normal 4 7 2 6 4" xfId="19522" xr:uid="{9718CA19-3448-4D46-AD61-6FAC86446203}"/>
    <cellStyle name="Normal 4 7 2 6 5" xfId="27969" xr:uid="{A6BCBCFA-4E63-4806-B7E0-9FE7E399DA7D}"/>
    <cellStyle name="Normal 4 7 2 7" xfId="4777" xr:uid="{00000000-0005-0000-0000-0000B5160000}"/>
    <cellStyle name="Normal 4 7 2 7 2" xfId="13227" xr:uid="{18329E15-10AE-4B59-8FD0-1D846EF3ECB8}"/>
    <cellStyle name="Normal 4 7 2 7 3" xfId="21674" xr:uid="{4DEEFFA8-5B7D-4F82-AB74-EF58E09FBEE7}"/>
    <cellStyle name="Normal 4 7 2 7 4" xfId="30121" xr:uid="{C14F279D-4117-48AB-8C45-E3FC73BECDD3}"/>
    <cellStyle name="Normal 4 7 2 8" xfId="9009" xr:uid="{9E37E634-078D-414D-988B-9DF4DBFC0C85}"/>
    <cellStyle name="Normal 4 7 2 9" xfId="17457" xr:uid="{7E619E1D-7C97-473B-B91E-8F30A0D9A3A7}"/>
    <cellStyle name="Normal 4 7 3" xfId="877" xr:uid="{00000000-0005-0000-0000-0000B6160000}"/>
    <cellStyle name="Normal 4 7 3 2" xfId="3112" xr:uid="{00000000-0005-0000-0000-0000B7160000}"/>
    <cellStyle name="Normal 4 7 3 2 2" xfId="7334" xr:uid="{00000000-0005-0000-0000-0000B8160000}"/>
    <cellStyle name="Normal 4 7 3 2 2 2" xfId="15784" xr:uid="{977B379D-4B48-451B-AB48-76FBBEC7FEBF}"/>
    <cellStyle name="Normal 4 7 3 2 2 3" xfId="24231" xr:uid="{ACC20CB1-7A13-429E-9A3F-94B2A7509525}"/>
    <cellStyle name="Normal 4 7 3 2 2 4" xfId="32678" xr:uid="{1803F85F-2D3A-4DE9-9ED2-85E19AC06842}"/>
    <cellStyle name="Normal 4 7 3 2 3" xfId="11566" xr:uid="{FF17E30A-FFCE-4126-8787-089837480AA4}"/>
    <cellStyle name="Normal 4 7 3 2 4" xfId="20014" xr:uid="{76F7F9ED-F02F-45CC-9065-E11C8CE8B7AA}"/>
    <cellStyle name="Normal 4 7 3 2 5" xfId="28461" xr:uid="{7E4820A6-13BE-437E-A783-25A0703FF773}"/>
    <cellStyle name="Normal 4 7 3 3" xfId="5189" xr:uid="{00000000-0005-0000-0000-0000B9160000}"/>
    <cellStyle name="Normal 4 7 3 3 2" xfId="13639" xr:uid="{38761A5C-FAD2-4BF3-81E9-121C043F0AA3}"/>
    <cellStyle name="Normal 4 7 3 3 3" xfId="22086" xr:uid="{84E06C49-0DB8-485B-BFCB-0827950CFEDE}"/>
    <cellStyle name="Normal 4 7 3 3 4" xfId="30533" xr:uid="{D5723997-DAAF-4AE4-8A41-79F796D96B50}"/>
    <cellStyle name="Normal 4 7 3 4" xfId="9421" xr:uid="{3CF950F1-8DF0-4E6C-AE63-8C41719AE82D}"/>
    <cellStyle name="Normal 4 7 3 5" xfId="17869" xr:uid="{3516697B-50E1-4052-9B05-BDE8A69D0B07}"/>
    <cellStyle name="Normal 4 7 3 6" xfId="26316" xr:uid="{DB58C1B4-9E08-4C23-898D-CE06A1A03D60}"/>
    <cellStyle name="Normal 4 7 4" xfId="1295" xr:uid="{00000000-0005-0000-0000-0000BA160000}"/>
    <cellStyle name="Normal 4 7 4 2" xfId="3525" xr:uid="{00000000-0005-0000-0000-0000BB160000}"/>
    <cellStyle name="Normal 4 7 4 2 2" xfId="7747" xr:uid="{00000000-0005-0000-0000-0000BC160000}"/>
    <cellStyle name="Normal 4 7 4 2 2 2" xfId="16197" xr:uid="{28FC3034-0DB3-42F4-83FA-FC73356175C2}"/>
    <cellStyle name="Normal 4 7 4 2 2 3" xfId="24644" xr:uid="{A2089D29-9397-4FED-AB1A-425A0AEFD51F}"/>
    <cellStyle name="Normal 4 7 4 2 2 4" xfId="33091" xr:uid="{B0694FEA-972D-4BEE-A1DF-CF91DF27DBB2}"/>
    <cellStyle name="Normal 4 7 4 2 3" xfId="11979" xr:uid="{467B4F26-7002-4988-9BD0-D3C4D5E7EED3}"/>
    <cellStyle name="Normal 4 7 4 2 4" xfId="20427" xr:uid="{8409FB5C-DFE0-4637-BFF0-733CFEC633FB}"/>
    <cellStyle name="Normal 4 7 4 2 5" xfId="28874" xr:uid="{A6297C64-5EDD-4263-9D4C-044AA3EEC391}"/>
    <cellStyle name="Normal 4 7 4 3" xfId="5602" xr:uid="{00000000-0005-0000-0000-0000BD160000}"/>
    <cellStyle name="Normal 4 7 4 3 2" xfId="14052" xr:uid="{A5933E9C-E1D8-40AB-B7F3-DB84F0D6F11F}"/>
    <cellStyle name="Normal 4 7 4 3 3" xfId="22499" xr:uid="{3B46BFBF-D298-4909-BA51-5D166B648BE9}"/>
    <cellStyle name="Normal 4 7 4 3 4" xfId="30946" xr:uid="{A5844B50-69D3-44C3-9842-251B7936ABC6}"/>
    <cellStyle name="Normal 4 7 4 4" xfId="9834" xr:uid="{988F956F-ACE7-43F8-818C-48AC9BB1B13C}"/>
    <cellStyle name="Normal 4 7 4 5" xfId="18282" xr:uid="{D169D6DE-CF66-4178-B1DF-5269EB781E01}"/>
    <cellStyle name="Normal 4 7 4 6" xfId="26729" xr:uid="{93B9278B-4495-455A-A9AB-F3CD41B017C8}"/>
    <cellStyle name="Normal 4 7 5" xfId="1708" xr:uid="{00000000-0005-0000-0000-0000BE160000}"/>
    <cellStyle name="Normal 4 7 5 2" xfId="3938" xr:uid="{00000000-0005-0000-0000-0000BF160000}"/>
    <cellStyle name="Normal 4 7 5 2 2" xfId="8160" xr:uid="{00000000-0005-0000-0000-0000C0160000}"/>
    <cellStyle name="Normal 4 7 5 2 2 2" xfId="16610" xr:uid="{92E5614A-E0CC-4283-A80A-AE04697A3419}"/>
    <cellStyle name="Normal 4 7 5 2 2 3" xfId="25057" xr:uid="{B19AA4EF-68C6-43C2-AD9D-2BBC94FB4B40}"/>
    <cellStyle name="Normal 4 7 5 2 2 4" xfId="33504" xr:uid="{E3BC9B35-99E9-4984-B768-6F0A93C863EA}"/>
    <cellStyle name="Normal 4 7 5 2 3" xfId="12392" xr:uid="{7BE6D8E9-5E3E-4878-A02A-2F1F0167F11F}"/>
    <cellStyle name="Normal 4 7 5 2 4" xfId="20840" xr:uid="{BD5209C7-D015-44BB-95C2-C4429E95B9C9}"/>
    <cellStyle name="Normal 4 7 5 2 5" xfId="29287" xr:uid="{3300A1D0-B1F4-4AE1-A7BC-25385D1C0FA1}"/>
    <cellStyle name="Normal 4 7 5 3" xfId="6015" xr:uid="{00000000-0005-0000-0000-0000C1160000}"/>
    <cellStyle name="Normal 4 7 5 3 2" xfId="14465" xr:uid="{17846FE2-CBD9-431F-82CB-EFE3B3609EA1}"/>
    <cellStyle name="Normal 4 7 5 3 3" xfId="22912" xr:uid="{EBAFE2B7-D5F1-44C2-84B7-BCF1E57E0674}"/>
    <cellStyle name="Normal 4 7 5 3 4" xfId="31359" xr:uid="{F543EDE2-EA3E-496D-B670-2C2F20EE0EA9}"/>
    <cellStyle name="Normal 4 7 5 4" xfId="10247" xr:uid="{288D7075-0CC7-446B-BE5D-007E43EF6B0C}"/>
    <cellStyle name="Normal 4 7 5 5" xfId="18695" xr:uid="{1658C2D7-937A-4D9E-9C0C-745E01070940}"/>
    <cellStyle name="Normal 4 7 5 6" xfId="27142" xr:uid="{0118255F-D8B9-4F79-AC3E-C7A91A861CD6}"/>
    <cellStyle name="Normal 4 7 6" xfId="2122" xr:uid="{00000000-0005-0000-0000-0000C2160000}"/>
    <cellStyle name="Normal 4 7 6 2" xfId="4351" xr:uid="{00000000-0005-0000-0000-0000C3160000}"/>
    <cellStyle name="Normal 4 7 6 2 2" xfId="8573" xr:uid="{00000000-0005-0000-0000-0000C4160000}"/>
    <cellStyle name="Normal 4 7 6 2 2 2" xfId="17023" xr:uid="{BAF1D246-9C22-4307-87CC-B5FEC652D768}"/>
    <cellStyle name="Normal 4 7 6 2 2 3" xfId="25470" xr:uid="{D0B9A61B-2A30-4939-8B1B-099F56203E12}"/>
    <cellStyle name="Normal 4 7 6 2 2 4" xfId="33917" xr:uid="{F8A7B9AC-C58C-41A0-99BD-75C5D1B4C6CB}"/>
    <cellStyle name="Normal 4 7 6 2 3" xfId="12805" xr:uid="{305D0D30-1825-4543-8564-E75B410E7724}"/>
    <cellStyle name="Normal 4 7 6 2 4" xfId="21253" xr:uid="{70E32C50-CDE6-4FF5-A2A5-CDF5139FC947}"/>
    <cellStyle name="Normal 4 7 6 2 5" xfId="29700" xr:uid="{83FBF465-52A9-4C5B-8FBB-43F0923F4224}"/>
    <cellStyle name="Normal 4 7 6 3" xfId="6428" xr:uid="{00000000-0005-0000-0000-0000C5160000}"/>
    <cellStyle name="Normal 4 7 6 3 2" xfId="14878" xr:uid="{A1846406-B43D-4266-8159-6EBF6A9D59C6}"/>
    <cellStyle name="Normal 4 7 6 3 3" xfId="23325" xr:uid="{2C0E05A9-FC62-4CB0-A547-F8514C4B5A22}"/>
    <cellStyle name="Normal 4 7 6 3 4" xfId="31772" xr:uid="{120B1FB7-6800-436F-8C92-835525DD3746}"/>
    <cellStyle name="Normal 4 7 6 4" xfId="10660" xr:uid="{24D944C0-0C8F-496B-BCC8-4F490D01943C}"/>
    <cellStyle name="Normal 4 7 6 5" xfId="19108" xr:uid="{697DE74D-50B9-4B0B-AED7-ACD3E1A9CC0F}"/>
    <cellStyle name="Normal 4 7 6 6" xfId="27555" xr:uid="{CA35E441-6FC3-4B89-AF03-FC8355BDFB85}"/>
    <cellStyle name="Normal 4 7 7" xfId="2558" xr:uid="{00000000-0005-0000-0000-0000C6160000}"/>
    <cellStyle name="Normal 4 7 7 2" xfId="6841" xr:uid="{00000000-0005-0000-0000-0000C7160000}"/>
    <cellStyle name="Normal 4 7 7 2 2" xfId="15291" xr:uid="{1912C094-B097-4CA6-AA29-BFA514EBD33A}"/>
    <cellStyle name="Normal 4 7 7 2 3" xfId="23738" xr:uid="{BC614174-C33D-4F46-82F4-25F70C5E1431}"/>
    <cellStyle name="Normal 4 7 7 2 4" xfId="32185" xr:uid="{F3A273AC-0375-4326-9757-7096B61378BB}"/>
    <cellStyle name="Normal 4 7 7 3" xfId="11073" xr:uid="{3A0ECC94-0C4F-4B9A-AE27-A09D61CB36F1}"/>
    <cellStyle name="Normal 4 7 7 4" xfId="19521" xr:uid="{7DBCA14A-15E2-426B-B956-01419DE48C7E}"/>
    <cellStyle name="Normal 4 7 7 5" xfId="27968" xr:uid="{E92A4C41-F154-4808-AC8D-0D5903EB7668}"/>
    <cellStyle name="Normal 4 7 8" xfId="4776" xr:uid="{00000000-0005-0000-0000-0000C8160000}"/>
    <cellStyle name="Normal 4 7 8 2" xfId="13226" xr:uid="{7BFA5D62-9933-498B-9DE0-6896C78A3D32}"/>
    <cellStyle name="Normal 4 7 8 3" xfId="21673" xr:uid="{0BF9B7A1-6EB5-4B83-838E-A214783CC66F}"/>
    <cellStyle name="Normal 4 7 8 4" xfId="30120" xr:uid="{C2DE6E4A-CF82-4EBA-B408-4BD62DC34725}"/>
    <cellStyle name="Normal 4 7 9" xfId="9008" xr:uid="{E408591D-A5AA-4564-89D4-ABA94E941811}"/>
    <cellStyle name="Normal 4 8" xfId="405" xr:uid="{00000000-0005-0000-0000-0000C9160000}"/>
    <cellStyle name="Normal 4 8 10" xfId="25905" xr:uid="{B3472581-DDC9-461C-92CA-1A6FAB82481A}"/>
    <cellStyle name="Normal 4 8 2" xfId="879" xr:uid="{00000000-0005-0000-0000-0000CA160000}"/>
    <cellStyle name="Normal 4 8 2 2" xfId="3114" xr:uid="{00000000-0005-0000-0000-0000CB160000}"/>
    <cellStyle name="Normal 4 8 2 2 2" xfId="7336" xr:uid="{00000000-0005-0000-0000-0000CC160000}"/>
    <cellStyle name="Normal 4 8 2 2 2 2" xfId="15786" xr:uid="{FA0F7D9F-10D2-4894-A568-011B6AABD57D}"/>
    <cellStyle name="Normal 4 8 2 2 2 3" xfId="24233" xr:uid="{18305D74-4D3C-4F2D-A61C-B763F27478DD}"/>
    <cellStyle name="Normal 4 8 2 2 2 4" xfId="32680" xr:uid="{362C90CA-89E9-4846-9034-D433B5BBA1D0}"/>
    <cellStyle name="Normal 4 8 2 2 3" xfId="11568" xr:uid="{75DD8735-022B-4C8F-AD14-401F0C7A6F2A}"/>
    <cellStyle name="Normal 4 8 2 2 4" xfId="20016" xr:uid="{73857137-8873-4055-945C-8EC2366B96FB}"/>
    <cellStyle name="Normal 4 8 2 2 5" xfId="28463" xr:uid="{A38D61D0-9CAF-4A79-AD3A-C2BBE8938852}"/>
    <cellStyle name="Normal 4 8 2 3" xfId="5191" xr:uid="{00000000-0005-0000-0000-0000CD160000}"/>
    <cellStyle name="Normal 4 8 2 3 2" xfId="13641" xr:uid="{9D13CB46-0D9D-456D-A43D-2662D9C43DAA}"/>
    <cellStyle name="Normal 4 8 2 3 3" xfId="22088" xr:uid="{60E814EC-9255-40F3-BEA4-D0F2E8958204}"/>
    <cellStyle name="Normal 4 8 2 3 4" xfId="30535" xr:uid="{97BDE046-EEC4-4059-B478-9F54F0C32119}"/>
    <cellStyle name="Normal 4 8 2 4" xfId="9423" xr:uid="{C598B735-4F55-4EEE-8108-5A0B59A4318E}"/>
    <cellStyle name="Normal 4 8 2 5" xfId="17871" xr:uid="{26FCC22F-8339-452F-A13F-94BB860C4D6E}"/>
    <cellStyle name="Normal 4 8 2 6" xfId="26318" xr:uid="{44783730-E741-4060-9995-CE391847FAF0}"/>
    <cellStyle name="Normal 4 8 3" xfId="1297" xr:uid="{00000000-0005-0000-0000-0000CE160000}"/>
    <cellStyle name="Normal 4 8 3 2" xfId="3527" xr:uid="{00000000-0005-0000-0000-0000CF160000}"/>
    <cellStyle name="Normal 4 8 3 2 2" xfId="7749" xr:uid="{00000000-0005-0000-0000-0000D0160000}"/>
    <cellStyle name="Normal 4 8 3 2 2 2" xfId="16199" xr:uid="{B08E48E3-36F6-4988-B03A-2158F00B7070}"/>
    <cellStyle name="Normal 4 8 3 2 2 3" xfId="24646" xr:uid="{EF564FF7-A9C4-4192-8D57-CD542F2D7692}"/>
    <cellStyle name="Normal 4 8 3 2 2 4" xfId="33093" xr:uid="{DE471EE7-7086-4CDB-AF87-7639B2D127DE}"/>
    <cellStyle name="Normal 4 8 3 2 3" xfId="11981" xr:uid="{0CF84270-E434-4ACE-B1C4-BAFD6AD0915A}"/>
    <cellStyle name="Normal 4 8 3 2 4" xfId="20429" xr:uid="{4DA00FEA-FA59-43D0-AD02-2D35596515E1}"/>
    <cellStyle name="Normal 4 8 3 2 5" xfId="28876" xr:uid="{850FFA9C-182C-406B-AA5A-EA2FC7368A3E}"/>
    <cellStyle name="Normal 4 8 3 3" xfId="5604" xr:uid="{00000000-0005-0000-0000-0000D1160000}"/>
    <cellStyle name="Normal 4 8 3 3 2" xfId="14054" xr:uid="{A5A27225-DCBF-462F-8B0B-5EEED4003BBE}"/>
    <cellStyle name="Normal 4 8 3 3 3" xfId="22501" xr:uid="{1068485F-5130-4967-948A-8F0BD5CFB3D7}"/>
    <cellStyle name="Normal 4 8 3 3 4" xfId="30948" xr:uid="{4B74F30E-BD0B-4FD4-8F5D-BD4273BEDE4B}"/>
    <cellStyle name="Normal 4 8 3 4" xfId="9836" xr:uid="{8808F1E7-7C80-4DDD-9871-FA35D70E14EC}"/>
    <cellStyle name="Normal 4 8 3 5" xfId="18284" xr:uid="{F42266BF-E765-4673-9B71-62E160A7DE7A}"/>
    <cellStyle name="Normal 4 8 3 6" xfId="26731" xr:uid="{B6AB3D59-BDB4-4604-8E6B-E786F1A7E68F}"/>
    <cellStyle name="Normal 4 8 4" xfId="1710" xr:uid="{00000000-0005-0000-0000-0000D2160000}"/>
    <cellStyle name="Normal 4 8 4 2" xfId="3940" xr:uid="{00000000-0005-0000-0000-0000D3160000}"/>
    <cellStyle name="Normal 4 8 4 2 2" xfId="8162" xr:uid="{00000000-0005-0000-0000-0000D4160000}"/>
    <cellStyle name="Normal 4 8 4 2 2 2" xfId="16612" xr:uid="{CF1445AC-154B-4DBE-BEE0-9AFA203FFCCD}"/>
    <cellStyle name="Normal 4 8 4 2 2 3" xfId="25059" xr:uid="{F82C92F0-5131-4442-8A24-4495C8945748}"/>
    <cellStyle name="Normal 4 8 4 2 2 4" xfId="33506" xr:uid="{50983C09-9EBD-4926-8683-CB00FC022CFB}"/>
    <cellStyle name="Normal 4 8 4 2 3" xfId="12394" xr:uid="{B827D7C2-C2EE-4A91-8A9A-D7FCC195F381}"/>
    <cellStyle name="Normal 4 8 4 2 4" xfId="20842" xr:uid="{2A12161A-3AD4-41AA-B239-352853637F6A}"/>
    <cellStyle name="Normal 4 8 4 2 5" xfId="29289" xr:uid="{F23B4B9F-E039-4059-8826-0A9DD69BFD2F}"/>
    <cellStyle name="Normal 4 8 4 3" xfId="6017" xr:uid="{00000000-0005-0000-0000-0000D5160000}"/>
    <cellStyle name="Normal 4 8 4 3 2" xfId="14467" xr:uid="{010EB6C0-253D-4254-BF59-1AA472030B70}"/>
    <cellStyle name="Normal 4 8 4 3 3" xfId="22914" xr:uid="{FBF41C5B-30D2-4E05-98AA-A2CA95154DDB}"/>
    <cellStyle name="Normal 4 8 4 3 4" xfId="31361" xr:uid="{ABCD0083-701F-4A1C-B52B-65BC540DB69F}"/>
    <cellStyle name="Normal 4 8 4 4" xfId="10249" xr:uid="{E40F1B24-0E55-4B5D-A680-AA6B98E2BDFE}"/>
    <cellStyle name="Normal 4 8 4 5" xfId="18697" xr:uid="{17405E50-456F-4C26-8BCB-04EB71A059B9}"/>
    <cellStyle name="Normal 4 8 4 6" xfId="27144" xr:uid="{0DCB6581-7CE4-4D51-880C-37B49BE68A05}"/>
    <cellStyle name="Normal 4 8 5" xfId="2124" xr:uid="{00000000-0005-0000-0000-0000D6160000}"/>
    <cellStyle name="Normal 4 8 5 2" xfId="4353" xr:uid="{00000000-0005-0000-0000-0000D7160000}"/>
    <cellStyle name="Normal 4 8 5 2 2" xfId="8575" xr:uid="{00000000-0005-0000-0000-0000D8160000}"/>
    <cellStyle name="Normal 4 8 5 2 2 2" xfId="17025" xr:uid="{77059909-B632-4F69-886B-43930E8FE90A}"/>
    <cellStyle name="Normal 4 8 5 2 2 3" xfId="25472" xr:uid="{AF9D825D-AA9D-4AD5-883B-1647F2DD949D}"/>
    <cellStyle name="Normal 4 8 5 2 2 4" xfId="33919" xr:uid="{CF744ECF-4DED-42B7-A75F-8A7C134D6A67}"/>
    <cellStyle name="Normal 4 8 5 2 3" xfId="12807" xr:uid="{FDF7ABF8-D47F-458D-9B60-D03C57BCCF34}"/>
    <cellStyle name="Normal 4 8 5 2 4" xfId="21255" xr:uid="{216017EA-C6E2-436A-9D31-502071CC9411}"/>
    <cellStyle name="Normal 4 8 5 2 5" xfId="29702" xr:uid="{8744ACE9-EE7A-4411-BFA5-CF9C5F3EF2AF}"/>
    <cellStyle name="Normal 4 8 5 3" xfId="6430" xr:uid="{00000000-0005-0000-0000-0000D9160000}"/>
    <cellStyle name="Normal 4 8 5 3 2" xfId="14880" xr:uid="{3A014949-1267-4DD8-9AFE-95BDBA10525D}"/>
    <cellStyle name="Normal 4 8 5 3 3" xfId="23327" xr:uid="{40856EDD-853D-436A-B91A-A682330A5805}"/>
    <cellStyle name="Normal 4 8 5 3 4" xfId="31774" xr:uid="{29D7F72C-8B90-4A7E-AB6A-2AF30C98E7D0}"/>
    <cellStyle name="Normal 4 8 5 4" xfId="10662" xr:uid="{409D86F1-48B7-4620-8384-935D7AA1079D}"/>
    <cellStyle name="Normal 4 8 5 5" xfId="19110" xr:uid="{F1B8E0D1-5C55-4E37-992C-3BB43FB75190}"/>
    <cellStyle name="Normal 4 8 5 6" xfId="27557" xr:uid="{8215BD76-1488-4D0A-91B6-7FD6E3D313FD}"/>
    <cellStyle name="Normal 4 8 6" xfId="2560" xr:uid="{00000000-0005-0000-0000-0000DA160000}"/>
    <cellStyle name="Normal 4 8 6 2" xfId="6843" xr:uid="{00000000-0005-0000-0000-0000DB160000}"/>
    <cellStyle name="Normal 4 8 6 2 2" xfId="15293" xr:uid="{D7B8D24C-7C96-4F2A-A53E-DB967B560ECC}"/>
    <cellStyle name="Normal 4 8 6 2 3" xfId="23740" xr:uid="{02BB6BE4-E004-4958-B627-26EF16969A5C}"/>
    <cellStyle name="Normal 4 8 6 2 4" xfId="32187" xr:uid="{2AB268A8-CF48-4300-B082-195925DABB0E}"/>
    <cellStyle name="Normal 4 8 6 3" xfId="11075" xr:uid="{497CDDA1-628A-4EEE-9E59-5A6463293EF3}"/>
    <cellStyle name="Normal 4 8 6 4" xfId="19523" xr:uid="{C890281A-2C03-4D0F-80A3-BAE6A7ABE8D5}"/>
    <cellStyle name="Normal 4 8 6 5" xfId="27970" xr:uid="{6C31C761-7E54-42A1-B8BE-415379FB9AE6}"/>
    <cellStyle name="Normal 4 8 7" xfId="4778" xr:uid="{00000000-0005-0000-0000-0000DC160000}"/>
    <cellStyle name="Normal 4 8 7 2" xfId="13228" xr:uid="{B326B3DF-9E01-4B82-927A-E48C922FB8B3}"/>
    <cellStyle name="Normal 4 8 7 3" xfId="21675" xr:uid="{5C4EF191-33A9-4925-9250-C98F798F6DD9}"/>
    <cellStyle name="Normal 4 8 7 4" xfId="30122" xr:uid="{85C1812D-C2F8-40D8-8671-DF78C3C3CCDE}"/>
    <cellStyle name="Normal 4 8 8" xfId="9010" xr:uid="{E2F22E91-D532-43C0-9BEB-E1A44096E2BF}"/>
    <cellStyle name="Normal 4 8 9" xfId="17458" xr:uid="{7116999A-45F5-4C88-A849-5E4D1909E50D}"/>
    <cellStyle name="Normal 4 9" xfId="4715" xr:uid="{00000000-0005-0000-0000-0000DD160000}"/>
    <cellStyle name="Normal 4 9 2" xfId="13165" xr:uid="{F5B39144-854B-41DC-8DF4-DB4C0D515480}"/>
    <cellStyle name="Normal 4 9 3" xfId="21612" xr:uid="{AA6750BF-8BD3-4773-A717-CA3F3337DE27}"/>
    <cellStyle name="Normal 4 9 4" xfId="30059" xr:uid="{FA042B9C-5E4C-4867-BE69-933565C24EC9}"/>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55908EC2-9444-453D-A411-BC3DF086E0E4}"/>
    <cellStyle name="Normal 5 10 2 2 3" xfId="25060" xr:uid="{8181FFA8-6951-4F5E-B291-83B89A20E98D}"/>
    <cellStyle name="Normal 5 10 2 2 4" xfId="33507" xr:uid="{1FC4BF21-3F5E-4B78-8401-966DEE3FA702}"/>
    <cellStyle name="Normal 5 10 2 3" xfId="12395" xr:uid="{7BF355C7-00BF-4E8B-8833-DE7D29067AF2}"/>
    <cellStyle name="Normal 5 10 2 4" xfId="20843" xr:uid="{DF920A27-79EC-46AE-9E01-143B4F68D648}"/>
    <cellStyle name="Normal 5 10 2 5" xfId="29290" xr:uid="{703DEB55-0B35-45F5-A0BB-9C5044C65797}"/>
    <cellStyle name="Normal 5 10 3" xfId="6018" xr:uid="{00000000-0005-0000-0000-0000E2160000}"/>
    <cellStyle name="Normal 5 10 3 2" xfId="14468" xr:uid="{FD0BD657-F58F-4839-937B-AE833A4EF28E}"/>
    <cellStyle name="Normal 5 10 3 3" xfId="22915" xr:uid="{7275E03D-6707-4CDB-8980-6F700A2AE3F9}"/>
    <cellStyle name="Normal 5 10 3 4" xfId="31362" xr:uid="{D8D24085-47F8-48F4-8357-7834A006A61A}"/>
    <cellStyle name="Normal 5 10 4" xfId="10250" xr:uid="{FC05A4B1-742A-4FBD-B354-CDF76D471699}"/>
    <cellStyle name="Normal 5 10 5" xfId="18698" xr:uid="{42190C64-F3C2-4520-B5F1-3757FF096CBF}"/>
    <cellStyle name="Normal 5 10 6" xfId="27145" xr:uid="{9E404607-8B87-40DC-BEBE-0F57D676AF5C}"/>
    <cellStyle name="Normal 5 11" xfId="2125" xr:uid="{00000000-0005-0000-0000-0000E3160000}"/>
    <cellStyle name="Normal 5 11 2" xfId="4354" xr:uid="{00000000-0005-0000-0000-0000E4160000}"/>
    <cellStyle name="Normal 5 11 2 2" xfId="8576" xr:uid="{00000000-0005-0000-0000-0000E5160000}"/>
    <cellStyle name="Normal 5 11 2 2 2" xfId="17026" xr:uid="{039CCA0E-6F72-4061-967E-9717F40351C5}"/>
    <cellStyle name="Normal 5 11 2 2 3" xfId="25473" xr:uid="{8D919E23-75E7-4C4E-A0A9-7952A14CDEB6}"/>
    <cellStyle name="Normal 5 11 2 2 4" xfId="33920" xr:uid="{CB04610F-EAC9-45BF-8E01-D3DEE308017D}"/>
    <cellStyle name="Normal 5 11 2 3" xfId="12808" xr:uid="{42A47CE7-ABA8-4C0F-9A8F-B38EADCBC3C9}"/>
    <cellStyle name="Normal 5 11 2 4" xfId="21256" xr:uid="{2160D2DC-30D1-41B2-9502-8E89F438C17D}"/>
    <cellStyle name="Normal 5 11 2 5" xfId="29703" xr:uid="{2D5B2F0B-4CB1-4353-9CA9-DF9BA25BCF22}"/>
    <cellStyle name="Normal 5 11 3" xfId="6431" xr:uid="{00000000-0005-0000-0000-0000E6160000}"/>
    <cellStyle name="Normal 5 11 3 2" xfId="14881" xr:uid="{C494F9AD-8871-4309-AE22-7CB2F717BF1D}"/>
    <cellStyle name="Normal 5 11 3 3" xfId="23328" xr:uid="{0D0B9C4B-2646-4C9F-B2B6-BAC2CE51B562}"/>
    <cellStyle name="Normal 5 11 3 4" xfId="31775" xr:uid="{729916C5-94A5-4B20-A1B4-13B0B4E7688F}"/>
    <cellStyle name="Normal 5 11 4" xfId="10663" xr:uid="{71424D0A-58A0-44F9-A070-D9A7A20F84DF}"/>
    <cellStyle name="Normal 5 11 5" xfId="19111" xr:uid="{EDE793A5-3DAA-40CB-BABA-E1159129032D}"/>
    <cellStyle name="Normal 5 11 6" xfId="27558" xr:uid="{5966C571-D727-4A49-B27A-9EA609388937}"/>
    <cellStyle name="Normal 5 12" xfId="2561" xr:uid="{00000000-0005-0000-0000-0000E7160000}"/>
    <cellStyle name="Normal 5 12 2" xfId="6844" xr:uid="{00000000-0005-0000-0000-0000E8160000}"/>
    <cellStyle name="Normal 5 12 2 2" xfId="15294" xr:uid="{94C16B1E-A528-43A5-85DF-71C87BF07E83}"/>
    <cellStyle name="Normal 5 12 2 3" xfId="23741" xr:uid="{D308B5C5-0CBE-4963-B898-2DF796A5CD2B}"/>
    <cellStyle name="Normal 5 12 2 4" xfId="32188" xr:uid="{DA65C860-5225-48D4-B58C-6C80BC481EFB}"/>
    <cellStyle name="Normal 5 12 3" xfId="11076" xr:uid="{9F10952E-6B59-4961-A71A-731205F6181F}"/>
    <cellStyle name="Normal 5 12 4" xfId="19524" xr:uid="{4AA6104A-AECF-40A3-9FA2-A460F2E51D52}"/>
    <cellStyle name="Normal 5 12 5" xfId="27971" xr:uid="{E9A1BC07-B9BA-4807-9DFA-189AE468ADDB}"/>
    <cellStyle name="Normal 5 13" xfId="4779" xr:uid="{00000000-0005-0000-0000-0000E9160000}"/>
    <cellStyle name="Normal 5 13 2" xfId="13229" xr:uid="{AE720E93-D237-4694-905D-3C93DE69C95F}"/>
    <cellStyle name="Normal 5 13 3" xfId="21676" xr:uid="{CF751C7E-A179-4D5F-AE96-8E07FF485A44}"/>
    <cellStyle name="Normal 5 13 4" xfId="30123" xr:uid="{3F3A64DE-9316-46D7-B652-38B0835A7D43}"/>
    <cellStyle name="Normal 5 14" xfId="9011" xr:uid="{640E65B7-84BE-4B0E-9FFD-E23A47B6310A}"/>
    <cellStyle name="Normal 5 15" xfId="17459" xr:uid="{34862102-3323-4CF1-B73F-812439200216}"/>
    <cellStyle name="Normal 5 16" xfId="25906" xr:uid="{8C690B07-E792-4E98-8A6D-A0AF06E4B6E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DB1ECB75-B770-4A92-92CD-985F9D3A08E8}"/>
    <cellStyle name="Normal 5 2 10 2 2 3" xfId="25474" xr:uid="{08CF9E07-C3C4-48E2-A349-6EB9A247F24C}"/>
    <cellStyle name="Normal 5 2 10 2 2 4" xfId="33921" xr:uid="{18370E0D-C34F-4B1D-BEA6-7BEC047EE612}"/>
    <cellStyle name="Normal 5 2 10 2 3" xfId="12809" xr:uid="{70568265-1A3F-4634-A90F-02F1FF73FF6C}"/>
    <cellStyle name="Normal 5 2 10 2 4" xfId="21257" xr:uid="{C4B1D667-7EE3-4C40-B1FC-337F45266D93}"/>
    <cellStyle name="Normal 5 2 10 2 5" xfId="29704" xr:uid="{6A568FC7-C5CB-4D4C-A8BD-B22B0AC2BDA0}"/>
    <cellStyle name="Normal 5 2 10 3" xfId="6432" xr:uid="{00000000-0005-0000-0000-0000EE160000}"/>
    <cellStyle name="Normal 5 2 10 3 2" xfId="14882" xr:uid="{9BD653C6-1951-447B-AA3C-77118C61DE2B}"/>
    <cellStyle name="Normal 5 2 10 3 3" xfId="23329" xr:uid="{82B44CD6-2E93-4309-BFDD-9357CF8D8AAC}"/>
    <cellStyle name="Normal 5 2 10 3 4" xfId="31776" xr:uid="{6A44633C-E52C-42AA-B57E-160C598D76D8}"/>
    <cellStyle name="Normal 5 2 10 4" xfId="10664" xr:uid="{28DE47AB-8D32-44C3-831A-9484F3DDA186}"/>
    <cellStyle name="Normal 5 2 10 5" xfId="19112" xr:uid="{10E31307-6C3F-44C1-93E6-A1BB0078A16B}"/>
    <cellStyle name="Normal 5 2 10 6" xfId="27559" xr:uid="{7A0A7CEA-E88B-4FB9-B47E-FF037CBF1D03}"/>
    <cellStyle name="Normal 5 2 11" xfId="2562" xr:uid="{00000000-0005-0000-0000-0000EF160000}"/>
    <cellStyle name="Normal 5 2 11 2" xfId="6845" xr:uid="{00000000-0005-0000-0000-0000F0160000}"/>
    <cellStyle name="Normal 5 2 11 2 2" xfId="15295" xr:uid="{804AF9C9-A703-4A0A-88B3-1CD09729B6B5}"/>
    <cellStyle name="Normal 5 2 11 2 3" xfId="23742" xr:uid="{485ACCE2-CBBB-44FE-8A45-AE88058A4425}"/>
    <cellStyle name="Normal 5 2 11 2 4" xfId="32189" xr:uid="{EDD018F0-C044-4985-90A2-4DEA234E70C4}"/>
    <cellStyle name="Normal 5 2 11 3" xfId="11077" xr:uid="{F7C5C1DD-875B-4EC9-AFBE-396B886BEB32}"/>
    <cellStyle name="Normal 5 2 11 4" xfId="19525" xr:uid="{D770B88E-9144-4495-A8E6-8CA8A05F3CCE}"/>
    <cellStyle name="Normal 5 2 11 5" xfId="27972" xr:uid="{7FF0E347-81B8-45F8-ACC5-C821AEF7440C}"/>
    <cellStyle name="Normal 5 2 12" xfId="4780" xr:uid="{00000000-0005-0000-0000-0000F1160000}"/>
    <cellStyle name="Normal 5 2 12 2" xfId="13230" xr:uid="{D5F1E76C-897B-4AF1-B520-60CBDEAC9AA8}"/>
    <cellStyle name="Normal 5 2 12 3" xfId="21677" xr:uid="{CB54131B-2B38-4027-B6AF-356287514B5F}"/>
    <cellStyle name="Normal 5 2 12 4" xfId="30124" xr:uid="{A0A72D21-B6AD-46CE-9CB4-E8C2DEFC825A}"/>
    <cellStyle name="Normal 5 2 13" xfId="9012" xr:uid="{BFEAE663-3E54-4546-84DE-C4DA2E0D9027}"/>
    <cellStyle name="Normal 5 2 14" xfId="17460" xr:uid="{D47DCD24-636F-4BBB-B080-67790AC28F99}"/>
    <cellStyle name="Normal 5 2 15" xfId="25907" xr:uid="{830EC6A7-A7FF-42FB-B5FD-D15E1EBD6424}"/>
    <cellStyle name="Normal 5 2 2" xfId="408" xr:uid="{00000000-0005-0000-0000-0000F2160000}"/>
    <cellStyle name="Normal 5 2 2 10" xfId="2563" xr:uid="{00000000-0005-0000-0000-0000F3160000}"/>
    <cellStyle name="Normal 5 2 2 10 2" xfId="6846" xr:uid="{00000000-0005-0000-0000-0000F4160000}"/>
    <cellStyle name="Normal 5 2 2 10 2 2" xfId="15296" xr:uid="{949191E0-18B9-48F3-BA02-DD780E727CAE}"/>
    <cellStyle name="Normal 5 2 2 10 2 3" xfId="23743" xr:uid="{07FAACA6-841E-4694-8039-4C604584C23D}"/>
    <cellStyle name="Normal 5 2 2 10 2 4" xfId="32190" xr:uid="{59388D70-4AC0-4AFC-95D2-8100E508CACA}"/>
    <cellStyle name="Normal 5 2 2 10 3" xfId="11078" xr:uid="{1FBEBA74-1640-4E73-B814-3FFE654240E8}"/>
    <cellStyle name="Normal 5 2 2 10 4" xfId="19526" xr:uid="{FB1C743A-95E1-47E5-AE4D-BE6BD677AE5D}"/>
    <cellStyle name="Normal 5 2 2 10 5" xfId="27973" xr:uid="{56013F71-CCB5-4BAB-921E-BBFB9EEA7723}"/>
    <cellStyle name="Normal 5 2 2 11" xfId="4781" xr:uid="{00000000-0005-0000-0000-0000F5160000}"/>
    <cellStyle name="Normal 5 2 2 11 2" xfId="13231" xr:uid="{89CDD678-828A-41E7-8F45-B96EE67787AA}"/>
    <cellStyle name="Normal 5 2 2 11 3" xfId="21678" xr:uid="{C4F26E9C-720F-4A38-9419-BD81FDC7BC0D}"/>
    <cellStyle name="Normal 5 2 2 11 4" xfId="30125" xr:uid="{E8CE776F-0ECF-4278-B3E1-ECDAC515E129}"/>
    <cellStyle name="Normal 5 2 2 12" xfId="9013" xr:uid="{3AF36297-3AC1-4BAA-B6F1-56CD322A9BCE}"/>
    <cellStyle name="Normal 5 2 2 13" xfId="17461" xr:uid="{D44E4316-5D9B-4FC9-B9D4-1F0828E4B0C7}"/>
    <cellStyle name="Normal 5 2 2 14" xfId="25908" xr:uid="{75A5DC62-55FA-479D-AD65-D958B71CFAE9}"/>
    <cellStyle name="Normal 5 2 2 2" xfId="409" xr:uid="{00000000-0005-0000-0000-0000F6160000}"/>
    <cellStyle name="Normal 5 2 2 2 10" xfId="4782" xr:uid="{00000000-0005-0000-0000-0000F7160000}"/>
    <cellStyle name="Normal 5 2 2 2 10 2" xfId="13232" xr:uid="{3008690A-1D89-4ADE-9BD2-943151E1ECF5}"/>
    <cellStyle name="Normal 5 2 2 2 10 3" xfId="21679" xr:uid="{2BEC51C9-C014-46FE-B937-2D371F451BD6}"/>
    <cellStyle name="Normal 5 2 2 2 10 4" xfId="30126" xr:uid="{5AC51F5C-A8F7-4A78-8152-918A58ABE04A}"/>
    <cellStyle name="Normal 5 2 2 2 11" xfId="9014" xr:uid="{1D5F22A2-0D04-4870-B421-AD7A61831A83}"/>
    <cellStyle name="Normal 5 2 2 2 12" xfId="17462" xr:uid="{EEA6A5E2-1BB1-48D9-814E-DB7FFBB1F9BF}"/>
    <cellStyle name="Normal 5 2 2 2 13" xfId="25909" xr:uid="{B80510C6-86B1-4DB4-BCC7-36FEB4CBE234}"/>
    <cellStyle name="Normal 5 2 2 2 2" xfId="410" xr:uid="{00000000-0005-0000-0000-0000F8160000}"/>
    <cellStyle name="Normal 5 2 2 2 2 10" xfId="9015" xr:uid="{AC4F9223-63F5-4677-BB16-7BD7D6B444E2}"/>
    <cellStyle name="Normal 5 2 2 2 2 11" xfId="17463" xr:uid="{184C6F8F-8565-4827-ACB7-E768563572DE}"/>
    <cellStyle name="Normal 5 2 2 2 2 12" xfId="25910" xr:uid="{9BFA5F17-7EE3-4149-A8A0-D22ECE1FA82D}"/>
    <cellStyle name="Normal 5 2 2 2 2 2" xfId="411" xr:uid="{00000000-0005-0000-0000-0000F9160000}"/>
    <cellStyle name="Normal 5 2 2 2 2 2 10" xfId="17464" xr:uid="{5843A303-290D-4634-BF9A-48FE6293A932}"/>
    <cellStyle name="Normal 5 2 2 2 2 2 11" xfId="25911" xr:uid="{C30A1305-F341-44B9-A7E9-E200B3A1D33C}"/>
    <cellStyle name="Normal 5 2 2 2 2 2 2" xfId="412" xr:uid="{00000000-0005-0000-0000-0000FA160000}"/>
    <cellStyle name="Normal 5 2 2 2 2 2 2 10" xfId="25912" xr:uid="{24BF8098-6695-4519-AF3B-D9E72B5A9732}"/>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B1761E57-9192-468B-9F72-2DB69FDE64DE}"/>
    <cellStyle name="Normal 5 2 2 2 2 2 2 2 2 2 3" xfId="24240" xr:uid="{FCFDA7F9-2F41-4F65-AFD7-5FF7A39BB72A}"/>
    <cellStyle name="Normal 5 2 2 2 2 2 2 2 2 2 4" xfId="32687" xr:uid="{309D863C-0BD2-4262-8B4A-D0CEF147B352}"/>
    <cellStyle name="Normal 5 2 2 2 2 2 2 2 2 3" xfId="11575" xr:uid="{193A7F3F-B2D1-40DA-9E54-4F3C54CBCB1B}"/>
    <cellStyle name="Normal 5 2 2 2 2 2 2 2 2 4" xfId="20023" xr:uid="{E11CF666-4A27-4FD7-B00E-EA8EC6DF1305}"/>
    <cellStyle name="Normal 5 2 2 2 2 2 2 2 2 5" xfId="28470" xr:uid="{A9FBA58D-EBE9-49B2-B928-940CB211FC11}"/>
    <cellStyle name="Normal 5 2 2 2 2 2 2 2 3" xfId="5198" xr:uid="{00000000-0005-0000-0000-0000FE160000}"/>
    <cellStyle name="Normal 5 2 2 2 2 2 2 2 3 2" xfId="13648" xr:uid="{FA778381-15E9-432D-A2B1-40411F280CF0}"/>
    <cellStyle name="Normal 5 2 2 2 2 2 2 2 3 3" xfId="22095" xr:uid="{F7465671-5F9E-4C18-8655-453876877EDB}"/>
    <cellStyle name="Normal 5 2 2 2 2 2 2 2 3 4" xfId="30542" xr:uid="{08777E61-D895-4ED5-BEB7-10EA4FC08AE5}"/>
    <cellStyle name="Normal 5 2 2 2 2 2 2 2 4" xfId="9430" xr:uid="{0A117CA1-4573-4B47-AF98-4CFD25074F77}"/>
    <cellStyle name="Normal 5 2 2 2 2 2 2 2 5" xfId="17878" xr:uid="{79A77B8B-A83A-4AE7-831A-B0F8230C3065}"/>
    <cellStyle name="Normal 5 2 2 2 2 2 2 2 6" xfId="26325" xr:uid="{0F046CE0-67E5-4879-B81D-664B351CED2F}"/>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1AF4ACC1-BDA7-43DE-99AE-8BBFA391BB5B}"/>
    <cellStyle name="Normal 5 2 2 2 2 2 2 3 2 2 3" xfId="24653" xr:uid="{BEF59069-DF1C-4B8C-AB75-6A9AB5DB921E}"/>
    <cellStyle name="Normal 5 2 2 2 2 2 2 3 2 2 4" xfId="33100" xr:uid="{7CE377A5-98C8-46CD-9281-63951AF2547A}"/>
    <cellStyle name="Normal 5 2 2 2 2 2 2 3 2 3" xfId="11988" xr:uid="{8049E5BD-5723-41F6-AC8D-76CFDCF2CD24}"/>
    <cellStyle name="Normal 5 2 2 2 2 2 2 3 2 4" xfId="20436" xr:uid="{96195B71-02B6-40BD-B2DE-B2DD6EE13EA8}"/>
    <cellStyle name="Normal 5 2 2 2 2 2 2 3 2 5" xfId="28883" xr:uid="{AA094D84-2219-4675-8CC7-563B9144E55E}"/>
    <cellStyle name="Normal 5 2 2 2 2 2 2 3 3" xfId="5611" xr:uid="{00000000-0005-0000-0000-000002170000}"/>
    <cellStyle name="Normal 5 2 2 2 2 2 2 3 3 2" xfId="14061" xr:uid="{3202367B-8226-4713-854F-6CD634CB0AA4}"/>
    <cellStyle name="Normal 5 2 2 2 2 2 2 3 3 3" xfId="22508" xr:uid="{E3EB851B-4879-4BC8-A701-AABB40E4D949}"/>
    <cellStyle name="Normal 5 2 2 2 2 2 2 3 3 4" xfId="30955" xr:uid="{F35A8CCC-4C17-4B8D-A5DC-FFBB99888DEA}"/>
    <cellStyle name="Normal 5 2 2 2 2 2 2 3 4" xfId="9843" xr:uid="{C3EB6617-110B-4436-A639-EBCEB801A490}"/>
    <cellStyle name="Normal 5 2 2 2 2 2 2 3 5" xfId="18291" xr:uid="{6635F7A9-A08A-4526-8606-ED408B74F96D}"/>
    <cellStyle name="Normal 5 2 2 2 2 2 2 3 6" xfId="26738" xr:uid="{1CECEC30-701D-4B45-9A39-D5EBA2A3AA9B}"/>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58F3966A-C9A6-4EB5-A86B-D616216A9923}"/>
    <cellStyle name="Normal 5 2 2 2 2 2 2 4 2 2 3" xfId="25066" xr:uid="{99DD12A4-DF38-4ADD-9DAE-334FFD8B477A}"/>
    <cellStyle name="Normal 5 2 2 2 2 2 2 4 2 2 4" xfId="33513" xr:uid="{93D16158-6A01-4DB8-AA47-6326CEB9CE32}"/>
    <cellStyle name="Normal 5 2 2 2 2 2 2 4 2 3" xfId="12401" xr:uid="{D3909B75-E087-460C-BE30-C018984503D2}"/>
    <cellStyle name="Normal 5 2 2 2 2 2 2 4 2 4" xfId="20849" xr:uid="{465FCB8F-F72A-4752-9AB6-A73EC1FEC74A}"/>
    <cellStyle name="Normal 5 2 2 2 2 2 2 4 2 5" xfId="29296" xr:uid="{74F2690B-1370-47F4-8066-A24CC0C039BA}"/>
    <cellStyle name="Normal 5 2 2 2 2 2 2 4 3" xfId="6024" xr:uid="{00000000-0005-0000-0000-000006170000}"/>
    <cellStyle name="Normal 5 2 2 2 2 2 2 4 3 2" xfId="14474" xr:uid="{AB5976EC-76E3-44A7-8EED-C73FD8DD5584}"/>
    <cellStyle name="Normal 5 2 2 2 2 2 2 4 3 3" xfId="22921" xr:uid="{EDF623A1-475F-4516-A5AC-73A54AA84A71}"/>
    <cellStyle name="Normal 5 2 2 2 2 2 2 4 3 4" xfId="31368" xr:uid="{D790585F-C092-4215-87DD-768D29B65CD8}"/>
    <cellStyle name="Normal 5 2 2 2 2 2 2 4 4" xfId="10256" xr:uid="{F3F87826-38EA-4D53-B657-290F6099DA86}"/>
    <cellStyle name="Normal 5 2 2 2 2 2 2 4 5" xfId="18704" xr:uid="{D048E91C-3D1E-417B-8C5F-DC1D6AD4BA21}"/>
    <cellStyle name="Normal 5 2 2 2 2 2 2 4 6" xfId="27151" xr:uid="{5FD7B7EC-7303-4EFA-B41B-607C26CCD61C}"/>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D6315193-58DF-406A-AD2B-5B55E7F26771}"/>
    <cellStyle name="Normal 5 2 2 2 2 2 2 5 2 2 3" xfId="25479" xr:uid="{4E2739D4-9D0B-42D6-B886-66A183545221}"/>
    <cellStyle name="Normal 5 2 2 2 2 2 2 5 2 2 4" xfId="33926" xr:uid="{341E1B1B-D8E6-4DDF-AD13-2D0ED6BEF1DD}"/>
    <cellStyle name="Normal 5 2 2 2 2 2 2 5 2 3" xfId="12814" xr:uid="{B71E3E7F-1858-4CE1-AD8E-6AB69F12B1D4}"/>
    <cellStyle name="Normal 5 2 2 2 2 2 2 5 2 4" xfId="21262" xr:uid="{3EA0E473-7F7D-4CB5-BAF6-196E6874AD78}"/>
    <cellStyle name="Normal 5 2 2 2 2 2 2 5 2 5" xfId="29709" xr:uid="{943D8E76-DB3D-404E-8DCB-03E39AE54A76}"/>
    <cellStyle name="Normal 5 2 2 2 2 2 2 5 3" xfId="6437" xr:uid="{00000000-0005-0000-0000-00000A170000}"/>
    <cellStyle name="Normal 5 2 2 2 2 2 2 5 3 2" xfId="14887" xr:uid="{8C585EE8-5F8C-47ED-AC6C-C80B9A71CC36}"/>
    <cellStyle name="Normal 5 2 2 2 2 2 2 5 3 3" xfId="23334" xr:uid="{88FC0863-00C8-44AC-9501-289286B78119}"/>
    <cellStyle name="Normal 5 2 2 2 2 2 2 5 3 4" xfId="31781" xr:uid="{BFBBFB85-0E13-4D45-9363-0255634346D8}"/>
    <cellStyle name="Normal 5 2 2 2 2 2 2 5 4" xfId="10669" xr:uid="{3592C196-B03D-4D8D-B42A-22F1D3E56D63}"/>
    <cellStyle name="Normal 5 2 2 2 2 2 2 5 5" xfId="19117" xr:uid="{B08D07DB-E87C-4A21-881A-6288873E78F1}"/>
    <cellStyle name="Normal 5 2 2 2 2 2 2 5 6" xfId="27564" xr:uid="{DF452B93-68E8-4472-BEAB-27D0E0EFC1FC}"/>
    <cellStyle name="Normal 5 2 2 2 2 2 2 6" xfId="2567" xr:uid="{00000000-0005-0000-0000-00000B170000}"/>
    <cellStyle name="Normal 5 2 2 2 2 2 2 6 2" xfId="6850" xr:uid="{00000000-0005-0000-0000-00000C170000}"/>
    <cellStyle name="Normal 5 2 2 2 2 2 2 6 2 2" xfId="15300" xr:uid="{29CA9514-1C46-410E-9154-05C4145E7E24}"/>
    <cellStyle name="Normal 5 2 2 2 2 2 2 6 2 3" xfId="23747" xr:uid="{6C919519-C6E1-40AA-B156-82B8F087E100}"/>
    <cellStyle name="Normal 5 2 2 2 2 2 2 6 2 4" xfId="32194" xr:uid="{99112C73-4E24-4441-883F-3751B0A6406E}"/>
    <cellStyle name="Normal 5 2 2 2 2 2 2 6 3" xfId="11082" xr:uid="{2A6EBD9F-3835-4818-8BFC-658C31007345}"/>
    <cellStyle name="Normal 5 2 2 2 2 2 2 6 4" xfId="19530" xr:uid="{78691C51-2D68-41D9-9D96-2289AEA7047D}"/>
    <cellStyle name="Normal 5 2 2 2 2 2 2 6 5" xfId="27977" xr:uid="{87985CF5-C2F0-4955-AC11-1F94B63D73E7}"/>
    <cellStyle name="Normal 5 2 2 2 2 2 2 7" xfId="4785" xr:uid="{00000000-0005-0000-0000-00000D170000}"/>
    <cellStyle name="Normal 5 2 2 2 2 2 2 7 2" xfId="13235" xr:uid="{613AB67E-D5E5-49D6-BAF6-8A6916221914}"/>
    <cellStyle name="Normal 5 2 2 2 2 2 2 7 3" xfId="21682" xr:uid="{38716F6E-EA06-452C-B94D-734C87BAF70E}"/>
    <cellStyle name="Normal 5 2 2 2 2 2 2 7 4" xfId="30129" xr:uid="{224EA5FD-FB14-4D85-8BAE-59BC029D7534}"/>
    <cellStyle name="Normal 5 2 2 2 2 2 2 8" xfId="9017" xr:uid="{0B98821D-312E-42FB-959D-CF92DA7B1020}"/>
    <cellStyle name="Normal 5 2 2 2 2 2 2 9" xfId="17465" xr:uid="{BAD50998-9C34-46EB-9B7A-A93D83B736FC}"/>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D6199008-0E60-45AB-8DA4-BCC7C891FA0C}"/>
    <cellStyle name="Normal 5 2 2 2 2 2 3 2 2 3" xfId="24239" xr:uid="{76CD1A0A-035D-4AE5-9670-1E5CB87CE923}"/>
    <cellStyle name="Normal 5 2 2 2 2 2 3 2 2 4" xfId="32686" xr:uid="{787AD889-87F9-499D-ACD2-62950CAB9C7E}"/>
    <cellStyle name="Normal 5 2 2 2 2 2 3 2 3" xfId="11574" xr:uid="{246618B0-7475-4C62-906F-EB2A71C008F3}"/>
    <cellStyle name="Normal 5 2 2 2 2 2 3 2 4" xfId="20022" xr:uid="{5F31419E-F5E5-4767-BDAF-913563936157}"/>
    <cellStyle name="Normal 5 2 2 2 2 2 3 2 5" xfId="28469" xr:uid="{334F9AAF-8C9A-438F-B401-1C979FF07930}"/>
    <cellStyle name="Normal 5 2 2 2 2 2 3 3" xfId="5197" xr:uid="{00000000-0005-0000-0000-000011170000}"/>
    <cellStyle name="Normal 5 2 2 2 2 2 3 3 2" xfId="13647" xr:uid="{AD128939-388A-4468-82FF-5380714B75A5}"/>
    <cellStyle name="Normal 5 2 2 2 2 2 3 3 3" xfId="22094" xr:uid="{D51601FA-B4A0-498E-B0A1-1A5ABC0E15B6}"/>
    <cellStyle name="Normal 5 2 2 2 2 2 3 3 4" xfId="30541" xr:uid="{86532849-6507-4A87-8F06-AB0CAA96EE6A}"/>
    <cellStyle name="Normal 5 2 2 2 2 2 3 4" xfId="9429" xr:uid="{C4901E92-048F-4F48-A568-B559D461F07D}"/>
    <cellStyle name="Normal 5 2 2 2 2 2 3 5" xfId="17877" xr:uid="{5F6F9415-F7AA-4F75-8CCF-91A3D69E5ADB}"/>
    <cellStyle name="Normal 5 2 2 2 2 2 3 6" xfId="26324" xr:uid="{9AFE2E3F-49A9-4CA9-9440-1EC501608717}"/>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1823E386-C3B4-4CBE-A302-137F1DB9BEB2}"/>
    <cellStyle name="Normal 5 2 2 2 2 2 4 2 2 3" xfId="24652" xr:uid="{2FAA0D5D-D974-4981-B461-00D2C7FD197B}"/>
    <cellStyle name="Normal 5 2 2 2 2 2 4 2 2 4" xfId="33099" xr:uid="{DB4772F6-8DEA-4B5A-A348-E78809687D61}"/>
    <cellStyle name="Normal 5 2 2 2 2 2 4 2 3" xfId="11987" xr:uid="{DDE1ED61-FAE1-4A7B-A02F-FEA89F119DC4}"/>
    <cellStyle name="Normal 5 2 2 2 2 2 4 2 4" xfId="20435" xr:uid="{0C7346DB-541F-4BE8-A5D6-C2B528EC587A}"/>
    <cellStyle name="Normal 5 2 2 2 2 2 4 2 5" xfId="28882" xr:uid="{0BE27F29-CB34-4DCA-9342-CE376DD61051}"/>
    <cellStyle name="Normal 5 2 2 2 2 2 4 3" xfId="5610" xr:uid="{00000000-0005-0000-0000-000015170000}"/>
    <cellStyle name="Normal 5 2 2 2 2 2 4 3 2" xfId="14060" xr:uid="{0C1D2726-5CFF-49F2-AABB-0DE97066847F}"/>
    <cellStyle name="Normal 5 2 2 2 2 2 4 3 3" xfId="22507" xr:uid="{64A30CA8-9A49-490B-8D3A-4909BE1DB967}"/>
    <cellStyle name="Normal 5 2 2 2 2 2 4 3 4" xfId="30954" xr:uid="{A1BAF9E3-A72A-477D-8C3F-9EF9E1C6687A}"/>
    <cellStyle name="Normal 5 2 2 2 2 2 4 4" xfId="9842" xr:uid="{6246C81A-3CCB-49B2-A7AF-31BC256DDCB6}"/>
    <cellStyle name="Normal 5 2 2 2 2 2 4 5" xfId="18290" xr:uid="{48777195-1CC7-4731-918C-56657F03405A}"/>
    <cellStyle name="Normal 5 2 2 2 2 2 4 6" xfId="26737" xr:uid="{73BB6264-A17A-47F7-A9E3-BECF04AB9D3D}"/>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C8CE8422-7FA5-4460-B7C4-6435F5FC522C}"/>
    <cellStyle name="Normal 5 2 2 2 2 2 5 2 2 3" xfId="25065" xr:uid="{6A114155-2394-4BF3-A67D-20D2D9C9075A}"/>
    <cellStyle name="Normal 5 2 2 2 2 2 5 2 2 4" xfId="33512" xr:uid="{78C8AD1E-AC7B-453E-8E11-005AC154B40C}"/>
    <cellStyle name="Normal 5 2 2 2 2 2 5 2 3" xfId="12400" xr:uid="{CF062C13-4E0F-4823-8F8E-E797EEE05F3A}"/>
    <cellStyle name="Normal 5 2 2 2 2 2 5 2 4" xfId="20848" xr:uid="{3B7B168F-ABBE-4DF1-8611-2EE506ABE33F}"/>
    <cellStyle name="Normal 5 2 2 2 2 2 5 2 5" xfId="29295" xr:uid="{260CF88E-00FD-4E0F-A0AC-AB2540BF699D}"/>
    <cellStyle name="Normal 5 2 2 2 2 2 5 3" xfId="6023" xr:uid="{00000000-0005-0000-0000-000019170000}"/>
    <cellStyle name="Normal 5 2 2 2 2 2 5 3 2" xfId="14473" xr:uid="{DE2F7E01-F4A1-4610-A0C2-5D4F2252D492}"/>
    <cellStyle name="Normal 5 2 2 2 2 2 5 3 3" xfId="22920" xr:uid="{503D1D3A-4E8D-4193-BA7F-60D7B01CFF11}"/>
    <cellStyle name="Normal 5 2 2 2 2 2 5 3 4" xfId="31367" xr:uid="{D89B74C8-55C4-4A39-957E-BFF02741F6D1}"/>
    <cellStyle name="Normal 5 2 2 2 2 2 5 4" xfId="10255" xr:uid="{00153A5B-1449-437F-A785-0AD95710B56C}"/>
    <cellStyle name="Normal 5 2 2 2 2 2 5 5" xfId="18703" xr:uid="{94E9A644-192C-40C9-9D23-7686E7EB4936}"/>
    <cellStyle name="Normal 5 2 2 2 2 2 5 6" xfId="27150" xr:uid="{56A77567-F5CA-454B-864F-810E842E9593}"/>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7E714E55-D164-4F97-B9DD-B0F34E459B99}"/>
    <cellStyle name="Normal 5 2 2 2 2 2 6 2 2 3" xfId="25478" xr:uid="{EFEC2A08-3057-4FD5-9DCD-764B56A911D8}"/>
    <cellStyle name="Normal 5 2 2 2 2 2 6 2 2 4" xfId="33925" xr:uid="{669CA28F-4089-4468-9147-CE493E2352DB}"/>
    <cellStyle name="Normal 5 2 2 2 2 2 6 2 3" xfId="12813" xr:uid="{376B5622-F0FB-40D2-8845-A8B0E1A8EF51}"/>
    <cellStyle name="Normal 5 2 2 2 2 2 6 2 4" xfId="21261" xr:uid="{373294E3-8071-4729-AAC0-E3E46BD30F3D}"/>
    <cellStyle name="Normal 5 2 2 2 2 2 6 2 5" xfId="29708" xr:uid="{26193725-DD97-4512-96C3-E038402E99CF}"/>
    <cellStyle name="Normal 5 2 2 2 2 2 6 3" xfId="6436" xr:uid="{00000000-0005-0000-0000-00001D170000}"/>
    <cellStyle name="Normal 5 2 2 2 2 2 6 3 2" xfId="14886" xr:uid="{9B64DFAA-4660-4859-8F56-8383874F29CB}"/>
    <cellStyle name="Normal 5 2 2 2 2 2 6 3 3" xfId="23333" xr:uid="{20C3669D-75CB-4C82-A896-17C3F4BF18B1}"/>
    <cellStyle name="Normal 5 2 2 2 2 2 6 3 4" xfId="31780" xr:uid="{C3EA5FD8-18F3-44F1-AD6C-0EE28A7A0562}"/>
    <cellStyle name="Normal 5 2 2 2 2 2 6 4" xfId="10668" xr:uid="{79F9FAE8-2EEA-4DAA-9BB9-63E16513D56A}"/>
    <cellStyle name="Normal 5 2 2 2 2 2 6 5" xfId="19116" xr:uid="{BAC0EF80-C834-4CA1-BE12-1BD585DF9487}"/>
    <cellStyle name="Normal 5 2 2 2 2 2 6 6" xfId="27563" xr:uid="{8D7A4B8F-4003-4CF8-873F-DF9BFC736C20}"/>
    <cellStyle name="Normal 5 2 2 2 2 2 7" xfId="2566" xr:uid="{00000000-0005-0000-0000-00001E170000}"/>
    <cellStyle name="Normal 5 2 2 2 2 2 7 2" xfId="6849" xr:uid="{00000000-0005-0000-0000-00001F170000}"/>
    <cellStyle name="Normal 5 2 2 2 2 2 7 2 2" xfId="15299" xr:uid="{9D9138BC-D87E-4B5F-A917-6F8366023508}"/>
    <cellStyle name="Normal 5 2 2 2 2 2 7 2 3" xfId="23746" xr:uid="{613677E7-9574-421D-8F20-20D555385DBA}"/>
    <cellStyle name="Normal 5 2 2 2 2 2 7 2 4" xfId="32193" xr:uid="{9DFAA505-168E-47A3-AC2E-8FE80D8262D5}"/>
    <cellStyle name="Normal 5 2 2 2 2 2 7 3" xfId="11081" xr:uid="{C624DAD3-EF8F-455A-BE21-A1874B285422}"/>
    <cellStyle name="Normal 5 2 2 2 2 2 7 4" xfId="19529" xr:uid="{0BB3F670-8FDB-4C89-B24D-797A712C4DF3}"/>
    <cellStyle name="Normal 5 2 2 2 2 2 7 5" xfId="27976" xr:uid="{6AD7DEF3-97DD-41EC-BAB7-32C77F3F6F41}"/>
    <cellStyle name="Normal 5 2 2 2 2 2 8" xfId="4784" xr:uid="{00000000-0005-0000-0000-000020170000}"/>
    <cellStyle name="Normal 5 2 2 2 2 2 8 2" xfId="13234" xr:uid="{1715492A-CD66-4CCF-B824-689BA9CC45A6}"/>
    <cellStyle name="Normal 5 2 2 2 2 2 8 3" xfId="21681" xr:uid="{77F9710F-C6DC-48EC-82F8-F2A66994365F}"/>
    <cellStyle name="Normal 5 2 2 2 2 2 8 4" xfId="30128" xr:uid="{393B38E6-907C-4B81-872E-148B359FEADB}"/>
    <cellStyle name="Normal 5 2 2 2 2 2 9" xfId="9016" xr:uid="{540ABEFA-3215-438A-BB8E-3EB44B3D37B4}"/>
    <cellStyle name="Normal 5 2 2 2 2 3" xfId="413" xr:uid="{00000000-0005-0000-0000-000021170000}"/>
    <cellStyle name="Normal 5 2 2 2 2 3 10" xfId="25913" xr:uid="{32BD403B-A2A6-4937-8B92-DBAA1C69CEC5}"/>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EAA44488-6947-41F2-B797-1BA2944562C2}"/>
    <cellStyle name="Normal 5 2 2 2 2 3 2 2 2 3" xfId="24241" xr:uid="{22CD8215-919B-49C2-A857-2ADC6F772BC3}"/>
    <cellStyle name="Normal 5 2 2 2 2 3 2 2 2 4" xfId="32688" xr:uid="{DEC0433A-A2E0-4956-ADE5-7E541CF8C03D}"/>
    <cellStyle name="Normal 5 2 2 2 2 3 2 2 3" xfId="11576" xr:uid="{0B9CFCF8-AABD-48D2-B090-36AD013C1CB0}"/>
    <cellStyle name="Normal 5 2 2 2 2 3 2 2 4" xfId="20024" xr:uid="{86D36070-250F-4200-89E3-72D723B4E0AA}"/>
    <cellStyle name="Normal 5 2 2 2 2 3 2 2 5" xfId="28471" xr:uid="{9AEF53EB-6C6E-4B58-B691-8017471101DD}"/>
    <cellStyle name="Normal 5 2 2 2 2 3 2 3" xfId="5199" xr:uid="{00000000-0005-0000-0000-000025170000}"/>
    <cellStyle name="Normal 5 2 2 2 2 3 2 3 2" xfId="13649" xr:uid="{777253C9-CCEB-4565-8591-D9865CC6614A}"/>
    <cellStyle name="Normal 5 2 2 2 2 3 2 3 3" xfId="22096" xr:uid="{202FE8FE-26B0-4574-9FE8-C94358E73FE0}"/>
    <cellStyle name="Normal 5 2 2 2 2 3 2 3 4" xfId="30543" xr:uid="{842281B7-DE33-42EC-BAAD-BC044FE56237}"/>
    <cellStyle name="Normal 5 2 2 2 2 3 2 4" xfId="9431" xr:uid="{6D81DB83-998D-49AC-840C-742B1E2A6699}"/>
    <cellStyle name="Normal 5 2 2 2 2 3 2 5" xfId="17879" xr:uid="{CCD3039F-A43D-4F5A-B10C-0BF4C2CD7163}"/>
    <cellStyle name="Normal 5 2 2 2 2 3 2 6" xfId="26326" xr:uid="{E2625352-E233-4DFD-9CA5-E8E2BB09365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55C8DEDA-2C7E-4298-AA4A-0EC0A2106238}"/>
    <cellStyle name="Normal 5 2 2 2 2 3 3 2 2 3" xfId="24654" xr:uid="{B089B889-A58B-4AF9-BAC0-71343761527D}"/>
    <cellStyle name="Normal 5 2 2 2 2 3 3 2 2 4" xfId="33101" xr:uid="{672A7EC2-3B2C-403D-B813-70C897DDEABD}"/>
    <cellStyle name="Normal 5 2 2 2 2 3 3 2 3" xfId="11989" xr:uid="{4CFC35AC-EDF3-4EBB-B8F6-AFED1378C7B1}"/>
    <cellStyle name="Normal 5 2 2 2 2 3 3 2 4" xfId="20437" xr:uid="{F26B60C2-B064-4D0C-A0F4-F923CD2181F4}"/>
    <cellStyle name="Normal 5 2 2 2 2 3 3 2 5" xfId="28884" xr:uid="{587CDB0F-C192-47B6-A252-8CE139505EF3}"/>
    <cellStyle name="Normal 5 2 2 2 2 3 3 3" xfId="5612" xr:uid="{00000000-0005-0000-0000-000029170000}"/>
    <cellStyle name="Normal 5 2 2 2 2 3 3 3 2" xfId="14062" xr:uid="{0227E654-A8C5-4573-A842-62E45529FD9D}"/>
    <cellStyle name="Normal 5 2 2 2 2 3 3 3 3" xfId="22509" xr:uid="{BBEF813D-C9D8-4F66-9ABF-94AA26A51C3C}"/>
    <cellStyle name="Normal 5 2 2 2 2 3 3 3 4" xfId="30956" xr:uid="{49DA8B3C-C9D7-4C02-A2BC-5739EDDBFB15}"/>
    <cellStyle name="Normal 5 2 2 2 2 3 3 4" xfId="9844" xr:uid="{0033E127-249C-4F3F-B969-0BC334B89786}"/>
    <cellStyle name="Normal 5 2 2 2 2 3 3 5" xfId="18292" xr:uid="{31CCD0F2-8596-4BBB-88F7-77FFCABA602B}"/>
    <cellStyle name="Normal 5 2 2 2 2 3 3 6" xfId="26739" xr:uid="{E5173A17-0A61-4F2E-8B6A-F2EB2EE4494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5C47B464-7F71-4C71-81B0-BA00353A0CAB}"/>
    <cellStyle name="Normal 5 2 2 2 2 3 4 2 2 3" xfId="25067" xr:uid="{1A9ED8B1-CEE4-4108-85A5-1B5E30337FED}"/>
    <cellStyle name="Normal 5 2 2 2 2 3 4 2 2 4" xfId="33514" xr:uid="{355C0444-A876-46E9-B2F8-CD9B68D9409F}"/>
    <cellStyle name="Normal 5 2 2 2 2 3 4 2 3" xfId="12402" xr:uid="{3BBA04F6-76DF-404C-A259-EADDA65EA7E7}"/>
    <cellStyle name="Normal 5 2 2 2 2 3 4 2 4" xfId="20850" xr:uid="{733512E2-7F4D-4779-9D27-8A5C94DFF6CF}"/>
    <cellStyle name="Normal 5 2 2 2 2 3 4 2 5" xfId="29297" xr:uid="{27E5B275-351C-4D55-835E-12541E522992}"/>
    <cellStyle name="Normal 5 2 2 2 2 3 4 3" xfId="6025" xr:uid="{00000000-0005-0000-0000-00002D170000}"/>
    <cellStyle name="Normal 5 2 2 2 2 3 4 3 2" xfId="14475" xr:uid="{42ECFF0B-AAC6-4A58-AF22-5BE82048D527}"/>
    <cellStyle name="Normal 5 2 2 2 2 3 4 3 3" xfId="22922" xr:uid="{B21BD46F-3A62-4871-BFEE-8C66F1E8B04B}"/>
    <cellStyle name="Normal 5 2 2 2 2 3 4 3 4" xfId="31369" xr:uid="{28455A44-4441-4D7B-9DD9-4DDEBF6F602E}"/>
    <cellStyle name="Normal 5 2 2 2 2 3 4 4" xfId="10257" xr:uid="{062B9C72-F6D9-43E0-8024-315FDD692D9F}"/>
    <cellStyle name="Normal 5 2 2 2 2 3 4 5" xfId="18705" xr:uid="{DC178A85-F8E8-4893-A196-2FDEC3987197}"/>
    <cellStyle name="Normal 5 2 2 2 2 3 4 6" xfId="27152" xr:uid="{3D4FF60B-7CD6-4272-8C29-F4A3BB6AD25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1C6D3AA8-0AE1-4024-8D2B-EC5173D356A1}"/>
    <cellStyle name="Normal 5 2 2 2 2 3 5 2 2 3" xfId="25480" xr:uid="{6DCC56EB-1ED2-4715-B5F8-266B938C5039}"/>
    <cellStyle name="Normal 5 2 2 2 2 3 5 2 2 4" xfId="33927" xr:uid="{F8B3952B-3BC6-474E-A2B7-03A0730524DF}"/>
    <cellStyle name="Normal 5 2 2 2 2 3 5 2 3" xfId="12815" xr:uid="{4F271151-B766-496A-BF4E-A79B8BACE05D}"/>
    <cellStyle name="Normal 5 2 2 2 2 3 5 2 4" xfId="21263" xr:uid="{A903ED68-CF9F-4339-A65C-32469999BFEE}"/>
    <cellStyle name="Normal 5 2 2 2 2 3 5 2 5" xfId="29710" xr:uid="{36CD85D4-6E68-4BFA-8DF0-1AC4A3BBA1DF}"/>
    <cellStyle name="Normal 5 2 2 2 2 3 5 3" xfId="6438" xr:uid="{00000000-0005-0000-0000-000031170000}"/>
    <cellStyle name="Normal 5 2 2 2 2 3 5 3 2" xfId="14888" xr:uid="{A12EE81D-CCE3-474B-9FC1-2E8EF3FFE4BE}"/>
    <cellStyle name="Normal 5 2 2 2 2 3 5 3 3" xfId="23335" xr:uid="{6660E842-7E0B-47A4-8099-3D0B885A6D39}"/>
    <cellStyle name="Normal 5 2 2 2 2 3 5 3 4" xfId="31782" xr:uid="{18B27D46-2CF4-4DA7-8386-B6E3CD03A5DA}"/>
    <cellStyle name="Normal 5 2 2 2 2 3 5 4" xfId="10670" xr:uid="{6102F86F-B139-44F5-BDFA-445252EFCE1C}"/>
    <cellStyle name="Normal 5 2 2 2 2 3 5 5" xfId="19118" xr:uid="{72443D56-8A3A-40C2-B3B7-24E18BCA0917}"/>
    <cellStyle name="Normal 5 2 2 2 2 3 5 6" xfId="27565" xr:uid="{9B921299-70D4-4D64-9541-419CA35244FF}"/>
    <cellStyle name="Normal 5 2 2 2 2 3 6" xfId="2568" xr:uid="{00000000-0005-0000-0000-000032170000}"/>
    <cellStyle name="Normal 5 2 2 2 2 3 6 2" xfId="6851" xr:uid="{00000000-0005-0000-0000-000033170000}"/>
    <cellStyle name="Normal 5 2 2 2 2 3 6 2 2" xfId="15301" xr:uid="{7090C7AB-0930-404F-8324-4CC1B4E857B1}"/>
    <cellStyle name="Normal 5 2 2 2 2 3 6 2 3" xfId="23748" xr:uid="{3284D2CA-29F6-4E1B-9628-0F29AA3F76BB}"/>
    <cellStyle name="Normal 5 2 2 2 2 3 6 2 4" xfId="32195" xr:uid="{33ED0BE9-748D-4084-8D2A-DC1485CA8AB5}"/>
    <cellStyle name="Normal 5 2 2 2 2 3 6 3" xfId="11083" xr:uid="{3B673029-0D88-4631-9A8D-4A1C0B48EBCC}"/>
    <cellStyle name="Normal 5 2 2 2 2 3 6 4" xfId="19531" xr:uid="{C5CA0E6A-3577-4BAE-9F8C-45787D9D5646}"/>
    <cellStyle name="Normal 5 2 2 2 2 3 6 5" xfId="27978" xr:uid="{7520810D-FB9C-4BE4-9689-F83237BCFEF2}"/>
    <cellStyle name="Normal 5 2 2 2 2 3 7" xfId="4786" xr:uid="{00000000-0005-0000-0000-000034170000}"/>
    <cellStyle name="Normal 5 2 2 2 2 3 7 2" xfId="13236" xr:uid="{EA145B9A-40F4-40D6-9F4B-02FEAADDC411}"/>
    <cellStyle name="Normal 5 2 2 2 2 3 7 3" xfId="21683" xr:uid="{17E43F4A-4340-4C0F-B249-3490642F8440}"/>
    <cellStyle name="Normal 5 2 2 2 2 3 7 4" xfId="30130" xr:uid="{43D35F8C-6791-4AF3-A911-C450C8182567}"/>
    <cellStyle name="Normal 5 2 2 2 2 3 8" xfId="9018" xr:uid="{710882A6-D8DC-4377-B6F6-5448C2FDADFB}"/>
    <cellStyle name="Normal 5 2 2 2 2 3 9" xfId="17466" xr:uid="{FCB59F81-75EE-432D-9C1E-DC38AEC6900D}"/>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82106A64-790C-45F6-A87D-F05F7CCEC713}"/>
    <cellStyle name="Normal 5 2 2 2 2 4 2 2 3" xfId="24238" xr:uid="{5082DBB9-EAFA-4167-9376-925FA9E0AE3A}"/>
    <cellStyle name="Normal 5 2 2 2 2 4 2 2 4" xfId="32685" xr:uid="{BE6077A7-0E02-4F7C-ACCE-6A40F5BFDB98}"/>
    <cellStyle name="Normal 5 2 2 2 2 4 2 3" xfId="11573" xr:uid="{7CE3DC62-1924-4E21-B1B7-FD0201AFB7CE}"/>
    <cellStyle name="Normal 5 2 2 2 2 4 2 4" xfId="20021" xr:uid="{84AAC7BA-5A04-4283-8468-D0CCE1CF2050}"/>
    <cellStyle name="Normal 5 2 2 2 2 4 2 5" xfId="28468" xr:uid="{AFD94561-00F5-4C9A-AA54-87BE43A91126}"/>
    <cellStyle name="Normal 5 2 2 2 2 4 3" xfId="5196" xr:uid="{00000000-0005-0000-0000-000038170000}"/>
    <cellStyle name="Normal 5 2 2 2 2 4 3 2" xfId="13646" xr:uid="{1965AD1D-DCC4-4874-AB77-3A6B4CD1D9A1}"/>
    <cellStyle name="Normal 5 2 2 2 2 4 3 3" xfId="22093" xr:uid="{2E39D4A0-2894-45A2-988B-CC3E6E1AFDB9}"/>
    <cellStyle name="Normal 5 2 2 2 2 4 3 4" xfId="30540" xr:uid="{442855A0-AE01-4782-901E-883FF129D12E}"/>
    <cellStyle name="Normal 5 2 2 2 2 4 4" xfId="9428" xr:uid="{59E0A149-C4CA-4F1B-9DC5-EE9DC444DF91}"/>
    <cellStyle name="Normal 5 2 2 2 2 4 5" xfId="17876" xr:uid="{F4215690-D78C-4C3D-80C8-15F781797A69}"/>
    <cellStyle name="Normal 5 2 2 2 2 4 6" xfId="26323" xr:uid="{53AA5DC4-1530-48FC-ACE0-C61EAFA2C299}"/>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F82CB848-75D8-4D45-9B34-EEB55A3CAD78}"/>
    <cellStyle name="Normal 5 2 2 2 2 5 2 2 3" xfId="24651" xr:uid="{31A75E11-58D7-498B-8872-4C53C9DFE536}"/>
    <cellStyle name="Normal 5 2 2 2 2 5 2 2 4" xfId="33098" xr:uid="{ACE10FC1-C5D3-4902-BFDF-310CC9F58DF0}"/>
    <cellStyle name="Normal 5 2 2 2 2 5 2 3" xfId="11986" xr:uid="{404ADB2F-6013-4ABD-9346-8274E599453E}"/>
    <cellStyle name="Normal 5 2 2 2 2 5 2 4" xfId="20434" xr:uid="{F888DD9A-77D8-45BE-904C-417A6A1CC182}"/>
    <cellStyle name="Normal 5 2 2 2 2 5 2 5" xfId="28881" xr:uid="{406BEE16-B4DC-446E-BF0F-1108E164F7F4}"/>
    <cellStyle name="Normal 5 2 2 2 2 5 3" xfId="5609" xr:uid="{00000000-0005-0000-0000-00003C170000}"/>
    <cellStyle name="Normal 5 2 2 2 2 5 3 2" xfId="14059" xr:uid="{AD776335-6561-4607-82B5-539A235E554F}"/>
    <cellStyle name="Normal 5 2 2 2 2 5 3 3" xfId="22506" xr:uid="{35B4336D-05C3-43DA-AB9D-6DAC0B16A3BD}"/>
    <cellStyle name="Normal 5 2 2 2 2 5 3 4" xfId="30953" xr:uid="{64D90E74-0778-4120-BD23-E2F28BDDA411}"/>
    <cellStyle name="Normal 5 2 2 2 2 5 4" xfId="9841" xr:uid="{A008DE9A-ADAF-49F5-AFB3-DFA7CB6E665F}"/>
    <cellStyle name="Normal 5 2 2 2 2 5 5" xfId="18289" xr:uid="{4940A51B-520C-49A6-858B-3CE61ACA34C0}"/>
    <cellStyle name="Normal 5 2 2 2 2 5 6" xfId="26736" xr:uid="{BC07F2E3-A7DA-4C60-B5B7-153764C2C65E}"/>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2CBF126B-5EEE-43F9-AE2C-21954A4489BC}"/>
    <cellStyle name="Normal 5 2 2 2 2 6 2 2 3" xfId="25064" xr:uid="{4061EAF8-8679-4DF9-9B96-B112980BD6B1}"/>
    <cellStyle name="Normal 5 2 2 2 2 6 2 2 4" xfId="33511" xr:uid="{5459B692-2DA0-4A42-9349-A6C11B72EAA1}"/>
    <cellStyle name="Normal 5 2 2 2 2 6 2 3" xfId="12399" xr:uid="{A8BF23CB-415A-4BC0-9C47-011C4E9EAE0F}"/>
    <cellStyle name="Normal 5 2 2 2 2 6 2 4" xfId="20847" xr:uid="{A704EF5F-518D-445D-928B-AC971F2C1B62}"/>
    <cellStyle name="Normal 5 2 2 2 2 6 2 5" xfId="29294" xr:uid="{364C76BF-2744-455B-8AE0-69797643CE27}"/>
    <cellStyle name="Normal 5 2 2 2 2 6 3" xfId="6022" xr:uid="{00000000-0005-0000-0000-000040170000}"/>
    <cellStyle name="Normal 5 2 2 2 2 6 3 2" xfId="14472" xr:uid="{C33C73D7-C4F4-48CE-808F-BE58368521F0}"/>
    <cellStyle name="Normal 5 2 2 2 2 6 3 3" xfId="22919" xr:uid="{572E3A7E-C617-41A8-81BA-D9144E221806}"/>
    <cellStyle name="Normal 5 2 2 2 2 6 3 4" xfId="31366" xr:uid="{8F30E9C0-C687-47A7-9533-DAC32BA3C171}"/>
    <cellStyle name="Normal 5 2 2 2 2 6 4" xfId="10254" xr:uid="{558F6460-C293-4C44-96B4-CD0CBB75C848}"/>
    <cellStyle name="Normal 5 2 2 2 2 6 5" xfId="18702" xr:uid="{9AFE08D1-DCCE-4FC9-AA83-7A590EE0574E}"/>
    <cellStyle name="Normal 5 2 2 2 2 6 6" xfId="27149" xr:uid="{694E9A53-87B1-42F9-A5C0-3BBC77403B2D}"/>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19815654-B3E8-4705-8E2D-ED98725B45A7}"/>
    <cellStyle name="Normal 5 2 2 2 2 7 2 2 3" xfId="25477" xr:uid="{A1E6E106-E183-4C73-B609-8E7E658534EF}"/>
    <cellStyle name="Normal 5 2 2 2 2 7 2 2 4" xfId="33924" xr:uid="{7FA8C009-92FE-4C8C-8217-168935066154}"/>
    <cellStyle name="Normal 5 2 2 2 2 7 2 3" xfId="12812" xr:uid="{F0E08FF7-C64A-4406-8A88-CBEC741A44B5}"/>
    <cellStyle name="Normal 5 2 2 2 2 7 2 4" xfId="21260" xr:uid="{F5EF6289-ED92-409A-B7F9-FFBA40BA9A25}"/>
    <cellStyle name="Normal 5 2 2 2 2 7 2 5" xfId="29707" xr:uid="{FE1ED3FD-3B1B-4B9E-83BD-910885F7F02B}"/>
    <cellStyle name="Normal 5 2 2 2 2 7 3" xfId="6435" xr:uid="{00000000-0005-0000-0000-000044170000}"/>
    <cellStyle name="Normal 5 2 2 2 2 7 3 2" xfId="14885" xr:uid="{1EBAB202-3D38-4412-B23C-168920CA330F}"/>
    <cellStyle name="Normal 5 2 2 2 2 7 3 3" xfId="23332" xr:uid="{E22B42F5-F209-4572-BB39-03B3A8C9282F}"/>
    <cellStyle name="Normal 5 2 2 2 2 7 3 4" xfId="31779" xr:uid="{A1E58E56-5059-46AB-9687-C1807FF819AF}"/>
    <cellStyle name="Normal 5 2 2 2 2 7 4" xfId="10667" xr:uid="{C6D14F04-7368-495D-A992-0E7DFD72E66E}"/>
    <cellStyle name="Normal 5 2 2 2 2 7 5" xfId="19115" xr:uid="{C504682F-94FD-4FB4-997C-32B1EA8FC19D}"/>
    <cellStyle name="Normal 5 2 2 2 2 7 6" xfId="27562" xr:uid="{0F1B0A87-C620-40FC-AB1C-51F1FB081469}"/>
    <cellStyle name="Normal 5 2 2 2 2 8" xfId="2565" xr:uid="{00000000-0005-0000-0000-000045170000}"/>
    <cellStyle name="Normal 5 2 2 2 2 8 2" xfId="6848" xr:uid="{00000000-0005-0000-0000-000046170000}"/>
    <cellStyle name="Normal 5 2 2 2 2 8 2 2" xfId="15298" xr:uid="{FADD74BD-0453-4A92-AD84-06ACC1957677}"/>
    <cellStyle name="Normal 5 2 2 2 2 8 2 3" xfId="23745" xr:uid="{4522751A-D00C-4AAF-B03A-B317432E4820}"/>
    <cellStyle name="Normal 5 2 2 2 2 8 2 4" xfId="32192" xr:uid="{5F5E8972-D540-413D-A3BB-58CE4850F28D}"/>
    <cellStyle name="Normal 5 2 2 2 2 8 3" xfId="11080" xr:uid="{7B87FA42-19D6-40C3-9F82-D51E6B71F7E5}"/>
    <cellStyle name="Normal 5 2 2 2 2 8 4" xfId="19528" xr:uid="{F4CCD26F-E7DF-4C50-8139-B34001F52798}"/>
    <cellStyle name="Normal 5 2 2 2 2 8 5" xfId="27975" xr:uid="{C709B3C6-3864-4ADA-9690-C93FCCFD5B21}"/>
    <cellStyle name="Normal 5 2 2 2 2 9" xfId="4783" xr:uid="{00000000-0005-0000-0000-000047170000}"/>
    <cellStyle name="Normal 5 2 2 2 2 9 2" xfId="13233" xr:uid="{6542EC2D-FDF7-46BD-BB7C-0B73D44DF11A}"/>
    <cellStyle name="Normal 5 2 2 2 2 9 3" xfId="21680" xr:uid="{543721D9-5066-465D-9DC4-FC21346A3812}"/>
    <cellStyle name="Normal 5 2 2 2 2 9 4" xfId="30127" xr:uid="{10264175-BBB9-4894-ABC6-5C23679A0CBE}"/>
    <cellStyle name="Normal 5 2 2 2 3" xfId="414" xr:uid="{00000000-0005-0000-0000-000048170000}"/>
    <cellStyle name="Normal 5 2 2 2 3 10" xfId="17467" xr:uid="{3FF5F957-5142-45B8-9798-B05C9F8B926B}"/>
    <cellStyle name="Normal 5 2 2 2 3 11" xfId="25914" xr:uid="{1DD83FC0-BD78-4BAF-AEBC-C50E45EDC4DA}"/>
    <cellStyle name="Normal 5 2 2 2 3 2" xfId="415" xr:uid="{00000000-0005-0000-0000-000049170000}"/>
    <cellStyle name="Normal 5 2 2 2 3 2 10" xfId="25915" xr:uid="{558F2504-F5CE-4104-B5D5-C4356B07164D}"/>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D83DE44F-DDF4-48FE-BB18-245366D5B701}"/>
    <cellStyle name="Normal 5 2 2 2 3 2 2 2 2 3" xfId="24243" xr:uid="{1761CBC1-2471-4127-808A-6D02F497E164}"/>
    <cellStyle name="Normal 5 2 2 2 3 2 2 2 2 4" xfId="32690" xr:uid="{B18D8959-495B-4551-8E29-C734E5FC9A07}"/>
    <cellStyle name="Normal 5 2 2 2 3 2 2 2 3" xfId="11578" xr:uid="{8992DFA9-1E9B-4495-ACFB-EA16F04271A0}"/>
    <cellStyle name="Normal 5 2 2 2 3 2 2 2 4" xfId="20026" xr:uid="{6D26E8E6-63B1-45F4-B0FD-873734F7B523}"/>
    <cellStyle name="Normal 5 2 2 2 3 2 2 2 5" xfId="28473" xr:uid="{ACD960DE-476C-413C-A794-27CADC12FBEE}"/>
    <cellStyle name="Normal 5 2 2 2 3 2 2 3" xfId="5201" xr:uid="{00000000-0005-0000-0000-00004D170000}"/>
    <cellStyle name="Normal 5 2 2 2 3 2 2 3 2" xfId="13651" xr:uid="{27C40765-4042-4D1C-A9DB-2AAF82948BF2}"/>
    <cellStyle name="Normal 5 2 2 2 3 2 2 3 3" xfId="22098" xr:uid="{C301C995-44D5-40A6-8083-08730393012B}"/>
    <cellStyle name="Normal 5 2 2 2 3 2 2 3 4" xfId="30545" xr:uid="{34E25E4E-69A0-46CB-94AE-3C1D5FF0F47B}"/>
    <cellStyle name="Normal 5 2 2 2 3 2 2 4" xfId="9433" xr:uid="{00BB4741-BE0E-4FFD-A3B3-43AB71B3670C}"/>
    <cellStyle name="Normal 5 2 2 2 3 2 2 5" xfId="17881" xr:uid="{B65D7453-DCF3-4BF2-AEC8-DAA3FBD8B69D}"/>
    <cellStyle name="Normal 5 2 2 2 3 2 2 6" xfId="26328" xr:uid="{B161D3C1-AC10-49C0-B20F-997FCACF836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4A4BAD79-91B5-4491-A23B-4D6FB3E4317E}"/>
    <cellStyle name="Normal 5 2 2 2 3 2 3 2 2 3" xfId="24656" xr:uid="{189EC649-34C9-4B5F-84BD-800FD45185DF}"/>
    <cellStyle name="Normal 5 2 2 2 3 2 3 2 2 4" xfId="33103" xr:uid="{17E204B6-F82D-4C4D-93D3-A27259F1DFC2}"/>
    <cellStyle name="Normal 5 2 2 2 3 2 3 2 3" xfId="11991" xr:uid="{DF999335-229D-4728-8B85-444E25702D22}"/>
    <cellStyle name="Normal 5 2 2 2 3 2 3 2 4" xfId="20439" xr:uid="{43B4E9DE-8CE4-41AF-AC97-2195C87A2A95}"/>
    <cellStyle name="Normal 5 2 2 2 3 2 3 2 5" xfId="28886" xr:uid="{574066C4-3803-42C1-8368-591458BD7966}"/>
    <cellStyle name="Normal 5 2 2 2 3 2 3 3" xfId="5614" xr:uid="{00000000-0005-0000-0000-000051170000}"/>
    <cellStyle name="Normal 5 2 2 2 3 2 3 3 2" xfId="14064" xr:uid="{42864628-D35D-4B3F-BBAA-84997700FA3F}"/>
    <cellStyle name="Normal 5 2 2 2 3 2 3 3 3" xfId="22511" xr:uid="{576FC08E-FD14-49C2-AB08-651266A1AFA6}"/>
    <cellStyle name="Normal 5 2 2 2 3 2 3 3 4" xfId="30958" xr:uid="{21BBBA4A-678A-474A-B573-4E746B64BF56}"/>
    <cellStyle name="Normal 5 2 2 2 3 2 3 4" xfId="9846" xr:uid="{17B5DC49-B7C0-4A8E-AF5C-10D7C71303B9}"/>
    <cellStyle name="Normal 5 2 2 2 3 2 3 5" xfId="18294" xr:uid="{81B40D02-C5B3-4F51-95D6-3AAFD98DDDC0}"/>
    <cellStyle name="Normal 5 2 2 2 3 2 3 6" xfId="26741" xr:uid="{6A8C70F8-D527-4455-9647-932EBE242B6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E94B2A72-E753-444F-BE6E-45C15520AAF1}"/>
    <cellStyle name="Normal 5 2 2 2 3 2 4 2 2 3" xfId="25069" xr:uid="{6FA42E11-ADB6-444F-94A3-D5C7349CF6BE}"/>
    <cellStyle name="Normal 5 2 2 2 3 2 4 2 2 4" xfId="33516" xr:uid="{47A9EB0F-4603-4415-8409-A754B31B6CBA}"/>
    <cellStyle name="Normal 5 2 2 2 3 2 4 2 3" xfId="12404" xr:uid="{F6B2A137-0373-4B23-8FFF-C32822AAE41A}"/>
    <cellStyle name="Normal 5 2 2 2 3 2 4 2 4" xfId="20852" xr:uid="{B9E81B17-CF3E-4402-B896-480AD476B092}"/>
    <cellStyle name="Normal 5 2 2 2 3 2 4 2 5" xfId="29299" xr:uid="{7468BB3E-921D-4089-8944-7B570790FCAC}"/>
    <cellStyle name="Normal 5 2 2 2 3 2 4 3" xfId="6027" xr:uid="{00000000-0005-0000-0000-000055170000}"/>
    <cellStyle name="Normal 5 2 2 2 3 2 4 3 2" xfId="14477" xr:uid="{7CC83B5E-2585-4BFB-9044-3149812E0445}"/>
    <cellStyle name="Normal 5 2 2 2 3 2 4 3 3" xfId="22924" xr:uid="{A436DE63-26AE-4916-BAEB-29811F74553E}"/>
    <cellStyle name="Normal 5 2 2 2 3 2 4 3 4" xfId="31371" xr:uid="{E02E8713-ADBD-4D18-8EAC-93FEBC191C34}"/>
    <cellStyle name="Normal 5 2 2 2 3 2 4 4" xfId="10259" xr:uid="{04A7A654-A97D-442B-A939-FBA0CD9DA317}"/>
    <cellStyle name="Normal 5 2 2 2 3 2 4 5" xfId="18707" xr:uid="{6950F98C-A580-4CD2-AC74-1E578C8D913D}"/>
    <cellStyle name="Normal 5 2 2 2 3 2 4 6" xfId="27154" xr:uid="{BBC7409B-8678-476A-AA08-6FD0F0100E8E}"/>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ECC381D8-2D3A-489D-8959-861E2511B3F9}"/>
    <cellStyle name="Normal 5 2 2 2 3 2 5 2 2 3" xfId="25482" xr:uid="{A378D292-6ACE-4B3F-B3FF-D692262301CE}"/>
    <cellStyle name="Normal 5 2 2 2 3 2 5 2 2 4" xfId="33929" xr:uid="{FAE890AA-C4E4-4647-A305-2806409C9DF6}"/>
    <cellStyle name="Normal 5 2 2 2 3 2 5 2 3" xfId="12817" xr:uid="{2881518A-827C-459F-BA0C-5A04B7DF9379}"/>
    <cellStyle name="Normal 5 2 2 2 3 2 5 2 4" xfId="21265" xr:uid="{DB295E82-9BB4-48FF-8D81-4DE5E7D07EFA}"/>
    <cellStyle name="Normal 5 2 2 2 3 2 5 2 5" xfId="29712" xr:uid="{C311A0D7-D26E-4626-9F75-1152C43C0FF1}"/>
    <cellStyle name="Normal 5 2 2 2 3 2 5 3" xfId="6440" xr:uid="{00000000-0005-0000-0000-000059170000}"/>
    <cellStyle name="Normal 5 2 2 2 3 2 5 3 2" xfId="14890" xr:uid="{C522AF64-978F-4D63-99D8-6EE9A4616F74}"/>
    <cellStyle name="Normal 5 2 2 2 3 2 5 3 3" xfId="23337" xr:uid="{A302DF3C-3644-4D34-992E-7EB3464F1833}"/>
    <cellStyle name="Normal 5 2 2 2 3 2 5 3 4" xfId="31784" xr:uid="{7A9C6203-1DC1-428F-A56B-997231C209F3}"/>
    <cellStyle name="Normal 5 2 2 2 3 2 5 4" xfId="10672" xr:uid="{DBEA309D-680D-4B89-A1EC-3AB491FA00D6}"/>
    <cellStyle name="Normal 5 2 2 2 3 2 5 5" xfId="19120" xr:uid="{D2E41555-6C1B-4B2E-B306-FBDEE5ADDC8A}"/>
    <cellStyle name="Normal 5 2 2 2 3 2 5 6" xfId="27567" xr:uid="{328EAC37-E540-461E-A4BF-928E05EE955F}"/>
    <cellStyle name="Normal 5 2 2 2 3 2 6" xfId="2570" xr:uid="{00000000-0005-0000-0000-00005A170000}"/>
    <cellStyle name="Normal 5 2 2 2 3 2 6 2" xfId="6853" xr:uid="{00000000-0005-0000-0000-00005B170000}"/>
    <cellStyle name="Normal 5 2 2 2 3 2 6 2 2" xfId="15303" xr:uid="{E46903E6-AE63-4195-B610-E7201E7E290E}"/>
    <cellStyle name="Normal 5 2 2 2 3 2 6 2 3" xfId="23750" xr:uid="{A03AE4DB-94E8-466F-985E-2994D642BB01}"/>
    <cellStyle name="Normal 5 2 2 2 3 2 6 2 4" xfId="32197" xr:uid="{0372F776-7781-4748-A592-6F5514A2370A}"/>
    <cellStyle name="Normal 5 2 2 2 3 2 6 3" xfId="11085" xr:uid="{2A775658-9C22-4BA0-A041-B99DEE09BAD0}"/>
    <cellStyle name="Normal 5 2 2 2 3 2 6 4" xfId="19533" xr:uid="{07BFB39D-FF78-4572-9CC2-BF171E85E6E4}"/>
    <cellStyle name="Normal 5 2 2 2 3 2 6 5" xfId="27980" xr:uid="{9BCF0C9F-A1E8-48D0-AB8B-6926ECCD5F0B}"/>
    <cellStyle name="Normal 5 2 2 2 3 2 7" xfId="4788" xr:uid="{00000000-0005-0000-0000-00005C170000}"/>
    <cellStyle name="Normal 5 2 2 2 3 2 7 2" xfId="13238" xr:uid="{2103E759-143C-484F-BC9F-E619CFBEAB6F}"/>
    <cellStyle name="Normal 5 2 2 2 3 2 7 3" xfId="21685" xr:uid="{85997E35-2516-4780-8B1F-E0F5E769B3CE}"/>
    <cellStyle name="Normal 5 2 2 2 3 2 7 4" xfId="30132" xr:uid="{62DFD454-AAFB-49A0-80B0-12743C23E691}"/>
    <cellStyle name="Normal 5 2 2 2 3 2 8" xfId="9020" xr:uid="{F033D09E-81FD-4A51-9F8C-02B5F9347A06}"/>
    <cellStyle name="Normal 5 2 2 2 3 2 9" xfId="17468" xr:uid="{CF0305CF-2AC3-4CC4-BEB6-E3639DF53A6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35894E41-1D6F-4C1A-8C9E-B9C6AD162A29}"/>
    <cellStyle name="Normal 5 2 2 2 3 3 2 2 3" xfId="24242" xr:uid="{94676DD6-CBA4-4698-A9D2-9BC2B7230469}"/>
    <cellStyle name="Normal 5 2 2 2 3 3 2 2 4" xfId="32689" xr:uid="{39737CE8-5DE1-4EED-8C19-02A9E3739508}"/>
    <cellStyle name="Normal 5 2 2 2 3 3 2 3" xfId="11577" xr:uid="{3B54A59A-F63F-46C1-928D-710DD3AE87FC}"/>
    <cellStyle name="Normal 5 2 2 2 3 3 2 4" xfId="20025" xr:uid="{FDCCE6F8-2CF4-4120-9223-76357BF97E44}"/>
    <cellStyle name="Normal 5 2 2 2 3 3 2 5" xfId="28472" xr:uid="{599DB111-71E2-42AB-B06F-49662CBC7D1F}"/>
    <cellStyle name="Normal 5 2 2 2 3 3 3" xfId="5200" xr:uid="{00000000-0005-0000-0000-000060170000}"/>
    <cellStyle name="Normal 5 2 2 2 3 3 3 2" xfId="13650" xr:uid="{41A84C80-C707-43A9-825C-6333D9EBBC81}"/>
    <cellStyle name="Normal 5 2 2 2 3 3 3 3" xfId="22097" xr:uid="{0874E74C-8B2B-47DB-B2BF-463EB2660BCD}"/>
    <cellStyle name="Normal 5 2 2 2 3 3 3 4" xfId="30544" xr:uid="{52FD8F42-0BA3-4528-B4CE-2BE55EFFC913}"/>
    <cellStyle name="Normal 5 2 2 2 3 3 4" xfId="9432" xr:uid="{D7F11154-6AFD-44F7-A654-94A5E51962B3}"/>
    <cellStyle name="Normal 5 2 2 2 3 3 5" xfId="17880" xr:uid="{39034993-2873-4119-AFE8-211339CD7216}"/>
    <cellStyle name="Normal 5 2 2 2 3 3 6" xfId="26327" xr:uid="{4D338FC5-644C-4F60-86DB-FBC1EE31C41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D75B229C-B62D-4AA1-BCAA-AFCC5323F4A9}"/>
    <cellStyle name="Normal 5 2 2 2 3 4 2 2 3" xfId="24655" xr:uid="{DD42094A-8C21-47EB-9D54-CFA0DD626849}"/>
    <cellStyle name="Normal 5 2 2 2 3 4 2 2 4" xfId="33102" xr:uid="{7BEEB3C6-2D06-42DD-B449-B7D9D720EDA2}"/>
    <cellStyle name="Normal 5 2 2 2 3 4 2 3" xfId="11990" xr:uid="{D1BC4FE8-408E-4286-8B62-4CB723417B50}"/>
    <cellStyle name="Normal 5 2 2 2 3 4 2 4" xfId="20438" xr:uid="{0B21304B-49A5-49D5-A18D-A6D797B47553}"/>
    <cellStyle name="Normal 5 2 2 2 3 4 2 5" xfId="28885" xr:uid="{F3DF4970-AEA1-411F-9482-4095A9B68F70}"/>
    <cellStyle name="Normal 5 2 2 2 3 4 3" xfId="5613" xr:uid="{00000000-0005-0000-0000-000064170000}"/>
    <cellStyle name="Normal 5 2 2 2 3 4 3 2" xfId="14063" xr:uid="{7F66FD72-29CA-4951-9999-E57C129129F9}"/>
    <cellStyle name="Normal 5 2 2 2 3 4 3 3" xfId="22510" xr:uid="{25AEF189-E97C-4122-A39D-B0253ABA2B98}"/>
    <cellStyle name="Normal 5 2 2 2 3 4 3 4" xfId="30957" xr:uid="{EC1C648E-E793-4449-B8B0-A6DD067B6D66}"/>
    <cellStyle name="Normal 5 2 2 2 3 4 4" xfId="9845" xr:uid="{EAC3F1FD-2A04-4FCC-9D1D-2707F0D9DD22}"/>
    <cellStyle name="Normal 5 2 2 2 3 4 5" xfId="18293" xr:uid="{7E3A12EF-95BE-4049-85EF-E56038DEE66B}"/>
    <cellStyle name="Normal 5 2 2 2 3 4 6" xfId="26740" xr:uid="{EB4D890E-193B-4868-895E-CCB1ABBB91ED}"/>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8942F218-E679-42EB-A85A-6B6551DA2483}"/>
    <cellStyle name="Normal 5 2 2 2 3 5 2 2 3" xfId="25068" xr:uid="{CEA2C220-6B2C-4CEA-BFC6-7E66B62D4506}"/>
    <cellStyle name="Normal 5 2 2 2 3 5 2 2 4" xfId="33515" xr:uid="{7DBC5FAA-0F0C-47D2-AD9E-54F75649C44B}"/>
    <cellStyle name="Normal 5 2 2 2 3 5 2 3" xfId="12403" xr:uid="{094DBC2D-6212-4654-AA72-FC035915BEE2}"/>
    <cellStyle name="Normal 5 2 2 2 3 5 2 4" xfId="20851" xr:uid="{406C2839-EA65-41FC-ADC1-E8F230C5E8A9}"/>
    <cellStyle name="Normal 5 2 2 2 3 5 2 5" xfId="29298" xr:uid="{DA137690-51E5-4951-ADF8-7B2DC3EBA3A7}"/>
    <cellStyle name="Normal 5 2 2 2 3 5 3" xfId="6026" xr:uid="{00000000-0005-0000-0000-000068170000}"/>
    <cellStyle name="Normal 5 2 2 2 3 5 3 2" xfId="14476" xr:uid="{E4EAB8B7-8B45-40A5-8866-DAA3E0AE4F27}"/>
    <cellStyle name="Normal 5 2 2 2 3 5 3 3" xfId="22923" xr:uid="{7D8F651D-F71E-4D2E-BDB3-9AB4A21A2E34}"/>
    <cellStyle name="Normal 5 2 2 2 3 5 3 4" xfId="31370" xr:uid="{57F31878-AF2C-412C-BBB5-3097E9446811}"/>
    <cellStyle name="Normal 5 2 2 2 3 5 4" xfId="10258" xr:uid="{82178A1D-00EE-411B-882D-9E4D81D7F6DB}"/>
    <cellStyle name="Normal 5 2 2 2 3 5 5" xfId="18706" xr:uid="{4745D5D9-BC50-4B5F-B4FE-D07D64EB163B}"/>
    <cellStyle name="Normal 5 2 2 2 3 5 6" xfId="27153" xr:uid="{BFC6E1ED-AD15-4B0B-8E1B-4CA805D2DA59}"/>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AA64D8EF-4D5F-4418-AF21-F5690A65777B}"/>
    <cellStyle name="Normal 5 2 2 2 3 6 2 2 3" xfId="25481" xr:uid="{663A258D-D813-4F14-9F14-7FEB602D2E72}"/>
    <cellStyle name="Normal 5 2 2 2 3 6 2 2 4" xfId="33928" xr:uid="{C0383E2A-CAAE-4DFE-B8E0-3984F486C688}"/>
    <cellStyle name="Normal 5 2 2 2 3 6 2 3" xfId="12816" xr:uid="{C48FE0DF-3731-4FF2-812E-1E75B4BB06FE}"/>
    <cellStyle name="Normal 5 2 2 2 3 6 2 4" xfId="21264" xr:uid="{B94F8CFC-4FE0-43ED-8B45-699EEF467D34}"/>
    <cellStyle name="Normal 5 2 2 2 3 6 2 5" xfId="29711" xr:uid="{6E247A98-FAB1-4FFE-A50F-3C2A54DB538E}"/>
    <cellStyle name="Normal 5 2 2 2 3 6 3" xfId="6439" xr:uid="{00000000-0005-0000-0000-00006C170000}"/>
    <cellStyle name="Normal 5 2 2 2 3 6 3 2" xfId="14889" xr:uid="{CB35F222-DAA7-4399-BA0B-68FD60C2FAEE}"/>
    <cellStyle name="Normal 5 2 2 2 3 6 3 3" xfId="23336" xr:uid="{D0919519-CC6F-48BB-9235-D69C591A87E8}"/>
    <cellStyle name="Normal 5 2 2 2 3 6 3 4" xfId="31783" xr:uid="{6A0BF699-83BB-4E64-8A9B-EE62FEC591A5}"/>
    <cellStyle name="Normal 5 2 2 2 3 6 4" xfId="10671" xr:uid="{D0711FAC-0BD5-4D3A-AE7B-FC277FEC28EC}"/>
    <cellStyle name="Normal 5 2 2 2 3 6 5" xfId="19119" xr:uid="{8BBD2420-63BC-4234-9BCF-80FEBEF0EBC1}"/>
    <cellStyle name="Normal 5 2 2 2 3 6 6" xfId="27566" xr:uid="{343E8125-C5D6-40A9-9EA5-741E9236EA3A}"/>
    <cellStyle name="Normal 5 2 2 2 3 7" xfId="2569" xr:uid="{00000000-0005-0000-0000-00006D170000}"/>
    <cellStyle name="Normal 5 2 2 2 3 7 2" xfId="6852" xr:uid="{00000000-0005-0000-0000-00006E170000}"/>
    <cellStyle name="Normal 5 2 2 2 3 7 2 2" xfId="15302" xr:uid="{DC8953BF-B1D9-4E9D-BA02-CAA8FA2815CE}"/>
    <cellStyle name="Normal 5 2 2 2 3 7 2 3" xfId="23749" xr:uid="{524C6E67-1F21-4B54-BDB3-325216FD40E8}"/>
    <cellStyle name="Normal 5 2 2 2 3 7 2 4" xfId="32196" xr:uid="{D09EB035-0905-4A06-866C-924A157CAE92}"/>
    <cellStyle name="Normal 5 2 2 2 3 7 3" xfId="11084" xr:uid="{5E9858D9-23FA-46F1-9E50-818521C3E395}"/>
    <cellStyle name="Normal 5 2 2 2 3 7 4" xfId="19532" xr:uid="{2ED40C53-2FB0-4DAA-A8D0-9E736C58AAC3}"/>
    <cellStyle name="Normal 5 2 2 2 3 7 5" xfId="27979" xr:uid="{674A81CB-64BA-47F7-A8A7-4F3153C212DF}"/>
    <cellStyle name="Normal 5 2 2 2 3 8" xfId="4787" xr:uid="{00000000-0005-0000-0000-00006F170000}"/>
    <cellStyle name="Normal 5 2 2 2 3 8 2" xfId="13237" xr:uid="{FDDE74BE-80CF-4B3B-99B2-6A9E39DBB2E1}"/>
    <cellStyle name="Normal 5 2 2 2 3 8 3" xfId="21684" xr:uid="{2E999F4D-0D20-4FFC-B084-E53985BFAF99}"/>
    <cellStyle name="Normal 5 2 2 2 3 8 4" xfId="30131" xr:uid="{033DCF95-A65F-4034-9392-268F3D5FDFF6}"/>
    <cellStyle name="Normal 5 2 2 2 3 9" xfId="9019" xr:uid="{CC42BE75-27D2-4CD7-8530-D15E52861EEA}"/>
    <cellStyle name="Normal 5 2 2 2 4" xfId="416" xr:uid="{00000000-0005-0000-0000-000070170000}"/>
    <cellStyle name="Normal 5 2 2 2 4 10" xfId="25916" xr:uid="{418FCDB6-B951-403B-8DCD-68B6D528673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3ACB8DAD-644E-4E5E-9E0F-F4778A4C0FF4}"/>
    <cellStyle name="Normal 5 2 2 2 4 2 2 2 3" xfId="24244" xr:uid="{AFB80413-33E2-4BF0-98ED-AA4A936DFC70}"/>
    <cellStyle name="Normal 5 2 2 2 4 2 2 2 4" xfId="32691" xr:uid="{74F13C78-C674-4718-9C0A-7CCF5833069D}"/>
    <cellStyle name="Normal 5 2 2 2 4 2 2 3" xfId="11579" xr:uid="{0628EBA3-FBBC-4A68-ACC2-E1CD5DDD762E}"/>
    <cellStyle name="Normal 5 2 2 2 4 2 2 4" xfId="20027" xr:uid="{4FC5279C-560E-41CA-9842-BEA5B0C0A514}"/>
    <cellStyle name="Normal 5 2 2 2 4 2 2 5" xfId="28474" xr:uid="{C9CC2C7B-93D1-45DA-8E23-F8EC3ABA0460}"/>
    <cellStyle name="Normal 5 2 2 2 4 2 3" xfId="5202" xr:uid="{00000000-0005-0000-0000-000074170000}"/>
    <cellStyle name="Normal 5 2 2 2 4 2 3 2" xfId="13652" xr:uid="{944D38D5-7138-45BE-9EED-7866F43902E6}"/>
    <cellStyle name="Normal 5 2 2 2 4 2 3 3" xfId="22099" xr:uid="{CA13B931-9294-4F13-B83A-D9DDBB9D7056}"/>
    <cellStyle name="Normal 5 2 2 2 4 2 3 4" xfId="30546" xr:uid="{EC7243C1-1FE9-4ABD-B6C1-4C190293EE1D}"/>
    <cellStyle name="Normal 5 2 2 2 4 2 4" xfId="9434" xr:uid="{AC14A24C-7FE4-4AF2-8474-BC1A3BC9AD42}"/>
    <cellStyle name="Normal 5 2 2 2 4 2 5" xfId="17882" xr:uid="{4B662C02-F524-4111-B06E-3A647FF6202C}"/>
    <cellStyle name="Normal 5 2 2 2 4 2 6" xfId="26329" xr:uid="{F0561D01-6B0F-457C-B123-D7F261CA8AF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A4D374F7-9BBA-46B6-8FBC-DE3B529B1A6C}"/>
    <cellStyle name="Normal 5 2 2 2 4 3 2 2 3" xfId="24657" xr:uid="{14CB0449-C493-419D-89E3-4B56D82F196D}"/>
    <cellStyle name="Normal 5 2 2 2 4 3 2 2 4" xfId="33104" xr:uid="{BE2AC801-AAA3-4DF0-AC07-611FB3393CF4}"/>
    <cellStyle name="Normal 5 2 2 2 4 3 2 3" xfId="11992" xr:uid="{0E42DBEB-F0C4-4D00-AF24-014D764B8E8A}"/>
    <cellStyle name="Normal 5 2 2 2 4 3 2 4" xfId="20440" xr:uid="{A601E8C0-C975-48C4-9288-AF1E53723314}"/>
    <cellStyle name="Normal 5 2 2 2 4 3 2 5" xfId="28887" xr:uid="{4BB9BC78-3CAA-438C-865F-B26BE654796E}"/>
    <cellStyle name="Normal 5 2 2 2 4 3 3" xfId="5615" xr:uid="{00000000-0005-0000-0000-000078170000}"/>
    <cellStyle name="Normal 5 2 2 2 4 3 3 2" xfId="14065" xr:uid="{279D6FA8-4AD7-4E7E-9AF4-219D816207FE}"/>
    <cellStyle name="Normal 5 2 2 2 4 3 3 3" xfId="22512" xr:uid="{02C82B3C-DE47-4FE4-9EC5-26FDAF69C1E6}"/>
    <cellStyle name="Normal 5 2 2 2 4 3 3 4" xfId="30959" xr:uid="{2E2A193E-D09D-439D-9486-5F6022A378EA}"/>
    <cellStyle name="Normal 5 2 2 2 4 3 4" xfId="9847" xr:uid="{9F42B25F-4CAB-4948-AF87-52EC8C83D8D4}"/>
    <cellStyle name="Normal 5 2 2 2 4 3 5" xfId="18295" xr:uid="{70A5945A-29E2-477A-8BEE-5C163A1AC6DA}"/>
    <cellStyle name="Normal 5 2 2 2 4 3 6" xfId="26742" xr:uid="{95B6B6D3-4B20-4D10-BAC0-BB43619E9733}"/>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21184948-4C2C-454F-9A9B-A6EA5B238CEA}"/>
    <cellStyle name="Normal 5 2 2 2 4 4 2 2 3" xfId="25070" xr:uid="{29CF4455-C711-4B20-88ED-7485EDE7E357}"/>
    <cellStyle name="Normal 5 2 2 2 4 4 2 2 4" xfId="33517" xr:uid="{37659BC6-1949-4076-B494-F59B1136247F}"/>
    <cellStyle name="Normal 5 2 2 2 4 4 2 3" xfId="12405" xr:uid="{27116B9A-89DE-4F8E-AF9D-D060AE1949FE}"/>
    <cellStyle name="Normal 5 2 2 2 4 4 2 4" xfId="20853" xr:uid="{EF44A01D-D071-4FB7-8729-9A3ADD4C7A95}"/>
    <cellStyle name="Normal 5 2 2 2 4 4 2 5" xfId="29300" xr:uid="{18B5FFE2-00B4-4885-872A-00DD0578DC08}"/>
    <cellStyle name="Normal 5 2 2 2 4 4 3" xfId="6028" xr:uid="{00000000-0005-0000-0000-00007C170000}"/>
    <cellStyle name="Normal 5 2 2 2 4 4 3 2" xfId="14478" xr:uid="{14C25219-E997-452B-9E5F-64C847CE43E2}"/>
    <cellStyle name="Normal 5 2 2 2 4 4 3 3" xfId="22925" xr:uid="{B55C8CDF-EAE2-4337-BB40-04BBC7E31F65}"/>
    <cellStyle name="Normal 5 2 2 2 4 4 3 4" xfId="31372" xr:uid="{D64DCB01-21A5-445D-A36A-5F51A693B73A}"/>
    <cellStyle name="Normal 5 2 2 2 4 4 4" xfId="10260" xr:uid="{7B383171-428F-40BC-A647-4442236361BF}"/>
    <cellStyle name="Normal 5 2 2 2 4 4 5" xfId="18708" xr:uid="{00B6E607-88CF-42DD-8371-53D2A0B0B792}"/>
    <cellStyle name="Normal 5 2 2 2 4 4 6" xfId="27155" xr:uid="{A8BA8CD0-A3AC-4536-9066-118A7594479D}"/>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0D19C776-7463-411B-9972-25B0411145D1}"/>
    <cellStyle name="Normal 5 2 2 2 4 5 2 2 3" xfId="25483" xr:uid="{891CAE5E-4389-4DC9-A4E0-CBBAB0BA913F}"/>
    <cellStyle name="Normal 5 2 2 2 4 5 2 2 4" xfId="33930" xr:uid="{37C66E1C-4527-4D1E-924C-13B7D8BA5656}"/>
    <cellStyle name="Normal 5 2 2 2 4 5 2 3" xfId="12818" xr:uid="{396BB472-E535-427C-A455-FF8D533B2641}"/>
    <cellStyle name="Normal 5 2 2 2 4 5 2 4" xfId="21266" xr:uid="{B77F98BB-F1DF-4A04-BFC6-47EAD61FD252}"/>
    <cellStyle name="Normal 5 2 2 2 4 5 2 5" xfId="29713" xr:uid="{97E76203-B3DB-4852-9392-F74DF8316C39}"/>
    <cellStyle name="Normal 5 2 2 2 4 5 3" xfId="6441" xr:uid="{00000000-0005-0000-0000-000080170000}"/>
    <cellStyle name="Normal 5 2 2 2 4 5 3 2" xfId="14891" xr:uid="{8F0F365A-FFAB-43A0-BBA7-857F8FF94E94}"/>
    <cellStyle name="Normal 5 2 2 2 4 5 3 3" xfId="23338" xr:uid="{401C8CB4-0737-43D6-B179-441E7B7CCB1F}"/>
    <cellStyle name="Normal 5 2 2 2 4 5 3 4" xfId="31785" xr:uid="{61660F5E-3114-43F6-8078-CF95966DF39A}"/>
    <cellStyle name="Normal 5 2 2 2 4 5 4" xfId="10673" xr:uid="{60E6BA75-7734-4E2B-A313-BC8B2999D8FC}"/>
    <cellStyle name="Normal 5 2 2 2 4 5 5" xfId="19121" xr:uid="{99BFCFD8-00E8-47CF-8C64-D5027B1FE961}"/>
    <cellStyle name="Normal 5 2 2 2 4 5 6" xfId="27568" xr:uid="{F44C2C3B-127A-41CF-952C-CF3EC156AFCC}"/>
    <cellStyle name="Normal 5 2 2 2 4 6" xfId="2571" xr:uid="{00000000-0005-0000-0000-000081170000}"/>
    <cellStyle name="Normal 5 2 2 2 4 6 2" xfId="6854" xr:uid="{00000000-0005-0000-0000-000082170000}"/>
    <cellStyle name="Normal 5 2 2 2 4 6 2 2" xfId="15304" xr:uid="{04E40FFD-E07A-4CBA-B2E6-D11A5EF28F54}"/>
    <cellStyle name="Normal 5 2 2 2 4 6 2 3" xfId="23751" xr:uid="{AEA4326C-1C20-4777-9896-B093933F91E1}"/>
    <cellStyle name="Normal 5 2 2 2 4 6 2 4" xfId="32198" xr:uid="{8B31BEE9-2079-40C4-B3D2-02173BB89B99}"/>
    <cellStyle name="Normal 5 2 2 2 4 6 3" xfId="11086" xr:uid="{E4856627-CBDE-4F52-9CAE-8B22D11B8595}"/>
    <cellStyle name="Normal 5 2 2 2 4 6 4" xfId="19534" xr:uid="{0CCC67E6-B311-47C4-A40F-13290769D056}"/>
    <cellStyle name="Normal 5 2 2 2 4 6 5" xfId="27981" xr:uid="{5756B976-BA3A-4690-85AB-E3488414A415}"/>
    <cellStyle name="Normal 5 2 2 2 4 7" xfId="4789" xr:uid="{00000000-0005-0000-0000-000083170000}"/>
    <cellStyle name="Normal 5 2 2 2 4 7 2" xfId="13239" xr:uid="{4067AEE3-4D4E-4E3E-98FB-98E57E4791B7}"/>
    <cellStyle name="Normal 5 2 2 2 4 7 3" xfId="21686" xr:uid="{69F44695-B250-42A0-9211-4C18E17F7A6A}"/>
    <cellStyle name="Normal 5 2 2 2 4 7 4" xfId="30133" xr:uid="{E54D144F-7044-4688-B9EF-E450BC0891F3}"/>
    <cellStyle name="Normal 5 2 2 2 4 8" xfId="9021" xr:uid="{56F11310-7487-4742-A3A8-A2224F06283A}"/>
    <cellStyle name="Normal 5 2 2 2 4 9" xfId="17469" xr:uid="{3AEB21AE-8EEF-4403-B29C-CCA8F27AFDA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4935EFFF-A591-445A-B1D8-BD021BE4D8AD}"/>
    <cellStyle name="Normal 5 2 2 2 5 2 2 3" xfId="24237" xr:uid="{765D907D-092E-47DB-9559-B599A149C024}"/>
    <cellStyle name="Normal 5 2 2 2 5 2 2 4" xfId="32684" xr:uid="{3B10FA53-111F-4AC5-A5A9-73DC46FB8D88}"/>
    <cellStyle name="Normal 5 2 2 2 5 2 3" xfId="11572" xr:uid="{70B3131B-0176-493A-A481-FEFE89738A8F}"/>
    <cellStyle name="Normal 5 2 2 2 5 2 4" xfId="20020" xr:uid="{658774A0-1613-48A8-BEB8-061E6AC00897}"/>
    <cellStyle name="Normal 5 2 2 2 5 2 5" xfId="28467" xr:uid="{BB4ABEA2-2C5B-4C42-A36C-B05E14A6D50D}"/>
    <cellStyle name="Normal 5 2 2 2 5 3" xfId="5195" xr:uid="{00000000-0005-0000-0000-000087170000}"/>
    <cellStyle name="Normal 5 2 2 2 5 3 2" xfId="13645" xr:uid="{A3C739CF-48A8-402B-A028-8D17FD19E0E4}"/>
    <cellStyle name="Normal 5 2 2 2 5 3 3" xfId="22092" xr:uid="{F04D7908-9533-45E9-A4FF-772294288A69}"/>
    <cellStyle name="Normal 5 2 2 2 5 3 4" xfId="30539" xr:uid="{707D5A0C-3459-48F6-9866-EF932F3F0395}"/>
    <cellStyle name="Normal 5 2 2 2 5 4" xfId="9427" xr:uid="{3FEEA525-69D7-4B60-94B5-CC43A900A7B4}"/>
    <cellStyle name="Normal 5 2 2 2 5 5" xfId="17875" xr:uid="{319C1F06-CFD1-4D1D-8724-5DF560C74366}"/>
    <cellStyle name="Normal 5 2 2 2 5 6" xfId="26322" xr:uid="{B7BF075B-0C94-41A3-8A8A-DA7F9B8EF6C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67F1D388-C6B3-434B-B161-10BD2E985065}"/>
    <cellStyle name="Normal 5 2 2 2 6 2 2 3" xfId="24650" xr:uid="{18CC1164-47D2-4F83-B696-42E27DA63E0E}"/>
    <cellStyle name="Normal 5 2 2 2 6 2 2 4" xfId="33097" xr:uid="{89D2FD69-E2D4-4360-94C7-59AF51B41D0F}"/>
    <cellStyle name="Normal 5 2 2 2 6 2 3" xfId="11985" xr:uid="{23E6B5DD-ECE6-4503-8413-EAADC32D9713}"/>
    <cellStyle name="Normal 5 2 2 2 6 2 4" xfId="20433" xr:uid="{709922EC-5250-4754-9F08-BFFBE2ADFFF6}"/>
    <cellStyle name="Normal 5 2 2 2 6 2 5" xfId="28880" xr:uid="{C5A6B193-ACA6-4D1B-BF11-622A835C9449}"/>
    <cellStyle name="Normal 5 2 2 2 6 3" xfId="5608" xr:uid="{00000000-0005-0000-0000-00008B170000}"/>
    <cellStyle name="Normal 5 2 2 2 6 3 2" xfId="14058" xr:uid="{80E46B12-E2AA-42D7-A87F-B5A474AF9E49}"/>
    <cellStyle name="Normal 5 2 2 2 6 3 3" xfId="22505" xr:uid="{80C3B6F5-61EC-473E-A0E7-1BB37C09E24E}"/>
    <cellStyle name="Normal 5 2 2 2 6 3 4" xfId="30952" xr:uid="{84B461A1-3EC3-465C-B927-782DFA7C0828}"/>
    <cellStyle name="Normal 5 2 2 2 6 4" xfId="9840" xr:uid="{03FFE191-834B-45B8-AD14-0A77F526B3CE}"/>
    <cellStyle name="Normal 5 2 2 2 6 5" xfId="18288" xr:uid="{DBBEA4A1-F4F0-4F8B-A040-E340B02841B6}"/>
    <cellStyle name="Normal 5 2 2 2 6 6" xfId="26735" xr:uid="{A52CFD49-D350-489C-BDCD-A35EF2D71DDD}"/>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1FBA8175-F842-4270-9797-839B1A1967EA}"/>
    <cellStyle name="Normal 5 2 2 2 7 2 2 3" xfId="25063" xr:uid="{8F642AC5-98C3-4004-9AE9-B0BDE6302314}"/>
    <cellStyle name="Normal 5 2 2 2 7 2 2 4" xfId="33510" xr:uid="{863EAFAA-7F4E-47DC-A01E-DCAA780E24B3}"/>
    <cellStyle name="Normal 5 2 2 2 7 2 3" xfId="12398" xr:uid="{4BAA5421-9EDE-4FA2-B2FE-5A9BC047DA8A}"/>
    <cellStyle name="Normal 5 2 2 2 7 2 4" xfId="20846" xr:uid="{18E5E54E-1F06-49E9-BBCE-765CCA8C9161}"/>
    <cellStyle name="Normal 5 2 2 2 7 2 5" xfId="29293" xr:uid="{E1CC71E4-E441-44FE-8F76-CBDE0C731F03}"/>
    <cellStyle name="Normal 5 2 2 2 7 3" xfId="6021" xr:uid="{00000000-0005-0000-0000-00008F170000}"/>
    <cellStyle name="Normal 5 2 2 2 7 3 2" xfId="14471" xr:uid="{54338406-BA47-45FA-A3B6-6D1173679279}"/>
    <cellStyle name="Normal 5 2 2 2 7 3 3" xfId="22918" xr:uid="{D56B20D6-DA31-4A1E-985F-F358483B5E71}"/>
    <cellStyle name="Normal 5 2 2 2 7 3 4" xfId="31365" xr:uid="{1B2DC60F-5A70-4040-99EB-6E92BEB14466}"/>
    <cellStyle name="Normal 5 2 2 2 7 4" xfId="10253" xr:uid="{C2058527-B561-474E-A07B-9D959ABA3AFC}"/>
    <cellStyle name="Normal 5 2 2 2 7 5" xfId="18701" xr:uid="{77A1A000-F621-4786-88D6-9147E4BE3FC8}"/>
    <cellStyle name="Normal 5 2 2 2 7 6" xfId="27148" xr:uid="{4710F629-B09E-4501-B52F-7FC12004F377}"/>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2E97F4B9-4073-4D5F-8887-33A770FDA48F}"/>
    <cellStyle name="Normal 5 2 2 2 8 2 2 3" xfId="25476" xr:uid="{C5BE6C39-400E-475F-8E20-62D91D46A627}"/>
    <cellStyle name="Normal 5 2 2 2 8 2 2 4" xfId="33923" xr:uid="{D2CA285A-B83F-446E-9715-5BE9B6ABD755}"/>
    <cellStyle name="Normal 5 2 2 2 8 2 3" xfId="12811" xr:uid="{306AEDF0-2494-4A20-AB2E-FF9DFD91FA58}"/>
    <cellStyle name="Normal 5 2 2 2 8 2 4" xfId="21259" xr:uid="{BE100839-5709-45C0-954E-6272BD531D54}"/>
    <cellStyle name="Normal 5 2 2 2 8 2 5" xfId="29706" xr:uid="{D0187420-05D7-4F75-85D6-69D48E766EF1}"/>
    <cellStyle name="Normal 5 2 2 2 8 3" xfId="6434" xr:uid="{00000000-0005-0000-0000-000093170000}"/>
    <cellStyle name="Normal 5 2 2 2 8 3 2" xfId="14884" xr:uid="{8125B950-6EFC-4527-B20C-EBB4E293ACC3}"/>
    <cellStyle name="Normal 5 2 2 2 8 3 3" xfId="23331" xr:uid="{FF4738B8-87C9-4F18-85BC-7809C3A4C465}"/>
    <cellStyle name="Normal 5 2 2 2 8 3 4" xfId="31778" xr:uid="{786F30B7-ED3D-4C83-A6F3-11DC7EAD29AF}"/>
    <cellStyle name="Normal 5 2 2 2 8 4" xfId="10666" xr:uid="{3A5F26FD-9A9E-4CB0-9758-8E6CA0288B6F}"/>
    <cellStyle name="Normal 5 2 2 2 8 5" xfId="19114" xr:uid="{259BC8C8-E934-400E-89D9-967E3A0BB4BE}"/>
    <cellStyle name="Normal 5 2 2 2 8 6" xfId="27561" xr:uid="{E32A183B-CA9F-46E4-BD10-1C6FE8849F71}"/>
    <cellStyle name="Normal 5 2 2 2 9" xfId="2564" xr:uid="{00000000-0005-0000-0000-000094170000}"/>
    <cellStyle name="Normal 5 2 2 2 9 2" xfId="6847" xr:uid="{00000000-0005-0000-0000-000095170000}"/>
    <cellStyle name="Normal 5 2 2 2 9 2 2" xfId="15297" xr:uid="{2FD114DD-05F1-4508-A67A-5577AC51D731}"/>
    <cellStyle name="Normal 5 2 2 2 9 2 3" xfId="23744" xr:uid="{CF0CB132-F247-418D-8D4C-165F8BB3BEAB}"/>
    <cellStyle name="Normal 5 2 2 2 9 2 4" xfId="32191" xr:uid="{EA07AB12-649C-4716-885F-D12A6D63EA96}"/>
    <cellStyle name="Normal 5 2 2 2 9 3" xfId="11079" xr:uid="{F5AFB37F-356C-4A16-BEAC-B9D787B06D10}"/>
    <cellStyle name="Normal 5 2 2 2 9 4" xfId="19527" xr:uid="{5A1CA04E-EEEC-4D96-AD6F-144157B45336}"/>
    <cellStyle name="Normal 5 2 2 2 9 5" xfId="27974" xr:uid="{B2393B4B-E45A-4946-90C6-6CD293FE0A07}"/>
    <cellStyle name="Normal 5 2 2 3" xfId="417" xr:uid="{00000000-0005-0000-0000-000096170000}"/>
    <cellStyle name="Normal 5 2 2 3 10" xfId="9022" xr:uid="{6BF260B7-8877-4685-BC38-C143BD221066}"/>
    <cellStyle name="Normal 5 2 2 3 11" xfId="17470" xr:uid="{E3B1A60D-43BB-4689-A361-3C9C367749B3}"/>
    <cellStyle name="Normal 5 2 2 3 12" xfId="25917" xr:uid="{03F7F2B6-6B89-4B79-B690-DA3CA1B25CFB}"/>
    <cellStyle name="Normal 5 2 2 3 2" xfId="418" xr:uid="{00000000-0005-0000-0000-000097170000}"/>
    <cellStyle name="Normal 5 2 2 3 2 10" xfId="17471" xr:uid="{2E36CE1D-AA2D-4D8D-8A20-7D493FB3E402}"/>
    <cellStyle name="Normal 5 2 2 3 2 11" xfId="25918" xr:uid="{328648D5-5B06-4C28-A78B-3F34D5FD6C70}"/>
    <cellStyle name="Normal 5 2 2 3 2 2" xfId="419" xr:uid="{00000000-0005-0000-0000-000098170000}"/>
    <cellStyle name="Normal 5 2 2 3 2 2 10" xfId="25919" xr:uid="{149D5DE6-6D39-4A9D-A2E6-33C2B8436127}"/>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C7316EE1-3893-4A4C-8020-6AD6EDDFAD5F}"/>
    <cellStyle name="Normal 5 2 2 3 2 2 2 2 2 3" xfId="24247" xr:uid="{B765D3FB-009A-4646-9893-D795509A623B}"/>
    <cellStyle name="Normal 5 2 2 3 2 2 2 2 2 4" xfId="32694" xr:uid="{FD83D429-E12B-4DE3-9C6B-7B54E276DDF1}"/>
    <cellStyle name="Normal 5 2 2 3 2 2 2 2 3" xfId="11582" xr:uid="{4B0FA137-3665-4BBE-910A-9B8D5E00E6B8}"/>
    <cellStyle name="Normal 5 2 2 3 2 2 2 2 4" xfId="20030" xr:uid="{D0751677-E56E-4A06-BA67-346675BD6577}"/>
    <cellStyle name="Normal 5 2 2 3 2 2 2 2 5" xfId="28477" xr:uid="{6BAC0896-10AA-4EC0-B51D-E16AF8F6E35A}"/>
    <cellStyle name="Normal 5 2 2 3 2 2 2 3" xfId="5205" xr:uid="{00000000-0005-0000-0000-00009C170000}"/>
    <cellStyle name="Normal 5 2 2 3 2 2 2 3 2" xfId="13655" xr:uid="{8A5F91EB-8FE5-4ADC-BA1B-024E5037EC1D}"/>
    <cellStyle name="Normal 5 2 2 3 2 2 2 3 3" xfId="22102" xr:uid="{A89E17D2-55B9-4816-B743-1290832FAA4D}"/>
    <cellStyle name="Normal 5 2 2 3 2 2 2 3 4" xfId="30549" xr:uid="{F97A13BC-3DB5-496A-96FE-9C07EF19A795}"/>
    <cellStyle name="Normal 5 2 2 3 2 2 2 4" xfId="9437" xr:uid="{AB0F5365-BC8A-4494-873F-EB7EAEF3EA5A}"/>
    <cellStyle name="Normal 5 2 2 3 2 2 2 5" xfId="17885" xr:uid="{0C34F8FD-B829-4AC0-90DE-AECDD8747C9B}"/>
    <cellStyle name="Normal 5 2 2 3 2 2 2 6" xfId="26332" xr:uid="{B6894EF6-A051-4FC8-88CA-A4655E72F152}"/>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A1C334D0-4189-43A0-8123-9818076C78EC}"/>
    <cellStyle name="Normal 5 2 2 3 2 2 3 2 2 3" xfId="24660" xr:uid="{3443CF6B-D401-4864-8CE6-EF6B12BBB325}"/>
    <cellStyle name="Normal 5 2 2 3 2 2 3 2 2 4" xfId="33107" xr:uid="{6BDEB8CA-F4CE-4986-ABB1-67881C7E79EC}"/>
    <cellStyle name="Normal 5 2 2 3 2 2 3 2 3" xfId="11995" xr:uid="{3BD40C57-B631-4C88-8BB9-D59A88395B83}"/>
    <cellStyle name="Normal 5 2 2 3 2 2 3 2 4" xfId="20443" xr:uid="{18EE85E5-C8A4-48B0-9DFF-730EBF8E0164}"/>
    <cellStyle name="Normal 5 2 2 3 2 2 3 2 5" xfId="28890" xr:uid="{FD7A739F-7171-44EC-B53D-7F5122C4A952}"/>
    <cellStyle name="Normal 5 2 2 3 2 2 3 3" xfId="5618" xr:uid="{00000000-0005-0000-0000-0000A0170000}"/>
    <cellStyle name="Normal 5 2 2 3 2 2 3 3 2" xfId="14068" xr:uid="{64A259D4-46AF-493C-9F6A-A868CF5C4BD9}"/>
    <cellStyle name="Normal 5 2 2 3 2 2 3 3 3" xfId="22515" xr:uid="{1D39A7F3-B381-4ED3-91DC-7E1480A266D5}"/>
    <cellStyle name="Normal 5 2 2 3 2 2 3 3 4" xfId="30962" xr:uid="{901FEBD7-63A9-424E-9FB1-4AEBCA5AB025}"/>
    <cellStyle name="Normal 5 2 2 3 2 2 3 4" xfId="9850" xr:uid="{A188C0A8-821E-4433-B539-7099B803817A}"/>
    <cellStyle name="Normal 5 2 2 3 2 2 3 5" xfId="18298" xr:uid="{427FD1AD-7FF2-48B2-96A9-B9C096C3E8CD}"/>
    <cellStyle name="Normal 5 2 2 3 2 2 3 6" xfId="26745" xr:uid="{504CF701-BFBB-4761-9B1C-48B9AA094671}"/>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5002DFF2-7AA0-4C59-BA3E-A88C6697F656}"/>
    <cellStyle name="Normal 5 2 2 3 2 2 4 2 2 3" xfId="25073" xr:uid="{22F01D5A-C4F7-4F14-8C49-5CBB9804264D}"/>
    <cellStyle name="Normal 5 2 2 3 2 2 4 2 2 4" xfId="33520" xr:uid="{1BFF0E2C-E883-4AA7-A69A-C48EEDD74846}"/>
    <cellStyle name="Normal 5 2 2 3 2 2 4 2 3" xfId="12408" xr:uid="{423A4908-E873-4981-A9E3-498FC53A8C77}"/>
    <cellStyle name="Normal 5 2 2 3 2 2 4 2 4" xfId="20856" xr:uid="{DCE14E35-28F0-4592-B2B0-85ADF9504AA3}"/>
    <cellStyle name="Normal 5 2 2 3 2 2 4 2 5" xfId="29303" xr:uid="{74429F25-F6BE-42B8-AC54-0DF85C841C2B}"/>
    <cellStyle name="Normal 5 2 2 3 2 2 4 3" xfId="6031" xr:uid="{00000000-0005-0000-0000-0000A4170000}"/>
    <cellStyle name="Normal 5 2 2 3 2 2 4 3 2" xfId="14481" xr:uid="{5B998931-D16D-457A-AF50-BCFAE8FA3F0F}"/>
    <cellStyle name="Normal 5 2 2 3 2 2 4 3 3" xfId="22928" xr:uid="{D0EB29EE-06E3-4C42-97DC-733C5EEE0908}"/>
    <cellStyle name="Normal 5 2 2 3 2 2 4 3 4" xfId="31375" xr:uid="{614F8237-150B-4EAC-A468-929B1A1DD49D}"/>
    <cellStyle name="Normal 5 2 2 3 2 2 4 4" xfId="10263" xr:uid="{C6BAE996-97B5-45D6-82E4-C5935A2EB42B}"/>
    <cellStyle name="Normal 5 2 2 3 2 2 4 5" xfId="18711" xr:uid="{0A3ED474-2A91-498C-8106-3C82D874010E}"/>
    <cellStyle name="Normal 5 2 2 3 2 2 4 6" xfId="27158" xr:uid="{11AD58C6-5746-4F99-8194-5AFF9CBC208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97DBE15D-41B2-471C-9A8A-6D39E43E845A}"/>
    <cellStyle name="Normal 5 2 2 3 2 2 5 2 2 3" xfId="25486" xr:uid="{3066B6B4-AFD8-423E-A29F-A5375FDF37C7}"/>
    <cellStyle name="Normal 5 2 2 3 2 2 5 2 2 4" xfId="33933" xr:uid="{46DF7AF0-8472-4461-B680-35A3D743F89F}"/>
    <cellStyle name="Normal 5 2 2 3 2 2 5 2 3" xfId="12821" xr:uid="{45D1FDAE-E541-4553-B188-12FBE28555DD}"/>
    <cellStyle name="Normal 5 2 2 3 2 2 5 2 4" xfId="21269" xr:uid="{3659EE6A-6FC3-4F43-9D7D-E5C06BEAED15}"/>
    <cellStyle name="Normal 5 2 2 3 2 2 5 2 5" xfId="29716" xr:uid="{6354118F-DED6-42AE-8A44-197C9437C46C}"/>
    <cellStyle name="Normal 5 2 2 3 2 2 5 3" xfId="6444" xr:uid="{00000000-0005-0000-0000-0000A8170000}"/>
    <cellStyle name="Normal 5 2 2 3 2 2 5 3 2" xfId="14894" xr:uid="{D6C0EEDC-5A72-42CD-86D4-2DFE15015AAD}"/>
    <cellStyle name="Normal 5 2 2 3 2 2 5 3 3" xfId="23341" xr:uid="{47A64DB8-B57E-4C5B-B492-89622AA8FE03}"/>
    <cellStyle name="Normal 5 2 2 3 2 2 5 3 4" xfId="31788" xr:uid="{D3A65CA9-F362-45CF-A15C-A153E2F92FB1}"/>
    <cellStyle name="Normal 5 2 2 3 2 2 5 4" xfId="10676" xr:uid="{8C8F2CED-C792-425A-90F7-DE780A3451B5}"/>
    <cellStyle name="Normal 5 2 2 3 2 2 5 5" xfId="19124" xr:uid="{3EFC9729-172B-46B7-8E0E-4481CE30998B}"/>
    <cellStyle name="Normal 5 2 2 3 2 2 5 6" xfId="27571" xr:uid="{CCA97F08-BB86-4896-B236-13ABFB4C6634}"/>
    <cellStyle name="Normal 5 2 2 3 2 2 6" xfId="2574" xr:uid="{00000000-0005-0000-0000-0000A9170000}"/>
    <cellStyle name="Normal 5 2 2 3 2 2 6 2" xfId="6857" xr:uid="{00000000-0005-0000-0000-0000AA170000}"/>
    <cellStyle name="Normal 5 2 2 3 2 2 6 2 2" xfId="15307" xr:uid="{DDC5D250-9F5A-42A5-812B-708793AE1414}"/>
    <cellStyle name="Normal 5 2 2 3 2 2 6 2 3" xfId="23754" xr:uid="{7905AD5C-689A-4835-9627-37218A6CC3A6}"/>
    <cellStyle name="Normal 5 2 2 3 2 2 6 2 4" xfId="32201" xr:uid="{88B70D72-4CF1-493F-81FE-9FD0C773DF10}"/>
    <cellStyle name="Normal 5 2 2 3 2 2 6 3" xfId="11089" xr:uid="{A86D0D33-C5A0-4C3E-89AD-F8E8D3FD9AC0}"/>
    <cellStyle name="Normal 5 2 2 3 2 2 6 4" xfId="19537" xr:uid="{68E92801-495A-4986-BCED-9CDE839895EA}"/>
    <cellStyle name="Normal 5 2 2 3 2 2 6 5" xfId="27984" xr:uid="{A22E1BFD-79F2-4B63-9612-652D19448607}"/>
    <cellStyle name="Normal 5 2 2 3 2 2 7" xfId="4792" xr:uid="{00000000-0005-0000-0000-0000AB170000}"/>
    <cellStyle name="Normal 5 2 2 3 2 2 7 2" xfId="13242" xr:uid="{6914810C-AC75-4E62-A10E-307721E45C1A}"/>
    <cellStyle name="Normal 5 2 2 3 2 2 7 3" xfId="21689" xr:uid="{6EE739FB-A506-436E-AAB4-F5117258FD84}"/>
    <cellStyle name="Normal 5 2 2 3 2 2 7 4" xfId="30136" xr:uid="{00ED7830-7901-485B-88AD-63879E37E6A9}"/>
    <cellStyle name="Normal 5 2 2 3 2 2 8" xfId="9024" xr:uid="{341676D5-6378-49EA-9282-9B4E71C45809}"/>
    <cellStyle name="Normal 5 2 2 3 2 2 9" xfId="17472" xr:uid="{A55B2F74-6B43-42F5-BC4B-B290C83CCA79}"/>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F2BB1D70-2616-4957-AD10-1F255CC47C8B}"/>
    <cellStyle name="Normal 5 2 2 3 2 3 2 2 3" xfId="24246" xr:uid="{E21930F2-1012-44A8-9D0F-A8A34AE496CF}"/>
    <cellStyle name="Normal 5 2 2 3 2 3 2 2 4" xfId="32693" xr:uid="{E156D3A3-00E2-44CA-80D5-594441302B05}"/>
    <cellStyle name="Normal 5 2 2 3 2 3 2 3" xfId="11581" xr:uid="{F2508A9B-595A-42BE-9E93-6ACE71382CCE}"/>
    <cellStyle name="Normal 5 2 2 3 2 3 2 4" xfId="20029" xr:uid="{BFC44911-28D1-4DFC-B8B9-19ADC757612C}"/>
    <cellStyle name="Normal 5 2 2 3 2 3 2 5" xfId="28476" xr:uid="{8B1E36B3-F945-483F-9BDC-BEF3169BC0D5}"/>
    <cellStyle name="Normal 5 2 2 3 2 3 3" xfId="5204" xr:uid="{00000000-0005-0000-0000-0000AF170000}"/>
    <cellStyle name="Normal 5 2 2 3 2 3 3 2" xfId="13654" xr:uid="{E258CF3F-0B17-4D3A-9272-A71E090AE400}"/>
    <cellStyle name="Normal 5 2 2 3 2 3 3 3" xfId="22101" xr:uid="{D6C94341-6F4D-4CCA-A112-BF11E66188D4}"/>
    <cellStyle name="Normal 5 2 2 3 2 3 3 4" xfId="30548" xr:uid="{BE091C50-1644-4308-9BC8-499A13184787}"/>
    <cellStyle name="Normal 5 2 2 3 2 3 4" xfId="9436" xr:uid="{70A2BA4E-0283-431C-8876-F58A8109E30D}"/>
    <cellStyle name="Normal 5 2 2 3 2 3 5" xfId="17884" xr:uid="{CC82D978-8FA9-4444-A73F-B14466A3BAF6}"/>
    <cellStyle name="Normal 5 2 2 3 2 3 6" xfId="26331" xr:uid="{92D026FC-5019-4B0B-947E-6287F0CA7BF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0309D001-5204-4D3C-899D-CA7780636E7F}"/>
    <cellStyle name="Normal 5 2 2 3 2 4 2 2 3" xfId="24659" xr:uid="{DA735E1C-E97C-487E-82DB-580B3E835508}"/>
    <cellStyle name="Normal 5 2 2 3 2 4 2 2 4" xfId="33106" xr:uid="{1EFC40C5-9975-443C-B70C-857310570A98}"/>
    <cellStyle name="Normal 5 2 2 3 2 4 2 3" xfId="11994" xr:uid="{B7D2F875-3C70-4A20-8867-AF69859C3648}"/>
    <cellStyle name="Normal 5 2 2 3 2 4 2 4" xfId="20442" xr:uid="{B7FFC0E6-3216-4046-B3D6-DE0F4762AAB9}"/>
    <cellStyle name="Normal 5 2 2 3 2 4 2 5" xfId="28889" xr:uid="{A905E967-5412-461A-BBA6-DA360964CB1B}"/>
    <cellStyle name="Normal 5 2 2 3 2 4 3" xfId="5617" xr:uid="{00000000-0005-0000-0000-0000B3170000}"/>
    <cellStyle name="Normal 5 2 2 3 2 4 3 2" xfId="14067" xr:uid="{499279FF-C3D6-4B96-A908-641ECD034DBC}"/>
    <cellStyle name="Normal 5 2 2 3 2 4 3 3" xfId="22514" xr:uid="{6A4A903A-E405-4485-8BD7-012814E4B544}"/>
    <cellStyle name="Normal 5 2 2 3 2 4 3 4" xfId="30961" xr:uid="{04526C78-C4BF-4432-AF6A-8322E093226B}"/>
    <cellStyle name="Normal 5 2 2 3 2 4 4" xfId="9849" xr:uid="{4A6F454C-D292-4DDE-830B-A217DF68ED47}"/>
    <cellStyle name="Normal 5 2 2 3 2 4 5" xfId="18297" xr:uid="{AB2AFFAE-A4D6-40D9-8FF9-67030E8D2CD0}"/>
    <cellStyle name="Normal 5 2 2 3 2 4 6" xfId="26744" xr:uid="{9E89DFDC-5D85-4753-917D-AA568008DEE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902BA9A6-D559-4C93-9CEF-259EDAACFDD0}"/>
    <cellStyle name="Normal 5 2 2 3 2 5 2 2 3" xfId="25072" xr:uid="{5E2C516D-BC83-4108-A11A-7F14C461AD94}"/>
    <cellStyle name="Normal 5 2 2 3 2 5 2 2 4" xfId="33519" xr:uid="{414CCC7D-52E4-46A7-8DD9-AE9E75946FF3}"/>
    <cellStyle name="Normal 5 2 2 3 2 5 2 3" xfId="12407" xr:uid="{DAFD94FF-8A17-4D3B-96B5-BA4AC4E6FDD7}"/>
    <cellStyle name="Normal 5 2 2 3 2 5 2 4" xfId="20855" xr:uid="{8CC51F27-2918-4CA4-9B4B-B0F9EC14758C}"/>
    <cellStyle name="Normal 5 2 2 3 2 5 2 5" xfId="29302" xr:uid="{4BA8C63C-FA0D-4485-9A4B-4ED0EE7F8FFF}"/>
    <cellStyle name="Normal 5 2 2 3 2 5 3" xfId="6030" xr:uid="{00000000-0005-0000-0000-0000B7170000}"/>
    <cellStyle name="Normal 5 2 2 3 2 5 3 2" xfId="14480" xr:uid="{E7D1781B-7543-4833-AEEC-5216C61F9D5E}"/>
    <cellStyle name="Normal 5 2 2 3 2 5 3 3" xfId="22927" xr:uid="{D217E4EE-C6C5-403E-9FB6-12278249AD2F}"/>
    <cellStyle name="Normal 5 2 2 3 2 5 3 4" xfId="31374" xr:uid="{14E57AA7-C9AD-4739-95AE-C22A6912BA51}"/>
    <cellStyle name="Normal 5 2 2 3 2 5 4" xfId="10262" xr:uid="{8C7CC700-A7B3-474E-AB21-40F71B587595}"/>
    <cellStyle name="Normal 5 2 2 3 2 5 5" xfId="18710" xr:uid="{5577144E-EC91-4232-A7FD-2F2C88665B66}"/>
    <cellStyle name="Normal 5 2 2 3 2 5 6" xfId="27157" xr:uid="{DC385FF8-6EE8-49D9-83DB-BCB4E3272626}"/>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2A20C22B-4078-4AE8-B565-33DE223FCF5A}"/>
    <cellStyle name="Normal 5 2 2 3 2 6 2 2 3" xfId="25485" xr:uid="{6C3CF6FE-E234-488A-B65C-DB84A8636C1C}"/>
    <cellStyle name="Normal 5 2 2 3 2 6 2 2 4" xfId="33932" xr:uid="{3FBA5086-722E-401B-BA7C-41795BFC89CA}"/>
    <cellStyle name="Normal 5 2 2 3 2 6 2 3" xfId="12820" xr:uid="{BAB310AD-F85E-49F3-9B24-210F2109C724}"/>
    <cellStyle name="Normal 5 2 2 3 2 6 2 4" xfId="21268" xr:uid="{58803B11-A172-4A77-B822-C0FA88BADF71}"/>
    <cellStyle name="Normal 5 2 2 3 2 6 2 5" xfId="29715" xr:uid="{F7FE6FD5-B197-48E9-952D-C3172BA1B2DA}"/>
    <cellStyle name="Normal 5 2 2 3 2 6 3" xfId="6443" xr:uid="{00000000-0005-0000-0000-0000BB170000}"/>
    <cellStyle name="Normal 5 2 2 3 2 6 3 2" xfId="14893" xr:uid="{DC31FB11-3DB9-470D-B9EA-15D1BB512C02}"/>
    <cellStyle name="Normal 5 2 2 3 2 6 3 3" xfId="23340" xr:uid="{A28CBB39-11DE-4D6B-ACDB-FBEE432D7385}"/>
    <cellStyle name="Normal 5 2 2 3 2 6 3 4" xfId="31787" xr:uid="{B64E2A33-96DF-4944-863D-EF30806C40F5}"/>
    <cellStyle name="Normal 5 2 2 3 2 6 4" xfId="10675" xr:uid="{6317D5ED-BF94-461C-BB57-006095273526}"/>
    <cellStyle name="Normal 5 2 2 3 2 6 5" xfId="19123" xr:uid="{6573AE39-63A9-4B83-A54A-9418CB1CD315}"/>
    <cellStyle name="Normal 5 2 2 3 2 6 6" xfId="27570" xr:uid="{2EAFFC7D-27D3-4D4D-984D-EDB0A6CF1D68}"/>
    <cellStyle name="Normal 5 2 2 3 2 7" xfId="2573" xr:uid="{00000000-0005-0000-0000-0000BC170000}"/>
    <cellStyle name="Normal 5 2 2 3 2 7 2" xfId="6856" xr:uid="{00000000-0005-0000-0000-0000BD170000}"/>
    <cellStyle name="Normal 5 2 2 3 2 7 2 2" xfId="15306" xr:uid="{44185028-E8EC-4738-9C25-1358B17E6373}"/>
    <cellStyle name="Normal 5 2 2 3 2 7 2 3" xfId="23753" xr:uid="{07361C7F-EB1A-4E54-97E4-0FB37CA680B3}"/>
    <cellStyle name="Normal 5 2 2 3 2 7 2 4" xfId="32200" xr:uid="{DA28A795-713B-45FD-85B1-04F502B12FE6}"/>
    <cellStyle name="Normal 5 2 2 3 2 7 3" xfId="11088" xr:uid="{B27947D3-1F87-4C94-8716-FEB6A48B200A}"/>
    <cellStyle name="Normal 5 2 2 3 2 7 4" xfId="19536" xr:uid="{2C2378A7-B1C0-4F2C-B8C5-5677F83C9D2A}"/>
    <cellStyle name="Normal 5 2 2 3 2 7 5" xfId="27983" xr:uid="{49B8D115-BE9A-4635-B14E-CF469EDC970B}"/>
    <cellStyle name="Normal 5 2 2 3 2 8" xfId="4791" xr:uid="{00000000-0005-0000-0000-0000BE170000}"/>
    <cellStyle name="Normal 5 2 2 3 2 8 2" xfId="13241" xr:uid="{16462E1E-CE9B-4D2A-888B-24C3FABD739B}"/>
    <cellStyle name="Normal 5 2 2 3 2 8 3" xfId="21688" xr:uid="{9F590E18-1A03-4423-BBCA-1D52E9DC0DC1}"/>
    <cellStyle name="Normal 5 2 2 3 2 8 4" xfId="30135" xr:uid="{1D90AD2B-6287-4BBF-8223-B7C90D2171FC}"/>
    <cellStyle name="Normal 5 2 2 3 2 9" xfId="9023" xr:uid="{F9399F0C-69E3-465A-87DE-A5CB349B70A3}"/>
    <cellStyle name="Normal 5 2 2 3 3" xfId="420" xr:uid="{00000000-0005-0000-0000-0000BF170000}"/>
    <cellStyle name="Normal 5 2 2 3 3 10" xfId="25920" xr:uid="{8063C696-4D1E-4DEC-A3AF-87EDEAF69358}"/>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B6ABF664-596F-4451-BFE6-42E7C7132A3B}"/>
    <cellStyle name="Normal 5 2 2 3 3 2 2 2 3" xfId="24248" xr:uid="{395F57E1-8FC1-440A-8A50-4BEBF02B64B8}"/>
    <cellStyle name="Normal 5 2 2 3 3 2 2 2 4" xfId="32695" xr:uid="{540C6613-AB7A-4FCC-9492-3CA75E1367C6}"/>
    <cellStyle name="Normal 5 2 2 3 3 2 2 3" xfId="11583" xr:uid="{173126C3-B957-4D3D-929E-B0829C3E0BDE}"/>
    <cellStyle name="Normal 5 2 2 3 3 2 2 4" xfId="20031" xr:uid="{2F4E5E02-2635-42FC-8D7C-9AB11C588A4E}"/>
    <cellStyle name="Normal 5 2 2 3 3 2 2 5" xfId="28478" xr:uid="{ECC1FDD4-6CAE-4729-8EF3-AB7A6B658EC5}"/>
    <cellStyle name="Normal 5 2 2 3 3 2 3" xfId="5206" xr:uid="{00000000-0005-0000-0000-0000C3170000}"/>
    <cellStyle name="Normal 5 2 2 3 3 2 3 2" xfId="13656" xr:uid="{B786C17C-534A-4168-A52B-D6717027BF5D}"/>
    <cellStyle name="Normal 5 2 2 3 3 2 3 3" xfId="22103" xr:uid="{F2245D78-2FE7-4ECF-8457-FF49C5CAB331}"/>
    <cellStyle name="Normal 5 2 2 3 3 2 3 4" xfId="30550" xr:uid="{49777647-6F08-450F-A36E-470B3FE227CE}"/>
    <cellStyle name="Normal 5 2 2 3 3 2 4" xfId="9438" xr:uid="{C2BD22DF-1DB2-4FAB-9EA6-272770975E84}"/>
    <cellStyle name="Normal 5 2 2 3 3 2 5" xfId="17886" xr:uid="{10E25794-A98E-4B39-AF6C-F813BB5D76C0}"/>
    <cellStyle name="Normal 5 2 2 3 3 2 6" xfId="26333" xr:uid="{BDB7E422-72A3-4E64-B4AE-11181DCAD39A}"/>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E71788C4-E60A-4A94-AF99-78F3D777AB7A}"/>
    <cellStyle name="Normal 5 2 2 3 3 3 2 2 3" xfId="24661" xr:uid="{0327993C-CF9A-45A6-A694-0B2B57FB9BBE}"/>
    <cellStyle name="Normal 5 2 2 3 3 3 2 2 4" xfId="33108" xr:uid="{9AC93BA1-E012-4EE1-9260-CEA13F630C1D}"/>
    <cellStyle name="Normal 5 2 2 3 3 3 2 3" xfId="11996" xr:uid="{76AC75D4-49E8-4C16-B59E-8A46407C20F3}"/>
    <cellStyle name="Normal 5 2 2 3 3 3 2 4" xfId="20444" xr:uid="{BC34008C-C812-4AED-8375-789C31F9E35F}"/>
    <cellStyle name="Normal 5 2 2 3 3 3 2 5" xfId="28891" xr:uid="{35069216-B0A1-4BE8-A519-CB02E143DAA5}"/>
    <cellStyle name="Normal 5 2 2 3 3 3 3" xfId="5619" xr:uid="{00000000-0005-0000-0000-0000C7170000}"/>
    <cellStyle name="Normal 5 2 2 3 3 3 3 2" xfId="14069" xr:uid="{BEE3E56A-BE63-4666-B224-6E8F38142A77}"/>
    <cellStyle name="Normal 5 2 2 3 3 3 3 3" xfId="22516" xr:uid="{25D13FE7-8322-47B9-9BB3-95E09F2DE4DB}"/>
    <cellStyle name="Normal 5 2 2 3 3 3 3 4" xfId="30963" xr:uid="{02F35DDC-9D47-42DD-8EC6-12553CCB8077}"/>
    <cellStyle name="Normal 5 2 2 3 3 3 4" xfId="9851" xr:uid="{135120A1-A442-4AF3-BF22-177B02BC0504}"/>
    <cellStyle name="Normal 5 2 2 3 3 3 5" xfId="18299" xr:uid="{5A094661-97E8-4C16-BBDD-B4C86E8DDDEF}"/>
    <cellStyle name="Normal 5 2 2 3 3 3 6" xfId="26746" xr:uid="{F07476D0-864E-41F6-93F1-0513CE10D79F}"/>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9362A375-59DF-42FB-B604-DF6B729833AF}"/>
    <cellStyle name="Normal 5 2 2 3 3 4 2 2 3" xfId="25074" xr:uid="{97C68B64-7053-43DF-A469-19B5777184F6}"/>
    <cellStyle name="Normal 5 2 2 3 3 4 2 2 4" xfId="33521" xr:uid="{BA8077C7-462A-4005-939B-F1C6EF850BC0}"/>
    <cellStyle name="Normal 5 2 2 3 3 4 2 3" xfId="12409" xr:uid="{8685BA16-64ED-4C38-8904-03B5C2A04731}"/>
    <cellStyle name="Normal 5 2 2 3 3 4 2 4" xfId="20857" xr:uid="{382942E8-2B78-42A2-9121-EBA8ACE5DFB4}"/>
    <cellStyle name="Normal 5 2 2 3 3 4 2 5" xfId="29304" xr:uid="{F9AC9B7A-68CF-4E85-BA35-692A4182EBD5}"/>
    <cellStyle name="Normal 5 2 2 3 3 4 3" xfId="6032" xr:uid="{00000000-0005-0000-0000-0000CB170000}"/>
    <cellStyle name="Normal 5 2 2 3 3 4 3 2" xfId="14482" xr:uid="{BF00EDEA-785C-415E-81B9-4B7C876A6A17}"/>
    <cellStyle name="Normal 5 2 2 3 3 4 3 3" xfId="22929" xr:uid="{63CE917F-B907-4B7D-9EEB-8FB32DE14F93}"/>
    <cellStyle name="Normal 5 2 2 3 3 4 3 4" xfId="31376" xr:uid="{9E45FA6D-8338-4C56-A824-A12C0EAF24A0}"/>
    <cellStyle name="Normal 5 2 2 3 3 4 4" xfId="10264" xr:uid="{F681359E-BD3E-43D4-A114-AC3585839B31}"/>
    <cellStyle name="Normal 5 2 2 3 3 4 5" xfId="18712" xr:uid="{795B7FF8-E153-4499-AAC3-32703EE903EE}"/>
    <cellStyle name="Normal 5 2 2 3 3 4 6" xfId="27159" xr:uid="{C14337F0-D2C1-477D-A564-5EA2F24D01FA}"/>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DD308BFE-CCB2-4E5C-888D-F6DEFCE37A69}"/>
    <cellStyle name="Normal 5 2 2 3 3 5 2 2 3" xfId="25487" xr:uid="{AC17AD3E-92B6-4F3F-A08B-24154DD68604}"/>
    <cellStyle name="Normal 5 2 2 3 3 5 2 2 4" xfId="33934" xr:uid="{D2F5B9CF-2CB8-4F69-A9A5-83C4E05A5AF4}"/>
    <cellStyle name="Normal 5 2 2 3 3 5 2 3" xfId="12822" xr:uid="{8E01F9E5-C5F9-468A-BB68-EACF8F407E88}"/>
    <cellStyle name="Normal 5 2 2 3 3 5 2 4" xfId="21270" xr:uid="{3E00F582-A1F8-4DD7-A421-FB6FD5E3B919}"/>
    <cellStyle name="Normal 5 2 2 3 3 5 2 5" xfId="29717" xr:uid="{F06DB6FA-6721-4354-8BCF-B6A607016CF6}"/>
    <cellStyle name="Normal 5 2 2 3 3 5 3" xfId="6445" xr:uid="{00000000-0005-0000-0000-0000CF170000}"/>
    <cellStyle name="Normal 5 2 2 3 3 5 3 2" xfId="14895" xr:uid="{F2BF8477-9E08-45D3-9C22-FD7100C5E260}"/>
    <cellStyle name="Normal 5 2 2 3 3 5 3 3" xfId="23342" xr:uid="{700EDF61-100B-45B8-B491-E4236FF0BD01}"/>
    <cellStyle name="Normal 5 2 2 3 3 5 3 4" xfId="31789" xr:uid="{BDBD86BC-E8DD-4B7C-9233-76AF2A06E012}"/>
    <cellStyle name="Normal 5 2 2 3 3 5 4" xfId="10677" xr:uid="{E40D5D4E-FFA6-4830-9227-01DE1ECED793}"/>
    <cellStyle name="Normal 5 2 2 3 3 5 5" xfId="19125" xr:uid="{B79AC9EE-CEB2-4609-ACE0-C2E442375532}"/>
    <cellStyle name="Normal 5 2 2 3 3 5 6" xfId="27572" xr:uid="{97005C43-2650-44A0-8E54-7E56F36E6739}"/>
    <cellStyle name="Normal 5 2 2 3 3 6" xfId="2575" xr:uid="{00000000-0005-0000-0000-0000D0170000}"/>
    <cellStyle name="Normal 5 2 2 3 3 6 2" xfId="6858" xr:uid="{00000000-0005-0000-0000-0000D1170000}"/>
    <cellStyle name="Normal 5 2 2 3 3 6 2 2" xfId="15308" xr:uid="{6D185E66-0B24-4F66-BC7B-092FF28CADD9}"/>
    <cellStyle name="Normal 5 2 2 3 3 6 2 3" xfId="23755" xr:uid="{9EEC255F-C81B-4774-8BCE-7C4B4A8B8F4A}"/>
    <cellStyle name="Normal 5 2 2 3 3 6 2 4" xfId="32202" xr:uid="{CC0F6F73-1C7F-4E50-B069-4C4EA0F0733B}"/>
    <cellStyle name="Normal 5 2 2 3 3 6 3" xfId="11090" xr:uid="{575DD7E7-34E9-4F9D-93B5-BD3CD4D358E9}"/>
    <cellStyle name="Normal 5 2 2 3 3 6 4" xfId="19538" xr:uid="{A0E85F47-F024-4BC1-99C4-12AD5C31CF87}"/>
    <cellStyle name="Normal 5 2 2 3 3 6 5" xfId="27985" xr:uid="{40019F05-3EE0-46D8-B027-911219C5343D}"/>
    <cellStyle name="Normal 5 2 2 3 3 7" xfId="4793" xr:uid="{00000000-0005-0000-0000-0000D2170000}"/>
    <cellStyle name="Normal 5 2 2 3 3 7 2" xfId="13243" xr:uid="{70490232-28B0-4FF4-835D-EE5DEB6F3B36}"/>
    <cellStyle name="Normal 5 2 2 3 3 7 3" xfId="21690" xr:uid="{F4B553E4-9035-4B24-A23A-3FA8E23309CF}"/>
    <cellStyle name="Normal 5 2 2 3 3 7 4" xfId="30137" xr:uid="{3098DFE3-DC20-4759-9BB1-0B2E7BC386E8}"/>
    <cellStyle name="Normal 5 2 2 3 3 8" xfId="9025" xr:uid="{6425EEC0-886B-4C80-A776-F00B62D7C39A}"/>
    <cellStyle name="Normal 5 2 2 3 3 9" xfId="17473" xr:uid="{E2A7EFCF-998D-431F-B4F5-A3E1E50BB3DC}"/>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C8FF866E-C926-47EE-95BB-C12BAC5D4E3D}"/>
    <cellStyle name="Normal 5 2 2 3 4 2 2 3" xfId="24245" xr:uid="{48696760-D972-4E8E-9F5E-878D1F934B92}"/>
    <cellStyle name="Normal 5 2 2 3 4 2 2 4" xfId="32692" xr:uid="{CEC792E6-178D-44EE-97DE-E3653F1F9E4A}"/>
    <cellStyle name="Normal 5 2 2 3 4 2 3" xfId="11580" xr:uid="{CD4DAEFA-1352-478A-B025-6754E3657C95}"/>
    <cellStyle name="Normal 5 2 2 3 4 2 4" xfId="20028" xr:uid="{FF884C7E-5EEE-41FC-94DA-C1740A97F2C6}"/>
    <cellStyle name="Normal 5 2 2 3 4 2 5" xfId="28475" xr:uid="{9B7E5383-097C-4713-B787-32346B4B5C47}"/>
    <cellStyle name="Normal 5 2 2 3 4 3" xfId="5203" xr:uid="{00000000-0005-0000-0000-0000D6170000}"/>
    <cellStyle name="Normal 5 2 2 3 4 3 2" xfId="13653" xr:uid="{3AFFE297-82BE-4231-BE1D-E357D79CBBBF}"/>
    <cellStyle name="Normal 5 2 2 3 4 3 3" xfId="22100" xr:uid="{1CDAA301-FDCF-459C-BF69-349575F03674}"/>
    <cellStyle name="Normal 5 2 2 3 4 3 4" xfId="30547" xr:uid="{671C88E2-82CD-4863-8486-8B4EB4EB1191}"/>
    <cellStyle name="Normal 5 2 2 3 4 4" xfId="9435" xr:uid="{383EA961-2386-46E4-980B-A392681F37EC}"/>
    <cellStyle name="Normal 5 2 2 3 4 5" xfId="17883" xr:uid="{DEF306C9-3E05-4775-8217-43D935E70EA5}"/>
    <cellStyle name="Normal 5 2 2 3 4 6" xfId="26330" xr:uid="{E4C5CB38-8137-4340-A180-F0DBC6237610}"/>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CDC8997F-5AD4-40BA-9358-914C4B9D88D3}"/>
    <cellStyle name="Normal 5 2 2 3 5 2 2 3" xfId="24658" xr:uid="{26A22FF2-07E8-4BAC-9742-B80EA4B7F6CA}"/>
    <cellStyle name="Normal 5 2 2 3 5 2 2 4" xfId="33105" xr:uid="{F4154EBB-7327-49B9-A6C3-0DBD0440D2D7}"/>
    <cellStyle name="Normal 5 2 2 3 5 2 3" xfId="11993" xr:uid="{9B3C478A-6597-488D-AC92-4BB11E60E4C5}"/>
    <cellStyle name="Normal 5 2 2 3 5 2 4" xfId="20441" xr:uid="{6C6A51B8-C24D-426F-ACB1-44B9FF19BB35}"/>
    <cellStyle name="Normal 5 2 2 3 5 2 5" xfId="28888" xr:uid="{EBAA9F60-D934-4DAA-A8F5-546B6C2D8C5B}"/>
    <cellStyle name="Normal 5 2 2 3 5 3" xfId="5616" xr:uid="{00000000-0005-0000-0000-0000DA170000}"/>
    <cellStyle name="Normal 5 2 2 3 5 3 2" xfId="14066" xr:uid="{4CABE00E-4F83-498E-917A-08DE8E50EE71}"/>
    <cellStyle name="Normal 5 2 2 3 5 3 3" xfId="22513" xr:uid="{EF0312A2-F29B-4627-969D-6CE334E86D64}"/>
    <cellStyle name="Normal 5 2 2 3 5 3 4" xfId="30960" xr:uid="{8F937E65-108A-4261-9DB1-ED1030AE173F}"/>
    <cellStyle name="Normal 5 2 2 3 5 4" xfId="9848" xr:uid="{AB805C12-6D7C-4A80-B68B-70B453D57CBF}"/>
    <cellStyle name="Normal 5 2 2 3 5 5" xfId="18296" xr:uid="{EB249837-0DDD-4DBC-9083-EFD5B7E99226}"/>
    <cellStyle name="Normal 5 2 2 3 5 6" xfId="26743" xr:uid="{2BFC24AC-D8F5-42C7-96F2-B0E9EA6A2E1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42620FAD-288A-4A48-AA39-914A1226F3FD}"/>
    <cellStyle name="Normal 5 2 2 3 6 2 2 3" xfId="25071" xr:uid="{5CDCC9EF-43AF-4F23-A481-A18B833D8CCA}"/>
    <cellStyle name="Normal 5 2 2 3 6 2 2 4" xfId="33518" xr:uid="{798620CB-9F6B-4DFD-9DF9-03A43A233EBB}"/>
    <cellStyle name="Normal 5 2 2 3 6 2 3" xfId="12406" xr:uid="{8BAFE354-2B5C-4EE2-9583-99D7012DF571}"/>
    <cellStyle name="Normal 5 2 2 3 6 2 4" xfId="20854" xr:uid="{F57C128D-FA91-4CA9-9FD7-54CC4FAFB05F}"/>
    <cellStyle name="Normal 5 2 2 3 6 2 5" xfId="29301" xr:uid="{2396C651-20F6-428C-92A8-6F79DFC72F60}"/>
    <cellStyle name="Normal 5 2 2 3 6 3" xfId="6029" xr:uid="{00000000-0005-0000-0000-0000DE170000}"/>
    <cellStyle name="Normal 5 2 2 3 6 3 2" xfId="14479" xr:uid="{983C57EB-DC3D-4676-867B-04BF5849BFC5}"/>
    <cellStyle name="Normal 5 2 2 3 6 3 3" xfId="22926" xr:uid="{77517685-C883-4FBD-A089-8160402BFC33}"/>
    <cellStyle name="Normal 5 2 2 3 6 3 4" xfId="31373" xr:uid="{724D5AAF-38DB-43A0-9E7F-981136863B36}"/>
    <cellStyle name="Normal 5 2 2 3 6 4" xfId="10261" xr:uid="{B2B80707-6FA1-4181-A019-85DC37EAF38B}"/>
    <cellStyle name="Normal 5 2 2 3 6 5" xfId="18709" xr:uid="{EAA6DFDC-5988-4CEC-97CC-3C33DCDD1546}"/>
    <cellStyle name="Normal 5 2 2 3 6 6" xfId="27156" xr:uid="{96206D0D-99BB-4C94-AF4A-027BDFC85A6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09AFC3A7-54F1-437D-B5CE-0E6E1E8DD7CF}"/>
    <cellStyle name="Normal 5 2 2 3 7 2 2 3" xfId="25484" xr:uid="{A44AB69D-D33E-4335-8A33-E529F27110C7}"/>
    <cellStyle name="Normal 5 2 2 3 7 2 2 4" xfId="33931" xr:uid="{83D8E7EB-CA9B-4176-8206-9185FBC72A3F}"/>
    <cellStyle name="Normal 5 2 2 3 7 2 3" xfId="12819" xr:uid="{D93C76A9-272D-4F47-9BF2-3D22FDC6F03A}"/>
    <cellStyle name="Normal 5 2 2 3 7 2 4" xfId="21267" xr:uid="{CA0DA27E-1960-46EE-979A-C0F92BF85ADA}"/>
    <cellStyle name="Normal 5 2 2 3 7 2 5" xfId="29714" xr:uid="{2383B6FD-3C91-4DD2-91E7-F094E1ABBAA5}"/>
    <cellStyle name="Normal 5 2 2 3 7 3" xfId="6442" xr:uid="{00000000-0005-0000-0000-0000E2170000}"/>
    <cellStyle name="Normal 5 2 2 3 7 3 2" xfId="14892" xr:uid="{1EED94C8-6C75-4711-9724-B8C8F8051E80}"/>
    <cellStyle name="Normal 5 2 2 3 7 3 3" xfId="23339" xr:uid="{E4B6F187-F033-4AC1-81E2-9894C61DC8DB}"/>
    <cellStyle name="Normal 5 2 2 3 7 3 4" xfId="31786" xr:uid="{FC9C7A16-FDB7-4DFF-9271-71C47A814BEB}"/>
    <cellStyle name="Normal 5 2 2 3 7 4" xfId="10674" xr:uid="{5D3AABAF-77E4-49C5-86AF-B1B060F8BAF0}"/>
    <cellStyle name="Normal 5 2 2 3 7 5" xfId="19122" xr:uid="{014E4B20-55E1-48F8-862E-3691909F57A2}"/>
    <cellStyle name="Normal 5 2 2 3 7 6" xfId="27569" xr:uid="{7213C914-7EDB-44B2-A58A-D9376F74B351}"/>
    <cellStyle name="Normal 5 2 2 3 8" xfId="2572" xr:uid="{00000000-0005-0000-0000-0000E3170000}"/>
    <cellStyle name="Normal 5 2 2 3 8 2" xfId="6855" xr:uid="{00000000-0005-0000-0000-0000E4170000}"/>
    <cellStyle name="Normal 5 2 2 3 8 2 2" xfId="15305" xr:uid="{B4D1009D-A224-4329-9EEC-D007A50A91B8}"/>
    <cellStyle name="Normal 5 2 2 3 8 2 3" xfId="23752" xr:uid="{A32EF5C3-4983-491C-880A-DB0120F60ACC}"/>
    <cellStyle name="Normal 5 2 2 3 8 2 4" xfId="32199" xr:uid="{ECFD7415-3E2F-4CA8-9CD0-052FE2B7A9A4}"/>
    <cellStyle name="Normal 5 2 2 3 8 3" xfId="11087" xr:uid="{EAC11648-979B-4BF0-9A47-58BF98D7DB8D}"/>
    <cellStyle name="Normal 5 2 2 3 8 4" xfId="19535" xr:uid="{ED729CC0-9B88-479E-8B73-8F08ABE91EB1}"/>
    <cellStyle name="Normal 5 2 2 3 8 5" xfId="27982" xr:uid="{A3F0EA44-17F1-4F3C-BAB3-604C02E7ACE6}"/>
    <cellStyle name="Normal 5 2 2 3 9" xfId="4790" xr:uid="{00000000-0005-0000-0000-0000E5170000}"/>
    <cellStyle name="Normal 5 2 2 3 9 2" xfId="13240" xr:uid="{557AD636-62EE-4F62-B243-5BF48436BE7C}"/>
    <cellStyle name="Normal 5 2 2 3 9 3" xfId="21687" xr:uid="{D9F5570D-B2AB-4963-9EAA-2F01AA9C8B47}"/>
    <cellStyle name="Normal 5 2 2 3 9 4" xfId="30134" xr:uid="{89692835-4CAD-476E-8CE0-03AD53F8E32B}"/>
    <cellStyle name="Normal 5 2 2 4" xfId="421" xr:uid="{00000000-0005-0000-0000-0000E6170000}"/>
    <cellStyle name="Normal 5 2 2 4 10" xfId="17474" xr:uid="{728A18CA-70BD-4ADA-AB77-B6115CC13515}"/>
    <cellStyle name="Normal 5 2 2 4 11" xfId="25921" xr:uid="{331DD2E2-E862-43D6-B5E1-742FE606A8A5}"/>
    <cellStyle name="Normal 5 2 2 4 2" xfId="422" xr:uid="{00000000-0005-0000-0000-0000E7170000}"/>
    <cellStyle name="Normal 5 2 2 4 2 10" xfId="25922" xr:uid="{39E66BDF-A773-4671-9933-7DC0D3001349}"/>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A03A5E60-C56F-422E-A2AD-FDAFA9CA509A}"/>
    <cellStyle name="Normal 5 2 2 4 2 2 2 2 3" xfId="24250" xr:uid="{5C23AFDB-A483-4589-8DF2-90FB6FA5F2B5}"/>
    <cellStyle name="Normal 5 2 2 4 2 2 2 2 4" xfId="32697" xr:uid="{66C6D8C2-2F18-4DAA-AD9D-980CD5EF5B37}"/>
    <cellStyle name="Normal 5 2 2 4 2 2 2 3" xfId="11585" xr:uid="{6709B401-8AB0-4813-896A-91E5D91C1018}"/>
    <cellStyle name="Normal 5 2 2 4 2 2 2 4" xfId="20033" xr:uid="{8A229AC4-857B-43F9-BE34-CB29AC123179}"/>
    <cellStyle name="Normal 5 2 2 4 2 2 2 5" xfId="28480" xr:uid="{3A9B330B-AB7D-4585-B4A6-31E63E337A20}"/>
    <cellStyle name="Normal 5 2 2 4 2 2 3" xfId="5208" xr:uid="{00000000-0005-0000-0000-0000EB170000}"/>
    <cellStyle name="Normal 5 2 2 4 2 2 3 2" xfId="13658" xr:uid="{4495D2C3-A70A-4E5F-B35A-69B78A99CBBA}"/>
    <cellStyle name="Normal 5 2 2 4 2 2 3 3" xfId="22105" xr:uid="{9F45C709-9683-436F-BE3C-D9A18E07CD35}"/>
    <cellStyle name="Normal 5 2 2 4 2 2 3 4" xfId="30552" xr:uid="{4E21F03F-3B96-4725-B5A8-4410F8C3B503}"/>
    <cellStyle name="Normal 5 2 2 4 2 2 4" xfId="9440" xr:uid="{080B0B38-CBE5-4C9A-A906-2FB86EF828CF}"/>
    <cellStyle name="Normal 5 2 2 4 2 2 5" xfId="17888" xr:uid="{3FC418C4-31AF-450A-9DED-A594F0E0782D}"/>
    <cellStyle name="Normal 5 2 2 4 2 2 6" xfId="26335" xr:uid="{73A4B131-33BA-43B1-8F13-DFF5E507931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D561612C-9F95-4FB2-875B-5AF08D9F9F01}"/>
    <cellStyle name="Normal 5 2 2 4 2 3 2 2 3" xfId="24663" xr:uid="{663624B9-D663-4E97-A49D-A86A6D03239F}"/>
    <cellStyle name="Normal 5 2 2 4 2 3 2 2 4" xfId="33110" xr:uid="{1DBA6B5F-45CB-43E1-AB9D-FA7DF69DB41F}"/>
    <cellStyle name="Normal 5 2 2 4 2 3 2 3" xfId="11998" xr:uid="{450F8C11-C087-4FDB-88EB-AC8D201C6124}"/>
    <cellStyle name="Normal 5 2 2 4 2 3 2 4" xfId="20446" xr:uid="{4B0785CF-AE10-4FCF-93D7-D8F12731CB28}"/>
    <cellStyle name="Normal 5 2 2 4 2 3 2 5" xfId="28893" xr:uid="{BD91BEE2-93AD-49AB-8F6A-D1386271EC1B}"/>
    <cellStyle name="Normal 5 2 2 4 2 3 3" xfId="5621" xr:uid="{00000000-0005-0000-0000-0000EF170000}"/>
    <cellStyle name="Normal 5 2 2 4 2 3 3 2" xfId="14071" xr:uid="{3841EDD0-13F4-4E44-BCD7-F65C0E4179C5}"/>
    <cellStyle name="Normal 5 2 2 4 2 3 3 3" xfId="22518" xr:uid="{6FE58329-670E-477A-9C78-F635AAFC5677}"/>
    <cellStyle name="Normal 5 2 2 4 2 3 3 4" xfId="30965" xr:uid="{ECF40004-DD27-4258-B021-404FF0A6C516}"/>
    <cellStyle name="Normal 5 2 2 4 2 3 4" xfId="9853" xr:uid="{13724EC3-0A54-43AC-8F30-CF2F147974E7}"/>
    <cellStyle name="Normal 5 2 2 4 2 3 5" xfId="18301" xr:uid="{12A419F2-71F6-4BB5-95C2-52452B534247}"/>
    <cellStyle name="Normal 5 2 2 4 2 3 6" xfId="26748" xr:uid="{24803F84-4210-4BFE-803D-2BCC331BF0B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DFA26F93-FFDA-441E-A519-EA862532A580}"/>
    <cellStyle name="Normal 5 2 2 4 2 4 2 2 3" xfId="25076" xr:uid="{1584E750-DFC8-4F3F-A50F-0E886FC6372F}"/>
    <cellStyle name="Normal 5 2 2 4 2 4 2 2 4" xfId="33523" xr:uid="{0824E2CB-EE4D-4269-B0F7-D9ABFBB6F326}"/>
    <cellStyle name="Normal 5 2 2 4 2 4 2 3" xfId="12411" xr:uid="{9D8BDCF0-FA28-4F1D-890D-FDF11CDFDC60}"/>
    <cellStyle name="Normal 5 2 2 4 2 4 2 4" xfId="20859" xr:uid="{24A60448-8728-4F80-AC64-9F7A96AC8D53}"/>
    <cellStyle name="Normal 5 2 2 4 2 4 2 5" xfId="29306" xr:uid="{9B266942-8BBB-4022-8C23-54FF6F3C3A01}"/>
    <cellStyle name="Normal 5 2 2 4 2 4 3" xfId="6034" xr:uid="{00000000-0005-0000-0000-0000F3170000}"/>
    <cellStyle name="Normal 5 2 2 4 2 4 3 2" xfId="14484" xr:uid="{39A50920-187A-4902-98AB-B888E9C32A30}"/>
    <cellStyle name="Normal 5 2 2 4 2 4 3 3" xfId="22931" xr:uid="{3512917C-7CC2-41C1-BCC1-A08F3DC1BC55}"/>
    <cellStyle name="Normal 5 2 2 4 2 4 3 4" xfId="31378" xr:uid="{458706C1-D89F-427F-9070-2D9A494C52A6}"/>
    <cellStyle name="Normal 5 2 2 4 2 4 4" xfId="10266" xr:uid="{0D0723B3-7284-469C-8391-39A97612FCBE}"/>
    <cellStyle name="Normal 5 2 2 4 2 4 5" xfId="18714" xr:uid="{BC660F85-D1DD-4678-A663-12B1E9B5E080}"/>
    <cellStyle name="Normal 5 2 2 4 2 4 6" xfId="27161" xr:uid="{FD40B251-58AB-4FA7-8B22-29E0C1DC3FF9}"/>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DAAAF230-8E62-4A9E-9A2F-A6DC3F533039}"/>
    <cellStyle name="Normal 5 2 2 4 2 5 2 2 3" xfId="25489" xr:uid="{CA244CF3-20A9-4EE6-AD3B-111C7B5773B4}"/>
    <cellStyle name="Normal 5 2 2 4 2 5 2 2 4" xfId="33936" xr:uid="{A7D48BBE-7A02-4F63-8411-AB66F6004997}"/>
    <cellStyle name="Normal 5 2 2 4 2 5 2 3" xfId="12824" xr:uid="{C9D60A05-4D20-46F6-BA88-85C7C5764E4E}"/>
    <cellStyle name="Normal 5 2 2 4 2 5 2 4" xfId="21272" xr:uid="{41C586FE-3ACA-4EBC-B083-D05AAC61F67F}"/>
    <cellStyle name="Normal 5 2 2 4 2 5 2 5" xfId="29719" xr:uid="{BDEABCA9-9C16-4E33-865D-EA1A2A3E5377}"/>
    <cellStyle name="Normal 5 2 2 4 2 5 3" xfId="6447" xr:uid="{00000000-0005-0000-0000-0000F7170000}"/>
    <cellStyle name="Normal 5 2 2 4 2 5 3 2" xfId="14897" xr:uid="{2CEC96E6-5665-4A7A-A91C-028302D6896C}"/>
    <cellStyle name="Normal 5 2 2 4 2 5 3 3" xfId="23344" xr:uid="{558C9667-1E80-4FA7-BA4A-B895A10FAACF}"/>
    <cellStyle name="Normal 5 2 2 4 2 5 3 4" xfId="31791" xr:uid="{3B1806C2-EA8A-4C54-BF75-2DB02920C43C}"/>
    <cellStyle name="Normal 5 2 2 4 2 5 4" xfId="10679" xr:uid="{18A04C62-35FE-445C-A374-63CD93228B2C}"/>
    <cellStyle name="Normal 5 2 2 4 2 5 5" xfId="19127" xr:uid="{B04A670D-C04D-4D6B-B55F-A6BC4229853C}"/>
    <cellStyle name="Normal 5 2 2 4 2 5 6" xfId="27574" xr:uid="{6DE31B92-BE8B-4EEC-9D0F-CAA1C33BE1F9}"/>
    <cellStyle name="Normal 5 2 2 4 2 6" xfId="2577" xr:uid="{00000000-0005-0000-0000-0000F8170000}"/>
    <cellStyle name="Normal 5 2 2 4 2 6 2" xfId="6860" xr:uid="{00000000-0005-0000-0000-0000F9170000}"/>
    <cellStyle name="Normal 5 2 2 4 2 6 2 2" xfId="15310" xr:uid="{1544DA1B-1659-4810-98CF-515AFA40E291}"/>
    <cellStyle name="Normal 5 2 2 4 2 6 2 3" xfId="23757" xr:uid="{BD1874B5-1F27-4A7B-8D42-568BC5FF3493}"/>
    <cellStyle name="Normal 5 2 2 4 2 6 2 4" xfId="32204" xr:uid="{FE80DED7-BAE7-4D48-8B2F-CC3C4DDC0AC4}"/>
    <cellStyle name="Normal 5 2 2 4 2 6 3" xfId="11092" xr:uid="{F9502008-BA6C-410C-9BEA-CC6306CF88BC}"/>
    <cellStyle name="Normal 5 2 2 4 2 6 4" xfId="19540" xr:uid="{606F43D8-A9E4-4BE4-A313-83131760F640}"/>
    <cellStyle name="Normal 5 2 2 4 2 6 5" xfId="27987" xr:uid="{01622A7A-F67F-49D3-AFF9-4089AF7EC8A4}"/>
    <cellStyle name="Normal 5 2 2 4 2 7" xfId="4795" xr:uid="{00000000-0005-0000-0000-0000FA170000}"/>
    <cellStyle name="Normal 5 2 2 4 2 7 2" xfId="13245" xr:uid="{4953E32F-32B6-4019-9BBF-8EC1DCC5BB9F}"/>
    <cellStyle name="Normal 5 2 2 4 2 7 3" xfId="21692" xr:uid="{C8C95B28-6FE9-4A2C-86C3-022BBFDF1F87}"/>
    <cellStyle name="Normal 5 2 2 4 2 7 4" xfId="30139" xr:uid="{59A1C535-39C8-4BB8-8DBD-FB7DFCE2FFE6}"/>
    <cellStyle name="Normal 5 2 2 4 2 8" xfId="9027" xr:uid="{ADC1ED97-312F-49A2-9ED5-82A815F38804}"/>
    <cellStyle name="Normal 5 2 2 4 2 9" xfId="17475" xr:uid="{6F7475B8-3E77-465C-9583-EABD6914099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F407763-FB94-49FB-8F55-08F96A621280}"/>
    <cellStyle name="Normal 5 2 2 4 3 2 2 3" xfId="24249" xr:uid="{618083C7-DDF7-49AC-98E3-416CE1E045AA}"/>
    <cellStyle name="Normal 5 2 2 4 3 2 2 4" xfId="32696" xr:uid="{A70E9206-0701-4B0E-A211-A14843EB6C35}"/>
    <cellStyle name="Normal 5 2 2 4 3 2 3" xfId="11584" xr:uid="{2F508251-8E5C-466A-BEB0-03281945D532}"/>
    <cellStyle name="Normal 5 2 2 4 3 2 4" xfId="20032" xr:uid="{BD309694-9EAA-4819-886D-18DB93920702}"/>
    <cellStyle name="Normal 5 2 2 4 3 2 5" xfId="28479" xr:uid="{0E4CABB6-E52C-4147-8E08-B44F6E97C2BF}"/>
    <cellStyle name="Normal 5 2 2 4 3 3" xfId="5207" xr:uid="{00000000-0005-0000-0000-0000FE170000}"/>
    <cellStyle name="Normal 5 2 2 4 3 3 2" xfId="13657" xr:uid="{6912C601-89DA-4BEA-90E0-827ED7204EF3}"/>
    <cellStyle name="Normal 5 2 2 4 3 3 3" xfId="22104" xr:uid="{5EB212B8-B499-4FBB-B30B-0A912386F4E2}"/>
    <cellStyle name="Normal 5 2 2 4 3 3 4" xfId="30551" xr:uid="{748A08ED-564D-43D5-9CB0-6522EB856D64}"/>
    <cellStyle name="Normal 5 2 2 4 3 4" xfId="9439" xr:uid="{082F8CE5-14EF-4418-81EA-FD39A7083A71}"/>
    <cellStyle name="Normal 5 2 2 4 3 5" xfId="17887" xr:uid="{4AF07131-58CF-4724-BAAC-548153920074}"/>
    <cellStyle name="Normal 5 2 2 4 3 6" xfId="26334" xr:uid="{7D8311E5-3429-4104-B199-D00C614DBCAE}"/>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5D183371-3E47-4E2B-A77B-D4CCA545A918}"/>
    <cellStyle name="Normal 5 2 2 4 4 2 2 3" xfId="24662" xr:uid="{5916F0B8-EFA4-4DA3-A087-D8FFD01F1313}"/>
    <cellStyle name="Normal 5 2 2 4 4 2 2 4" xfId="33109" xr:uid="{07EFBEFB-5870-448B-BF9E-E39F7E5C203E}"/>
    <cellStyle name="Normal 5 2 2 4 4 2 3" xfId="11997" xr:uid="{FC3DAC03-572F-4C57-9A81-516BC51DCCB9}"/>
    <cellStyle name="Normal 5 2 2 4 4 2 4" xfId="20445" xr:uid="{8162C2E1-CC65-45E1-8368-507F59C8B4FD}"/>
    <cellStyle name="Normal 5 2 2 4 4 2 5" xfId="28892" xr:uid="{23A3FA1B-7900-4039-AC11-9744716D60AC}"/>
    <cellStyle name="Normal 5 2 2 4 4 3" xfId="5620" xr:uid="{00000000-0005-0000-0000-000002180000}"/>
    <cellStyle name="Normal 5 2 2 4 4 3 2" xfId="14070" xr:uid="{2D2B545C-BCEB-44ED-921C-D82D147D1E6F}"/>
    <cellStyle name="Normal 5 2 2 4 4 3 3" xfId="22517" xr:uid="{B3238BE9-D76A-4A4F-A119-65DD144BF6D0}"/>
    <cellStyle name="Normal 5 2 2 4 4 3 4" xfId="30964" xr:uid="{869BE120-080F-4F5F-BCBC-E43E331C42E3}"/>
    <cellStyle name="Normal 5 2 2 4 4 4" xfId="9852" xr:uid="{7E10D369-6C0E-460E-9B73-56C176536AA2}"/>
    <cellStyle name="Normal 5 2 2 4 4 5" xfId="18300" xr:uid="{B7D0F7D7-816F-4E38-9B29-B09948E3BA4D}"/>
    <cellStyle name="Normal 5 2 2 4 4 6" xfId="26747" xr:uid="{5BBA8DFB-9512-40DB-8613-3CCABA4A874A}"/>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B6D6066C-5094-4191-80A2-5B3AD9203538}"/>
    <cellStyle name="Normal 5 2 2 4 5 2 2 3" xfId="25075" xr:uid="{1F02059C-8223-494B-B003-D67EF51B03FE}"/>
    <cellStyle name="Normal 5 2 2 4 5 2 2 4" xfId="33522" xr:uid="{BC8FFD6F-7AF8-47D9-9BFF-2C4F6061FBE1}"/>
    <cellStyle name="Normal 5 2 2 4 5 2 3" xfId="12410" xr:uid="{552F5BB6-9451-4E1D-A227-85099D39DDD2}"/>
    <cellStyle name="Normal 5 2 2 4 5 2 4" xfId="20858" xr:uid="{6B544FF2-B075-4E57-AEE4-A81CE8AA8C39}"/>
    <cellStyle name="Normal 5 2 2 4 5 2 5" xfId="29305" xr:uid="{823C4534-D9E0-4554-AA43-55534D60C217}"/>
    <cellStyle name="Normal 5 2 2 4 5 3" xfId="6033" xr:uid="{00000000-0005-0000-0000-000006180000}"/>
    <cellStyle name="Normal 5 2 2 4 5 3 2" xfId="14483" xr:uid="{E87F671F-5BDA-4A7D-BD2D-222D5DF63677}"/>
    <cellStyle name="Normal 5 2 2 4 5 3 3" xfId="22930" xr:uid="{D6E733E4-F7EE-4B17-B971-0E05AF2056A1}"/>
    <cellStyle name="Normal 5 2 2 4 5 3 4" xfId="31377" xr:uid="{E3FBCD8C-3C88-41EF-85DA-8AFB95267B36}"/>
    <cellStyle name="Normal 5 2 2 4 5 4" xfId="10265" xr:uid="{F877823E-8D64-47D0-B698-1EFDE08D27E3}"/>
    <cellStyle name="Normal 5 2 2 4 5 5" xfId="18713" xr:uid="{4F2519BB-A140-4263-A144-FBF88DF64CCA}"/>
    <cellStyle name="Normal 5 2 2 4 5 6" xfId="27160" xr:uid="{FF3B2C8D-8ABC-4E92-8181-39738D6A321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9CCD3D63-83F6-482D-884C-CCA0AC5323A8}"/>
    <cellStyle name="Normal 5 2 2 4 6 2 2 3" xfId="25488" xr:uid="{189B210B-C959-4181-8029-5898FA14C63B}"/>
    <cellStyle name="Normal 5 2 2 4 6 2 2 4" xfId="33935" xr:uid="{B8910A9B-07DB-4516-A4F7-B7B2EEF82408}"/>
    <cellStyle name="Normal 5 2 2 4 6 2 3" xfId="12823" xr:uid="{335BDCE2-4E25-48EB-A444-2F825FF526FF}"/>
    <cellStyle name="Normal 5 2 2 4 6 2 4" xfId="21271" xr:uid="{EF885B11-3760-40AF-91F0-BADD663F7926}"/>
    <cellStyle name="Normal 5 2 2 4 6 2 5" xfId="29718" xr:uid="{5C498F52-AE50-48CD-96A4-9A833736FC73}"/>
    <cellStyle name="Normal 5 2 2 4 6 3" xfId="6446" xr:uid="{00000000-0005-0000-0000-00000A180000}"/>
    <cellStyle name="Normal 5 2 2 4 6 3 2" xfId="14896" xr:uid="{A402DCCE-BFFE-4ED8-B41C-6DA46DF57FED}"/>
    <cellStyle name="Normal 5 2 2 4 6 3 3" xfId="23343" xr:uid="{947A0489-5B03-47E5-948D-8F3CFA6E116B}"/>
    <cellStyle name="Normal 5 2 2 4 6 3 4" xfId="31790" xr:uid="{0DF03574-7D63-46AC-AA10-2311118749BE}"/>
    <cellStyle name="Normal 5 2 2 4 6 4" xfId="10678" xr:uid="{7B23AEA2-E59C-4F9F-972C-1DE21F8550B6}"/>
    <cellStyle name="Normal 5 2 2 4 6 5" xfId="19126" xr:uid="{6C9383C3-B5F8-46CE-A68C-3F589147C0C2}"/>
    <cellStyle name="Normal 5 2 2 4 6 6" xfId="27573" xr:uid="{5C9B0F73-1C49-4D3A-950D-CFC123EE401D}"/>
    <cellStyle name="Normal 5 2 2 4 7" xfId="2576" xr:uid="{00000000-0005-0000-0000-00000B180000}"/>
    <cellStyle name="Normal 5 2 2 4 7 2" xfId="6859" xr:uid="{00000000-0005-0000-0000-00000C180000}"/>
    <cellStyle name="Normal 5 2 2 4 7 2 2" xfId="15309" xr:uid="{526685A4-A4FD-46A8-8035-F43930BCC498}"/>
    <cellStyle name="Normal 5 2 2 4 7 2 3" xfId="23756" xr:uid="{70BE6C94-2EA8-4540-8E7B-0D0D28799841}"/>
    <cellStyle name="Normal 5 2 2 4 7 2 4" xfId="32203" xr:uid="{3AEB8174-3E55-4571-9AEC-B67F776456A7}"/>
    <cellStyle name="Normal 5 2 2 4 7 3" xfId="11091" xr:uid="{C6EA3192-BF88-46E2-A06B-6E16EA102D5C}"/>
    <cellStyle name="Normal 5 2 2 4 7 4" xfId="19539" xr:uid="{C9D74910-24CD-4B3A-B756-5DB5069C294E}"/>
    <cellStyle name="Normal 5 2 2 4 7 5" xfId="27986" xr:uid="{248D4573-BADC-4737-A898-8F9673E950AF}"/>
    <cellStyle name="Normal 5 2 2 4 8" xfId="4794" xr:uid="{00000000-0005-0000-0000-00000D180000}"/>
    <cellStyle name="Normal 5 2 2 4 8 2" xfId="13244" xr:uid="{EF62415B-7537-47A2-9D7E-4C7C7972B5B8}"/>
    <cellStyle name="Normal 5 2 2 4 8 3" xfId="21691" xr:uid="{917392C6-66A9-4479-860C-51A310E82BCB}"/>
    <cellStyle name="Normal 5 2 2 4 8 4" xfId="30138" xr:uid="{1E5D2DE5-EDA7-4E4C-AC63-3A6728EBBB69}"/>
    <cellStyle name="Normal 5 2 2 4 9" xfId="9026" xr:uid="{C93FB44E-17A5-4D63-B7CF-CC7BF9870A81}"/>
    <cellStyle name="Normal 5 2 2 5" xfId="423" xr:uid="{00000000-0005-0000-0000-00000E180000}"/>
    <cellStyle name="Normal 5 2 2 5 10" xfId="25923" xr:uid="{C0EC5701-4606-4287-AD14-8E88CA1AE5A8}"/>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BB30810B-E201-466E-B699-4BAAA274EDBE}"/>
    <cellStyle name="Normal 5 2 2 5 2 2 2 3" xfId="24251" xr:uid="{2015F1A6-10BE-45A5-AB4E-F23350DDC909}"/>
    <cellStyle name="Normal 5 2 2 5 2 2 2 4" xfId="32698" xr:uid="{FCA878AB-76A1-4704-B143-2C65A3E6A402}"/>
    <cellStyle name="Normal 5 2 2 5 2 2 3" xfId="11586" xr:uid="{7D58CD31-B012-4B6C-8BF2-31BB41D2F26C}"/>
    <cellStyle name="Normal 5 2 2 5 2 2 4" xfId="20034" xr:uid="{9A183C36-66B8-4874-8551-8EB01E5B7503}"/>
    <cellStyle name="Normal 5 2 2 5 2 2 5" xfId="28481" xr:uid="{C044B44D-C6AB-4731-92E4-4B2EB574F1D8}"/>
    <cellStyle name="Normal 5 2 2 5 2 3" xfId="5209" xr:uid="{00000000-0005-0000-0000-000012180000}"/>
    <cellStyle name="Normal 5 2 2 5 2 3 2" xfId="13659" xr:uid="{769D678B-463A-4684-8E3C-F0CFE9B0F31E}"/>
    <cellStyle name="Normal 5 2 2 5 2 3 3" xfId="22106" xr:uid="{7907625E-EAF5-4DFC-A2FB-6364B9EAEBA7}"/>
    <cellStyle name="Normal 5 2 2 5 2 3 4" xfId="30553" xr:uid="{9B83FFA5-0C48-4F0A-843B-26F0077288ED}"/>
    <cellStyle name="Normal 5 2 2 5 2 4" xfId="9441" xr:uid="{AE8FDF63-3DB6-4E41-A849-753F24A4A244}"/>
    <cellStyle name="Normal 5 2 2 5 2 5" xfId="17889" xr:uid="{83A2EAF8-269A-40B5-9562-CEEB3E0EF7F4}"/>
    <cellStyle name="Normal 5 2 2 5 2 6" xfId="26336" xr:uid="{ECD1F9E5-EB1F-4CC5-9185-9C18161EF1EA}"/>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BAE50155-286C-4040-86B2-6E6213B0E528}"/>
    <cellStyle name="Normal 5 2 2 5 3 2 2 3" xfId="24664" xr:uid="{AE4D11E4-2CD4-4F3A-9F69-41435E12913A}"/>
    <cellStyle name="Normal 5 2 2 5 3 2 2 4" xfId="33111" xr:uid="{7CACBB37-29F1-45A8-B8C7-9BDE033F7BF8}"/>
    <cellStyle name="Normal 5 2 2 5 3 2 3" xfId="11999" xr:uid="{2955F756-0CC5-4A8E-AE44-F7DC602E2E44}"/>
    <cellStyle name="Normal 5 2 2 5 3 2 4" xfId="20447" xr:uid="{2A23831D-1669-435E-ACF4-71A7E2AF7429}"/>
    <cellStyle name="Normal 5 2 2 5 3 2 5" xfId="28894" xr:uid="{B134E235-D427-4CFA-AF82-0C4349A10038}"/>
    <cellStyle name="Normal 5 2 2 5 3 3" xfId="5622" xr:uid="{00000000-0005-0000-0000-000016180000}"/>
    <cellStyle name="Normal 5 2 2 5 3 3 2" xfId="14072" xr:uid="{E7D0A031-6DBF-4EDB-BA66-2FE64CCED9B2}"/>
    <cellStyle name="Normal 5 2 2 5 3 3 3" xfId="22519" xr:uid="{6EC09256-D123-424D-9393-EEB515DDEA44}"/>
    <cellStyle name="Normal 5 2 2 5 3 3 4" xfId="30966" xr:uid="{7F0E6EAE-2298-4AC4-B34E-72F963B0125B}"/>
    <cellStyle name="Normal 5 2 2 5 3 4" xfId="9854" xr:uid="{05CBAFCF-4A28-4D8D-8BFB-163ACE23AD94}"/>
    <cellStyle name="Normal 5 2 2 5 3 5" xfId="18302" xr:uid="{6DAB3D0F-67E2-4CFD-8DBA-FEA3BF47A055}"/>
    <cellStyle name="Normal 5 2 2 5 3 6" xfId="26749" xr:uid="{0632D370-DA1D-44FF-9E86-588116162EE8}"/>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60FD8451-D56F-43D2-9F44-E470DE216B78}"/>
    <cellStyle name="Normal 5 2 2 5 4 2 2 3" xfId="25077" xr:uid="{D71A693C-23D5-475B-8E4E-5D240B46F341}"/>
    <cellStyle name="Normal 5 2 2 5 4 2 2 4" xfId="33524" xr:uid="{1468FE6C-F77C-4E5A-8A4C-67EA5A78636A}"/>
    <cellStyle name="Normal 5 2 2 5 4 2 3" xfId="12412" xr:uid="{B29507FA-0684-4FCE-BB30-769ABD40E675}"/>
    <cellStyle name="Normal 5 2 2 5 4 2 4" xfId="20860" xr:uid="{AC4B03BF-419E-4142-8EE6-4A5460F82D78}"/>
    <cellStyle name="Normal 5 2 2 5 4 2 5" xfId="29307" xr:uid="{9BCDF127-724E-4D80-81C7-264A75CDF0C2}"/>
    <cellStyle name="Normal 5 2 2 5 4 3" xfId="6035" xr:uid="{00000000-0005-0000-0000-00001A180000}"/>
    <cellStyle name="Normal 5 2 2 5 4 3 2" xfId="14485" xr:uid="{5594C8A4-FAAC-4C34-A2DB-5D4EF9A1B682}"/>
    <cellStyle name="Normal 5 2 2 5 4 3 3" xfId="22932" xr:uid="{54FA8C71-D7B6-487F-ABEF-3E919327FE25}"/>
    <cellStyle name="Normal 5 2 2 5 4 3 4" xfId="31379" xr:uid="{D5283917-A6AD-4845-995A-6E2AE49A8ED1}"/>
    <cellStyle name="Normal 5 2 2 5 4 4" xfId="10267" xr:uid="{06A226DD-FBEB-4AD0-881C-0D6A5064D39F}"/>
    <cellStyle name="Normal 5 2 2 5 4 5" xfId="18715" xr:uid="{20864C67-85E5-41FC-9491-5AD9568CE983}"/>
    <cellStyle name="Normal 5 2 2 5 4 6" xfId="27162" xr:uid="{034E122C-F39B-4647-AC68-012EF7A12C14}"/>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ED70DCAA-7DEC-4C9D-8829-51C4028A860A}"/>
    <cellStyle name="Normal 5 2 2 5 5 2 2 3" xfId="25490" xr:uid="{23C5A3B5-183C-405F-9A7B-C11431CCB7C1}"/>
    <cellStyle name="Normal 5 2 2 5 5 2 2 4" xfId="33937" xr:uid="{3821B338-2521-4820-B652-B04929965284}"/>
    <cellStyle name="Normal 5 2 2 5 5 2 3" xfId="12825" xr:uid="{B979CE08-B593-480E-AFCD-8390053CDC49}"/>
    <cellStyle name="Normal 5 2 2 5 5 2 4" xfId="21273" xr:uid="{399CC21D-0FD4-42CB-8D26-B4F9B17B9F44}"/>
    <cellStyle name="Normal 5 2 2 5 5 2 5" xfId="29720" xr:uid="{D6F8C4B9-D7FE-4793-9B70-12CEFB254EBA}"/>
    <cellStyle name="Normal 5 2 2 5 5 3" xfId="6448" xr:uid="{00000000-0005-0000-0000-00001E180000}"/>
    <cellStyle name="Normal 5 2 2 5 5 3 2" xfId="14898" xr:uid="{356FAE82-9784-4D76-8269-3A54D6936ADA}"/>
    <cellStyle name="Normal 5 2 2 5 5 3 3" xfId="23345" xr:uid="{6AE65C6D-BAAE-41EA-AA7D-3021FBB17E06}"/>
    <cellStyle name="Normal 5 2 2 5 5 3 4" xfId="31792" xr:uid="{2CAA0FBF-431D-4D02-B561-C1AC972D153C}"/>
    <cellStyle name="Normal 5 2 2 5 5 4" xfId="10680" xr:uid="{7D88BA15-544D-43CF-A36E-2CE437F42005}"/>
    <cellStyle name="Normal 5 2 2 5 5 5" xfId="19128" xr:uid="{C4990197-E592-4FE7-AEDD-61E05D956000}"/>
    <cellStyle name="Normal 5 2 2 5 5 6" xfId="27575" xr:uid="{2A442A53-A6A3-4E49-AFE0-4CBE9C460288}"/>
    <cellStyle name="Normal 5 2 2 5 6" xfId="2578" xr:uid="{00000000-0005-0000-0000-00001F180000}"/>
    <cellStyle name="Normal 5 2 2 5 6 2" xfId="6861" xr:uid="{00000000-0005-0000-0000-000020180000}"/>
    <cellStyle name="Normal 5 2 2 5 6 2 2" xfId="15311" xr:uid="{3D29063C-80C6-4A0F-97E7-A8DCBEA15156}"/>
    <cellStyle name="Normal 5 2 2 5 6 2 3" xfId="23758" xr:uid="{F9CA64D7-E43D-45F9-ADF1-D9F6A705B236}"/>
    <cellStyle name="Normal 5 2 2 5 6 2 4" xfId="32205" xr:uid="{642B2A0E-B50B-4B79-AA29-49F02A2772EC}"/>
    <cellStyle name="Normal 5 2 2 5 6 3" xfId="11093" xr:uid="{CC5876CB-98E7-46F3-9984-426BE332F327}"/>
    <cellStyle name="Normal 5 2 2 5 6 4" xfId="19541" xr:uid="{20EFA3E2-F40C-4BA9-98A8-0A8233A46AB4}"/>
    <cellStyle name="Normal 5 2 2 5 6 5" xfId="27988" xr:uid="{FB10F518-ED59-4640-898F-E75CA45353AA}"/>
    <cellStyle name="Normal 5 2 2 5 7" xfId="4796" xr:uid="{00000000-0005-0000-0000-000021180000}"/>
    <cellStyle name="Normal 5 2 2 5 7 2" xfId="13246" xr:uid="{E1171CF4-5471-495F-8EA3-DFB48B7DA91D}"/>
    <cellStyle name="Normal 5 2 2 5 7 3" xfId="21693" xr:uid="{90DF6F82-E83E-41B1-9BC3-CB644B7E5FC1}"/>
    <cellStyle name="Normal 5 2 2 5 7 4" xfId="30140" xr:uid="{73891FAF-2B14-424D-8FCF-F7EFB5187193}"/>
    <cellStyle name="Normal 5 2 2 5 8" xfId="9028" xr:uid="{CB39BC17-2438-4431-98CA-E4EDF216F178}"/>
    <cellStyle name="Normal 5 2 2 5 9" xfId="17476" xr:uid="{7B9694E1-0264-43E9-BEE2-8BE2D56843CF}"/>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B431CD83-2362-4868-9A39-01F658A3C8D8}"/>
    <cellStyle name="Normal 5 2 2 6 2 2 3" xfId="24236" xr:uid="{313710BD-47C8-4FB9-8629-4B083A0EF067}"/>
    <cellStyle name="Normal 5 2 2 6 2 2 4" xfId="32683" xr:uid="{D0143053-E165-458E-8136-D8808CC49614}"/>
    <cellStyle name="Normal 5 2 2 6 2 3" xfId="11571" xr:uid="{BF3B6C0F-AD8A-4203-9214-2F2C80FF5682}"/>
    <cellStyle name="Normal 5 2 2 6 2 4" xfId="20019" xr:uid="{14DBE759-FC66-4FFD-B353-4A940636A28E}"/>
    <cellStyle name="Normal 5 2 2 6 2 5" xfId="28466" xr:uid="{F3D1C4A4-64CC-4352-9D71-166F0E3A5778}"/>
    <cellStyle name="Normal 5 2 2 6 3" xfId="5194" xr:uid="{00000000-0005-0000-0000-000025180000}"/>
    <cellStyle name="Normal 5 2 2 6 3 2" xfId="13644" xr:uid="{B836ED9D-F518-49B0-85B8-3831AFF4B6B9}"/>
    <cellStyle name="Normal 5 2 2 6 3 3" xfId="22091" xr:uid="{C5A1F709-E137-4EA8-A93A-9E1841A14619}"/>
    <cellStyle name="Normal 5 2 2 6 3 4" xfId="30538" xr:uid="{CF08383B-63E5-4C37-AE9C-217FCA4A614F}"/>
    <cellStyle name="Normal 5 2 2 6 4" xfId="9426" xr:uid="{452F9267-E529-44D9-8D6A-1DF5B6959884}"/>
    <cellStyle name="Normal 5 2 2 6 5" xfId="17874" xr:uid="{96CF43AB-A370-4177-BD95-699A50CFEB54}"/>
    <cellStyle name="Normal 5 2 2 6 6" xfId="26321" xr:uid="{058665B8-2B79-4A78-AB52-FDEDF30E844C}"/>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8E7B6400-B34F-4F14-A20D-DB71EC3804EC}"/>
    <cellStyle name="Normal 5 2 2 7 2 2 3" xfId="24649" xr:uid="{EA115C6B-87FF-4706-993A-2AED6B1EB30C}"/>
    <cellStyle name="Normal 5 2 2 7 2 2 4" xfId="33096" xr:uid="{592E854C-E88E-46C9-AF44-9EDCA57B5815}"/>
    <cellStyle name="Normal 5 2 2 7 2 3" xfId="11984" xr:uid="{95AE8EC2-2540-4886-9669-ECF8CD2205C9}"/>
    <cellStyle name="Normal 5 2 2 7 2 4" xfId="20432" xr:uid="{16BFD758-364C-42D7-9591-E58907F1257F}"/>
    <cellStyle name="Normal 5 2 2 7 2 5" xfId="28879" xr:uid="{CAE06EF7-7F0D-48D0-9EF7-26EC4216CF82}"/>
    <cellStyle name="Normal 5 2 2 7 3" xfId="5607" xr:uid="{00000000-0005-0000-0000-000029180000}"/>
    <cellStyle name="Normal 5 2 2 7 3 2" xfId="14057" xr:uid="{34B04C83-BB1D-4E00-A7FB-DD792DC891C6}"/>
    <cellStyle name="Normal 5 2 2 7 3 3" xfId="22504" xr:uid="{B1FCA8AB-695D-4116-9B9E-B9EABE61E7FE}"/>
    <cellStyle name="Normal 5 2 2 7 3 4" xfId="30951" xr:uid="{BFD7EFDC-BFBA-4440-BE37-32C53B4B27CD}"/>
    <cellStyle name="Normal 5 2 2 7 4" xfId="9839" xr:uid="{44FE5394-D12E-4CF3-980A-D02C0089E85F}"/>
    <cellStyle name="Normal 5 2 2 7 5" xfId="18287" xr:uid="{611392C2-A669-41CE-A6F2-70E29DDB5C18}"/>
    <cellStyle name="Normal 5 2 2 7 6" xfId="26734" xr:uid="{F47A50EC-C2E4-4B14-9AA9-4F8E6F45BFA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AD52F755-C3F5-4E05-89E0-AE81D315AC34}"/>
    <cellStyle name="Normal 5 2 2 8 2 2 3" xfId="25062" xr:uid="{F56F547B-2450-490E-9FCA-64911335A260}"/>
    <cellStyle name="Normal 5 2 2 8 2 2 4" xfId="33509" xr:uid="{7AF59310-EEF0-4096-8C2D-2A32B25F2EBB}"/>
    <cellStyle name="Normal 5 2 2 8 2 3" xfId="12397" xr:uid="{5AAD05B6-794B-4DC8-A413-C9C5EAB3BFAA}"/>
    <cellStyle name="Normal 5 2 2 8 2 4" xfId="20845" xr:uid="{A78F658F-EAF9-459B-8036-23998F47E4C7}"/>
    <cellStyle name="Normal 5 2 2 8 2 5" xfId="29292" xr:uid="{759CFABE-7E40-488F-B4DB-D1F0D323E8B3}"/>
    <cellStyle name="Normal 5 2 2 8 3" xfId="6020" xr:uid="{00000000-0005-0000-0000-00002D180000}"/>
    <cellStyle name="Normal 5 2 2 8 3 2" xfId="14470" xr:uid="{DAD9CA71-5606-496E-B788-14E48AD028F9}"/>
    <cellStyle name="Normal 5 2 2 8 3 3" xfId="22917" xr:uid="{8A9B362A-EA4C-44EE-AAF1-09B52564F557}"/>
    <cellStyle name="Normal 5 2 2 8 3 4" xfId="31364" xr:uid="{6FB64DEC-36BC-4CD6-AE98-1EC9388CDA86}"/>
    <cellStyle name="Normal 5 2 2 8 4" xfId="10252" xr:uid="{CF6E5CA2-9DB7-44D6-B93B-B012547942A3}"/>
    <cellStyle name="Normal 5 2 2 8 5" xfId="18700" xr:uid="{55F250AE-D64F-4425-B77B-23778879FE4B}"/>
    <cellStyle name="Normal 5 2 2 8 6" xfId="27147" xr:uid="{ACE2DD3E-BCD4-474E-B30E-993E4F39D2EB}"/>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E3988EDB-A61D-4268-AC69-A79DA7CA520D}"/>
    <cellStyle name="Normal 5 2 2 9 2 2 3" xfId="25475" xr:uid="{8696C6E9-50FC-4D77-A280-84AE2175F351}"/>
    <cellStyle name="Normal 5 2 2 9 2 2 4" xfId="33922" xr:uid="{A4C5C0D6-A19C-4B5D-AD5D-6778B3AC9FE3}"/>
    <cellStyle name="Normal 5 2 2 9 2 3" xfId="12810" xr:uid="{C3B57FF9-3F6E-4049-85B2-38BAA5C417DA}"/>
    <cellStyle name="Normal 5 2 2 9 2 4" xfId="21258" xr:uid="{2075A989-5109-469F-A35E-4397C869090A}"/>
    <cellStyle name="Normal 5 2 2 9 2 5" xfId="29705" xr:uid="{316E1B43-3D4C-4438-9E57-5FBBBBA483D3}"/>
    <cellStyle name="Normal 5 2 2 9 3" xfId="6433" xr:uid="{00000000-0005-0000-0000-000031180000}"/>
    <cellStyle name="Normal 5 2 2 9 3 2" xfId="14883" xr:uid="{A675D8ED-1656-46B2-9B66-AA03E7D3D7CC}"/>
    <cellStyle name="Normal 5 2 2 9 3 3" xfId="23330" xr:uid="{630617E2-E2E2-483A-9057-0EAE6E8252D0}"/>
    <cellStyle name="Normal 5 2 2 9 3 4" xfId="31777" xr:uid="{5F214560-BE75-4AEF-9E99-F9CF670A3EE1}"/>
    <cellStyle name="Normal 5 2 2 9 4" xfId="10665" xr:uid="{C65AB7C4-5908-4165-88A2-F3CE9BE4458B}"/>
    <cellStyle name="Normal 5 2 2 9 5" xfId="19113" xr:uid="{1EB0086F-A1BD-4948-A407-3470966CF472}"/>
    <cellStyle name="Normal 5 2 2 9 6" xfId="27560" xr:uid="{472DF7AD-5353-4CC0-95FD-A0902A01AD40}"/>
    <cellStyle name="Normal 5 2 3" xfId="424" xr:uid="{00000000-0005-0000-0000-000032180000}"/>
    <cellStyle name="Normal 5 2 3 10" xfId="4797" xr:uid="{00000000-0005-0000-0000-000033180000}"/>
    <cellStyle name="Normal 5 2 3 10 2" xfId="13247" xr:uid="{8D5C6B1B-8261-4540-84A5-B57E56779657}"/>
    <cellStyle name="Normal 5 2 3 10 3" xfId="21694" xr:uid="{161B98BF-AFA6-4AAF-93AB-08134440059B}"/>
    <cellStyle name="Normal 5 2 3 10 4" xfId="30141" xr:uid="{A8D82D70-C3A2-4834-ACCB-7499F284128D}"/>
    <cellStyle name="Normal 5 2 3 11" xfId="9029" xr:uid="{F5B0B193-21C5-4612-AC96-34A32CF789F3}"/>
    <cellStyle name="Normal 5 2 3 12" xfId="17477" xr:uid="{CD57E55B-6CFA-4BBC-8D07-F2954E013536}"/>
    <cellStyle name="Normal 5 2 3 13" xfId="25924" xr:uid="{FE2E10B5-577D-414B-8E6A-374383423DE0}"/>
    <cellStyle name="Normal 5 2 3 2" xfId="425" xr:uid="{00000000-0005-0000-0000-000034180000}"/>
    <cellStyle name="Normal 5 2 3 2 10" xfId="9030" xr:uid="{6CDD3914-309D-4356-B727-81DE7C2354DF}"/>
    <cellStyle name="Normal 5 2 3 2 11" xfId="17478" xr:uid="{670D059B-44F9-4168-B50B-945312914A19}"/>
    <cellStyle name="Normal 5 2 3 2 12" xfId="25925" xr:uid="{5EC0ECE4-D3CD-440A-9982-EEB925E085F4}"/>
    <cellStyle name="Normal 5 2 3 2 2" xfId="426" xr:uid="{00000000-0005-0000-0000-000035180000}"/>
    <cellStyle name="Normal 5 2 3 2 2 10" xfId="17479" xr:uid="{F28CBD48-A1D6-4C6F-8241-3333951CDA19}"/>
    <cellStyle name="Normal 5 2 3 2 2 11" xfId="25926" xr:uid="{26D30AF8-064C-4B73-9813-DD398EA5545A}"/>
    <cellStyle name="Normal 5 2 3 2 2 2" xfId="427" xr:uid="{00000000-0005-0000-0000-000036180000}"/>
    <cellStyle name="Normal 5 2 3 2 2 2 10" xfId="25927" xr:uid="{9A42FB86-E911-40FF-90E1-7A3F44989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F7099D8A-FEE5-4383-BCD6-B250434AA9D5}"/>
    <cellStyle name="Normal 5 2 3 2 2 2 2 2 2 3" xfId="24255" xr:uid="{FDE7BCDF-8068-489C-9B22-47BFCB1AE8C4}"/>
    <cellStyle name="Normal 5 2 3 2 2 2 2 2 2 4" xfId="32702" xr:uid="{5592D27F-6894-44B9-A0F9-E8ADD64D2278}"/>
    <cellStyle name="Normal 5 2 3 2 2 2 2 2 3" xfId="11590" xr:uid="{66E63466-D69C-4F56-A29D-814621D247E3}"/>
    <cellStyle name="Normal 5 2 3 2 2 2 2 2 4" xfId="20038" xr:uid="{1F5A018A-168D-4ADB-8D05-8D7CB160369F}"/>
    <cellStyle name="Normal 5 2 3 2 2 2 2 2 5" xfId="28485" xr:uid="{E6404231-FF05-41A8-9EA9-B6E41C74AD2A}"/>
    <cellStyle name="Normal 5 2 3 2 2 2 2 3" xfId="5213" xr:uid="{00000000-0005-0000-0000-00003A180000}"/>
    <cellStyle name="Normal 5 2 3 2 2 2 2 3 2" xfId="13663" xr:uid="{4FD35EAD-DDFC-4788-B623-C10986A92FAD}"/>
    <cellStyle name="Normal 5 2 3 2 2 2 2 3 3" xfId="22110" xr:uid="{07BE5EE3-DA74-4118-88FA-255EF8EA6CDB}"/>
    <cellStyle name="Normal 5 2 3 2 2 2 2 3 4" xfId="30557" xr:uid="{58C9DC92-59F2-4618-A547-67490D703C70}"/>
    <cellStyle name="Normal 5 2 3 2 2 2 2 4" xfId="9445" xr:uid="{76247C3F-2D18-434D-94CD-5A84A1384CE8}"/>
    <cellStyle name="Normal 5 2 3 2 2 2 2 5" xfId="17893" xr:uid="{3C6C5BFA-EB5A-457F-9C85-D07C163B12E4}"/>
    <cellStyle name="Normal 5 2 3 2 2 2 2 6" xfId="26340" xr:uid="{8E816BFB-733B-40F4-8198-6314ECA9CD91}"/>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E8A37CFD-1D73-460A-A669-29A0843809FC}"/>
    <cellStyle name="Normal 5 2 3 2 2 2 3 2 2 3" xfId="24668" xr:uid="{FEE04DE4-BCFD-4D5B-A708-BE64C598BB5D}"/>
    <cellStyle name="Normal 5 2 3 2 2 2 3 2 2 4" xfId="33115" xr:uid="{1546821A-EDBA-42EB-BA4A-B2C26FEB422F}"/>
    <cellStyle name="Normal 5 2 3 2 2 2 3 2 3" xfId="12003" xr:uid="{6C0B551A-1B3F-46FB-81F1-6285E6212889}"/>
    <cellStyle name="Normal 5 2 3 2 2 2 3 2 4" xfId="20451" xr:uid="{6282C396-F7F0-4723-89D2-ECAC204F1049}"/>
    <cellStyle name="Normal 5 2 3 2 2 2 3 2 5" xfId="28898" xr:uid="{07DCEE82-AF2A-4476-8309-A74C612170FB}"/>
    <cellStyle name="Normal 5 2 3 2 2 2 3 3" xfId="5626" xr:uid="{00000000-0005-0000-0000-00003E180000}"/>
    <cellStyle name="Normal 5 2 3 2 2 2 3 3 2" xfId="14076" xr:uid="{1BE648DA-9766-47A2-87F6-140B1BCA6C89}"/>
    <cellStyle name="Normal 5 2 3 2 2 2 3 3 3" xfId="22523" xr:uid="{C958118E-0130-44F3-B914-5239C7C63022}"/>
    <cellStyle name="Normal 5 2 3 2 2 2 3 3 4" xfId="30970" xr:uid="{B152FE7E-8D6F-4A16-9BFB-AC35E972F177}"/>
    <cellStyle name="Normal 5 2 3 2 2 2 3 4" xfId="9858" xr:uid="{BEF01200-78C4-4A3F-BE06-E5B7CB3A790D}"/>
    <cellStyle name="Normal 5 2 3 2 2 2 3 5" xfId="18306" xr:uid="{51A4EF46-C956-4D4E-B240-825380D09E56}"/>
    <cellStyle name="Normal 5 2 3 2 2 2 3 6" xfId="26753" xr:uid="{7E803CBE-A550-4839-9CB1-A72AAD19F3BC}"/>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F8B81426-372E-4641-949A-8236F0E2424E}"/>
    <cellStyle name="Normal 5 2 3 2 2 2 4 2 2 3" xfId="25081" xr:uid="{5FEAB2D5-0985-476D-B096-5707269B565E}"/>
    <cellStyle name="Normal 5 2 3 2 2 2 4 2 2 4" xfId="33528" xr:uid="{7F93BDF8-D98A-4C86-9D1A-22D4D8B31387}"/>
    <cellStyle name="Normal 5 2 3 2 2 2 4 2 3" xfId="12416" xr:uid="{4F75E784-E2FE-4A83-B00B-E3E7989850CF}"/>
    <cellStyle name="Normal 5 2 3 2 2 2 4 2 4" xfId="20864" xr:uid="{9334D54A-8BFE-407F-8323-EF303C55D777}"/>
    <cellStyle name="Normal 5 2 3 2 2 2 4 2 5" xfId="29311" xr:uid="{61A0743D-A0FD-4886-845A-F4557E964373}"/>
    <cellStyle name="Normal 5 2 3 2 2 2 4 3" xfId="6039" xr:uid="{00000000-0005-0000-0000-000042180000}"/>
    <cellStyle name="Normal 5 2 3 2 2 2 4 3 2" xfId="14489" xr:uid="{0F1F9B9D-ACC4-426A-A6A9-8E684679AD9B}"/>
    <cellStyle name="Normal 5 2 3 2 2 2 4 3 3" xfId="22936" xr:uid="{CD10C863-A72F-4600-9EA9-6A9E204ECCC8}"/>
    <cellStyle name="Normal 5 2 3 2 2 2 4 3 4" xfId="31383" xr:uid="{24A55CF5-F44A-42DA-8DEB-80B16DCAA4C9}"/>
    <cellStyle name="Normal 5 2 3 2 2 2 4 4" xfId="10271" xr:uid="{E2319D04-8A62-4F8F-A38A-CD28CE34B636}"/>
    <cellStyle name="Normal 5 2 3 2 2 2 4 5" xfId="18719" xr:uid="{3BD477EE-0C79-4FDE-9D0E-A8797EEEC8B7}"/>
    <cellStyle name="Normal 5 2 3 2 2 2 4 6" xfId="27166" xr:uid="{53269742-9E03-48DE-83AF-7CDC5587EFBC}"/>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ADD8F23D-AFD9-4E2F-8A06-6E23A72000CC}"/>
    <cellStyle name="Normal 5 2 3 2 2 2 5 2 2 3" xfId="25494" xr:uid="{5ADD0AC7-E966-4BED-AAD3-E67B3ABC8AE7}"/>
    <cellStyle name="Normal 5 2 3 2 2 2 5 2 2 4" xfId="33941" xr:uid="{AC763A04-373D-42CF-803A-20E771B9F772}"/>
    <cellStyle name="Normal 5 2 3 2 2 2 5 2 3" xfId="12829" xr:uid="{98B15340-8AD2-4AE1-BCC0-69752DFCDEFF}"/>
    <cellStyle name="Normal 5 2 3 2 2 2 5 2 4" xfId="21277" xr:uid="{268D22B9-3AB3-4EF5-92D2-E2D66DE99A61}"/>
    <cellStyle name="Normal 5 2 3 2 2 2 5 2 5" xfId="29724" xr:uid="{FC7477CE-0DFB-4A10-9856-2D2AF9CD07EF}"/>
    <cellStyle name="Normal 5 2 3 2 2 2 5 3" xfId="6452" xr:uid="{00000000-0005-0000-0000-000046180000}"/>
    <cellStyle name="Normal 5 2 3 2 2 2 5 3 2" xfId="14902" xr:uid="{3A459939-85CE-4293-B786-594B7698AC02}"/>
    <cellStyle name="Normal 5 2 3 2 2 2 5 3 3" xfId="23349" xr:uid="{4A74D8E4-ACFD-4A5B-A6DD-06B5719A0ED7}"/>
    <cellStyle name="Normal 5 2 3 2 2 2 5 3 4" xfId="31796" xr:uid="{A22B576A-1C1C-4CBB-95C3-08DFBEFF2F91}"/>
    <cellStyle name="Normal 5 2 3 2 2 2 5 4" xfId="10684" xr:uid="{7E3B8A3D-F944-4F77-B62A-E178984AC765}"/>
    <cellStyle name="Normal 5 2 3 2 2 2 5 5" xfId="19132" xr:uid="{E49BE47A-9B8B-4110-876C-449AA964DCD1}"/>
    <cellStyle name="Normal 5 2 3 2 2 2 5 6" xfId="27579" xr:uid="{F4EF36E2-2A9B-4645-9DAD-8534BB12AF7D}"/>
    <cellStyle name="Normal 5 2 3 2 2 2 6" xfId="2582" xr:uid="{00000000-0005-0000-0000-000047180000}"/>
    <cellStyle name="Normal 5 2 3 2 2 2 6 2" xfId="6865" xr:uid="{00000000-0005-0000-0000-000048180000}"/>
    <cellStyle name="Normal 5 2 3 2 2 2 6 2 2" xfId="15315" xr:uid="{D9D22727-1F62-4467-82E3-77674AE127EF}"/>
    <cellStyle name="Normal 5 2 3 2 2 2 6 2 3" xfId="23762" xr:uid="{FFD3E66C-49EF-4837-A40E-3EC7C8A9CFFB}"/>
    <cellStyle name="Normal 5 2 3 2 2 2 6 2 4" xfId="32209" xr:uid="{B89910CF-39A3-493C-BB0E-67AFA22A2A08}"/>
    <cellStyle name="Normal 5 2 3 2 2 2 6 3" xfId="11097" xr:uid="{57DC27C4-0E82-4ADC-8014-1C3E156FA22F}"/>
    <cellStyle name="Normal 5 2 3 2 2 2 6 4" xfId="19545" xr:uid="{44647E15-9E00-4A8F-BB82-A328E7DCBC5B}"/>
    <cellStyle name="Normal 5 2 3 2 2 2 6 5" xfId="27992" xr:uid="{93F6BEBA-E540-43F7-A3EB-49A57C3C4D2F}"/>
    <cellStyle name="Normal 5 2 3 2 2 2 7" xfId="4800" xr:uid="{00000000-0005-0000-0000-000049180000}"/>
    <cellStyle name="Normal 5 2 3 2 2 2 7 2" xfId="13250" xr:uid="{0C4C9FDA-D621-43C6-ACEB-4F029BFDAD22}"/>
    <cellStyle name="Normal 5 2 3 2 2 2 7 3" xfId="21697" xr:uid="{76B36E09-EA6C-4F89-A1BF-A9118F03E30F}"/>
    <cellStyle name="Normal 5 2 3 2 2 2 7 4" xfId="30144" xr:uid="{23A95DFA-FBD3-4B61-9428-06DA84FC2B86}"/>
    <cellStyle name="Normal 5 2 3 2 2 2 8" xfId="9032" xr:uid="{2B3ADD22-B4F3-4532-B4E4-D420A26181AC}"/>
    <cellStyle name="Normal 5 2 3 2 2 2 9" xfId="17480" xr:uid="{2A97F438-049F-4995-9753-19A4D6338682}"/>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B83EC70E-C7AA-4D60-8555-37EAD1B4F0B6}"/>
    <cellStyle name="Normal 5 2 3 2 2 3 2 2 3" xfId="24254" xr:uid="{7F420C7C-82F6-4A91-BDFD-86ED623E1A70}"/>
    <cellStyle name="Normal 5 2 3 2 2 3 2 2 4" xfId="32701" xr:uid="{EF0F50A8-63EA-41C5-BA98-4416708FE839}"/>
    <cellStyle name="Normal 5 2 3 2 2 3 2 3" xfId="11589" xr:uid="{E629D2C6-CD59-44AA-838E-61356294DAEB}"/>
    <cellStyle name="Normal 5 2 3 2 2 3 2 4" xfId="20037" xr:uid="{C4939EDB-6DDD-4BD3-9637-0F593B51A583}"/>
    <cellStyle name="Normal 5 2 3 2 2 3 2 5" xfId="28484" xr:uid="{977D9B55-29B4-48AC-ACBC-E42F13B4A4C5}"/>
    <cellStyle name="Normal 5 2 3 2 2 3 3" xfId="5212" xr:uid="{00000000-0005-0000-0000-00004D180000}"/>
    <cellStyle name="Normal 5 2 3 2 2 3 3 2" xfId="13662" xr:uid="{315F66AD-2D6A-4632-9B0A-E49F2F5D9186}"/>
    <cellStyle name="Normal 5 2 3 2 2 3 3 3" xfId="22109" xr:uid="{0C3B5D8A-6759-46DA-9D0A-1AD803E19C1C}"/>
    <cellStyle name="Normal 5 2 3 2 2 3 3 4" xfId="30556" xr:uid="{D3393446-5EBD-4032-B2B0-9F33F0531173}"/>
    <cellStyle name="Normal 5 2 3 2 2 3 4" xfId="9444" xr:uid="{646CD16E-5779-4EA3-8C75-F30386E79983}"/>
    <cellStyle name="Normal 5 2 3 2 2 3 5" xfId="17892" xr:uid="{D81898C6-3995-4CB0-96F5-F5B38DAF4143}"/>
    <cellStyle name="Normal 5 2 3 2 2 3 6" xfId="26339" xr:uid="{E950C7A7-DBE5-4850-AE59-F7DF60CB839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F80CE617-6584-466A-811A-DE3C45F124EF}"/>
    <cellStyle name="Normal 5 2 3 2 2 4 2 2 3" xfId="24667" xr:uid="{C7271676-B32A-4EB9-8726-49D185A3589C}"/>
    <cellStyle name="Normal 5 2 3 2 2 4 2 2 4" xfId="33114" xr:uid="{F529B676-6921-4EB0-8E96-AB21530BBC3A}"/>
    <cellStyle name="Normal 5 2 3 2 2 4 2 3" xfId="12002" xr:uid="{F9DA94BE-4C0B-43A2-8E2A-43129DE9BC6C}"/>
    <cellStyle name="Normal 5 2 3 2 2 4 2 4" xfId="20450" xr:uid="{4FD72180-6346-422D-8C88-0EDE3A13E33A}"/>
    <cellStyle name="Normal 5 2 3 2 2 4 2 5" xfId="28897" xr:uid="{842A9651-1EDD-494A-9A20-CFBC7D65B86E}"/>
    <cellStyle name="Normal 5 2 3 2 2 4 3" xfId="5625" xr:uid="{00000000-0005-0000-0000-000051180000}"/>
    <cellStyle name="Normal 5 2 3 2 2 4 3 2" xfId="14075" xr:uid="{0C3B9E8C-6630-4145-8DF6-95BF9F90BE02}"/>
    <cellStyle name="Normal 5 2 3 2 2 4 3 3" xfId="22522" xr:uid="{A57C5EEE-9D6C-484A-A778-F66AA62235E8}"/>
    <cellStyle name="Normal 5 2 3 2 2 4 3 4" xfId="30969" xr:uid="{565D2E85-C7DF-480B-B095-12124426A8FC}"/>
    <cellStyle name="Normal 5 2 3 2 2 4 4" xfId="9857" xr:uid="{0E0F33A4-B769-4F02-9094-68ACE800BDF2}"/>
    <cellStyle name="Normal 5 2 3 2 2 4 5" xfId="18305" xr:uid="{0761B840-EA76-4DEA-8AD1-E0BDD4075513}"/>
    <cellStyle name="Normal 5 2 3 2 2 4 6" xfId="26752" xr:uid="{12BB6112-BDAF-4807-BCCE-6764443A8C33}"/>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004E52FA-0270-4B15-AB56-B385F2F35837}"/>
    <cellStyle name="Normal 5 2 3 2 2 5 2 2 3" xfId="25080" xr:uid="{376AB56A-F69F-4370-9E3D-ECD5B9F3922B}"/>
    <cellStyle name="Normal 5 2 3 2 2 5 2 2 4" xfId="33527" xr:uid="{3C11A62C-9019-46C7-BF67-2FA33BC84623}"/>
    <cellStyle name="Normal 5 2 3 2 2 5 2 3" xfId="12415" xr:uid="{99255C62-406F-45CB-BBE1-8359707B9C05}"/>
    <cellStyle name="Normal 5 2 3 2 2 5 2 4" xfId="20863" xr:uid="{1A7088B5-1246-4C36-B065-7D1CE2333248}"/>
    <cellStyle name="Normal 5 2 3 2 2 5 2 5" xfId="29310" xr:uid="{99312980-5D7E-4F53-BC58-6948911D3EE7}"/>
    <cellStyle name="Normal 5 2 3 2 2 5 3" xfId="6038" xr:uid="{00000000-0005-0000-0000-000055180000}"/>
    <cellStyle name="Normal 5 2 3 2 2 5 3 2" xfId="14488" xr:uid="{4BE9D2C7-7FD7-4604-9742-5A3BD7726DA1}"/>
    <cellStyle name="Normal 5 2 3 2 2 5 3 3" xfId="22935" xr:uid="{AF171107-DA1C-4709-AFAC-88B81455BE09}"/>
    <cellStyle name="Normal 5 2 3 2 2 5 3 4" xfId="31382" xr:uid="{3F9C86AD-883A-4826-A81D-E5A51765266D}"/>
    <cellStyle name="Normal 5 2 3 2 2 5 4" xfId="10270" xr:uid="{6BD2056A-4AB6-4850-8D87-C1289B4292F5}"/>
    <cellStyle name="Normal 5 2 3 2 2 5 5" xfId="18718" xr:uid="{A9229567-EBC1-470B-BD07-D78E16FDE2C8}"/>
    <cellStyle name="Normal 5 2 3 2 2 5 6" xfId="27165" xr:uid="{7EFE4E6F-78F2-4CE5-BAB1-ED6A84B59FB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D04A042E-5EB2-44FB-8065-7B5DF24A5ACF}"/>
    <cellStyle name="Normal 5 2 3 2 2 6 2 2 3" xfId="25493" xr:uid="{86DD5C3C-1770-459A-8606-A497A5E6CDF1}"/>
    <cellStyle name="Normal 5 2 3 2 2 6 2 2 4" xfId="33940" xr:uid="{7705D4BB-FEFA-46E1-8D24-8D3A595E19E0}"/>
    <cellStyle name="Normal 5 2 3 2 2 6 2 3" xfId="12828" xr:uid="{154A1C78-43CE-4897-9804-AC0124F206C5}"/>
    <cellStyle name="Normal 5 2 3 2 2 6 2 4" xfId="21276" xr:uid="{339B1B2D-42D3-493E-AB16-47742EE0003D}"/>
    <cellStyle name="Normal 5 2 3 2 2 6 2 5" xfId="29723" xr:uid="{0CD5500F-7918-4689-A3A6-CAEB196D1E7D}"/>
    <cellStyle name="Normal 5 2 3 2 2 6 3" xfId="6451" xr:uid="{00000000-0005-0000-0000-000059180000}"/>
    <cellStyle name="Normal 5 2 3 2 2 6 3 2" xfId="14901" xr:uid="{F0B9BA6F-EBE7-498C-91DB-FF1C3C6A3388}"/>
    <cellStyle name="Normal 5 2 3 2 2 6 3 3" xfId="23348" xr:uid="{2B3EE068-B314-4F77-BC36-6D428F155CF9}"/>
    <cellStyle name="Normal 5 2 3 2 2 6 3 4" xfId="31795" xr:uid="{AD07FBC5-6C34-4C27-BE4A-C66775AC3BEB}"/>
    <cellStyle name="Normal 5 2 3 2 2 6 4" xfId="10683" xr:uid="{D2FFC9D9-95CE-4F2E-A7C5-F0192219BD52}"/>
    <cellStyle name="Normal 5 2 3 2 2 6 5" xfId="19131" xr:uid="{FF781E77-0A1F-4B59-838F-84C9418BBA26}"/>
    <cellStyle name="Normal 5 2 3 2 2 6 6" xfId="27578" xr:uid="{D8CB0296-ED47-48EF-AA10-9292D01C6AE1}"/>
    <cellStyle name="Normal 5 2 3 2 2 7" xfId="2581" xr:uid="{00000000-0005-0000-0000-00005A180000}"/>
    <cellStyle name="Normal 5 2 3 2 2 7 2" xfId="6864" xr:uid="{00000000-0005-0000-0000-00005B180000}"/>
    <cellStyle name="Normal 5 2 3 2 2 7 2 2" xfId="15314" xr:uid="{BD6CA855-53AD-4CF2-9952-1469BCC0328F}"/>
    <cellStyle name="Normal 5 2 3 2 2 7 2 3" xfId="23761" xr:uid="{D116C1A5-60A7-43C2-9710-17FB4FFE6427}"/>
    <cellStyle name="Normal 5 2 3 2 2 7 2 4" xfId="32208" xr:uid="{9BA9F527-9DC3-4A16-B292-1346CE8DF099}"/>
    <cellStyle name="Normal 5 2 3 2 2 7 3" xfId="11096" xr:uid="{799BE977-17C0-4237-8DC2-36F3B1EA4EAF}"/>
    <cellStyle name="Normal 5 2 3 2 2 7 4" xfId="19544" xr:uid="{C80B0301-A4C9-49A6-B307-3B05FFA0B728}"/>
    <cellStyle name="Normal 5 2 3 2 2 7 5" xfId="27991" xr:uid="{7AFB001A-8050-4003-8EA3-C5FE9B03BFF3}"/>
    <cellStyle name="Normal 5 2 3 2 2 8" xfId="4799" xr:uid="{00000000-0005-0000-0000-00005C180000}"/>
    <cellStyle name="Normal 5 2 3 2 2 8 2" xfId="13249" xr:uid="{D9E104B1-3D82-4BB2-9308-A208233120FD}"/>
    <cellStyle name="Normal 5 2 3 2 2 8 3" xfId="21696" xr:uid="{838F5516-A9E0-49F1-B3D2-30F493D9310A}"/>
    <cellStyle name="Normal 5 2 3 2 2 8 4" xfId="30143" xr:uid="{B1802554-30E4-4CF0-8802-F17999DEF55F}"/>
    <cellStyle name="Normal 5 2 3 2 2 9" xfId="9031" xr:uid="{7B53EF42-7340-4BFC-9A26-273DD78964C8}"/>
    <cellStyle name="Normal 5 2 3 2 3" xfId="428" xr:uid="{00000000-0005-0000-0000-00005D180000}"/>
    <cellStyle name="Normal 5 2 3 2 3 10" xfId="25928" xr:uid="{28137B7C-5780-4635-96F0-7BF9076236FD}"/>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E623BBE1-F771-444F-8791-C49F11448EA6}"/>
    <cellStyle name="Normal 5 2 3 2 3 2 2 2 3" xfId="24256" xr:uid="{9A21B530-93D4-46FB-82E2-775446FAE760}"/>
    <cellStyle name="Normal 5 2 3 2 3 2 2 2 4" xfId="32703" xr:uid="{E8E439DB-0292-47AF-8958-F2F498A6F826}"/>
    <cellStyle name="Normal 5 2 3 2 3 2 2 3" xfId="11591" xr:uid="{9C7151D4-DD3E-49AB-98D8-6EC31D4A7E62}"/>
    <cellStyle name="Normal 5 2 3 2 3 2 2 4" xfId="20039" xr:uid="{65BDEF3E-55F2-4EE4-8F24-B39EDC65EE04}"/>
    <cellStyle name="Normal 5 2 3 2 3 2 2 5" xfId="28486" xr:uid="{4EC4F98C-BD68-47A6-A4AC-FE40AB4C2A92}"/>
    <cellStyle name="Normal 5 2 3 2 3 2 3" xfId="5214" xr:uid="{00000000-0005-0000-0000-000061180000}"/>
    <cellStyle name="Normal 5 2 3 2 3 2 3 2" xfId="13664" xr:uid="{33C06742-1319-4268-A912-60D565167AAF}"/>
    <cellStyle name="Normal 5 2 3 2 3 2 3 3" xfId="22111" xr:uid="{F3486A09-869B-478F-B71D-8ED7DEB896C2}"/>
    <cellStyle name="Normal 5 2 3 2 3 2 3 4" xfId="30558" xr:uid="{375329B8-DEA1-49C6-B9A1-D0303897CCBA}"/>
    <cellStyle name="Normal 5 2 3 2 3 2 4" xfId="9446" xr:uid="{AF6CCD51-F94C-44B8-833D-ACCA545BC7CC}"/>
    <cellStyle name="Normal 5 2 3 2 3 2 5" xfId="17894" xr:uid="{D93CC298-1483-49A1-A79B-AD1F77060534}"/>
    <cellStyle name="Normal 5 2 3 2 3 2 6" xfId="26341" xr:uid="{2FEB583C-A5EC-42F4-A545-43100B9131B2}"/>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B314F013-CD8E-4A8A-85D0-63512E9AF028}"/>
    <cellStyle name="Normal 5 2 3 2 3 3 2 2 3" xfId="24669" xr:uid="{39B1E746-9E3D-4E76-B2A8-42447B884404}"/>
    <cellStyle name="Normal 5 2 3 2 3 3 2 2 4" xfId="33116" xr:uid="{12B5699D-F125-4C9E-A43D-9719E9973082}"/>
    <cellStyle name="Normal 5 2 3 2 3 3 2 3" xfId="12004" xr:uid="{C0BBD676-7098-44EC-A58C-55A844F6E47D}"/>
    <cellStyle name="Normal 5 2 3 2 3 3 2 4" xfId="20452" xr:uid="{64B1AD19-EACF-4D4F-B625-D6373E41D662}"/>
    <cellStyle name="Normal 5 2 3 2 3 3 2 5" xfId="28899" xr:uid="{0A06E96F-E1B7-441C-8565-8C2A6F50DAEF}"/>
    <cellStyle name="Normal 5 2 3 2 3 3 3" xfId="5627" xr:uid="{00000000-0005-0000-0000-000065180000}"/>
    <cellStyle name="Normal 5 2 3 2 3 3 3 2" xfId="14077" xr:uid="{CA029020-8ED9-4E21-801A-481F1B33DBA8}"/>
    <cellStyle name="Normal 5 2 3 2 3 3 3 3" xfId="22524" xr:uid="{DEEC1233-CCD3-4C61-9C29-2224A594071C}"/>
    <cellStyle name="Normal 5 2 3 2 3 3 3 4" xfId="30971" xr:uid="{4CD909D5-3A6B-4BB4-A3FA-5A311CC5E4A8}"/>
    <cellStyle name="Normal 5 2 3 2 3 3 4" xfId="9859" xr:uid="{0EE1C990-C294-4AF5-83BB-120D7A890811}"/>
    <cellStyle name="Normal 5 2 3 2 3 3 5" xfId="18307" xr:uid="{8D618502-AE88-42B7-B2F3-DE87FEEE9E5B}"/>
    <cellStyle name="Normal 5 2 3 2 3 3 6" xfId="26754" xr:uid="{A8338F66-26F6-4A7C-A044-4D6C73AABF5E}"/>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DFCA76B8-75E6-4F11-AA6F-8B4EECA5A3DC}"/>
    <cellStyle name="Normal 5 2 3 2 3 4 2 2 3" xfId="25082" xr:uid="{2181323F-B2B1-45B4-AA60-AC41BD9D2426}"/>
    <cellStyle name="Normal 5 2 3 2 3 4 2 2 4" xfId="33529" xr:uid="{5C8114E7-E670-4F82-AF21-800D57FA6035}"/>
    <cellStyle name="Normal 5 2 3 2 3 4 2 3" xfId="12417" xr:uid="{631255C6-E9DB-41A6-8A55-67DFE76D1E6B}"/>
    <cellStyle name="Normal 5 2 3 2 3 4 2 4" xfId="20865" xr:uid="{36833A07-4A54-419A-A44D-03186D0A7DEC}"/>
    <cellStyle name="Normal 5 2 3 2 3 4 2 5" xfId="29312" xr:uid="{47CC8AB5-D5D5-4F36-B62C-A0486DF6EDC3}"/>
    <cellStyle name="Normal 5 2 3 2 3 4 3" xfId="6040" xr:uid="{00000000-0005-0000-0000-000069180000}"/>
    <cellStyle name="Normal 5 2 3 2 3 4 3 2" xfId="14490" xr:uid="{E6314EC1-27B1-4F8E-AA30-7A5933E2C4C2}"/>
    <cellStyle name="Normal 5 2 3 2 3 4 3 3" xfId="22937" xr:uid="{26117399-19A9-4DE1-917C-A12E589918A6}"/>
    <cellStyle name="Normal 5 2 3 2 3 4 3 4" xfId="31384" xr:uid="{73FABCE4-E39D-4920-A338-6A25C21528B9}"/>
    <cellStyle name="Normal 5 2 3 2 3 4 4" xfId="10272" xr:uid="{901F74CD-3B81-4F04-9B0F-B995E85D2DEA}"/>
    <cellStyle name="Normal 5 2 3 2 3 4 5" xfId="18720" xr:uid="{B40A97AC-63DF-42C0-BAAC-CA0612DA7401}"/>
    <cellStyle name="Normal 5 2 3 2 3 4 6" xfId="27167" xr:uid="{1569F080-487A-458A-B752-E041BBE77CD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A48E29F0-7510-49B4-A612-D6F3493AE395}"/>
    <cellStyle name="Normal 5 2 3 2 3 5 2 2 3" xfId="25495" xr:uid="{8359B647-0ECA-448C-BD7F-58F2E71A1A20}"/>
    <cellStyle name="Normal 5 2 3 2 3 5 2 2 4" xfId="33942" xr:uid="{00F54256-735A-4ACA-ACFC-9F049618009F}"/>
    <cellStyle name="Normal 5 2 3 2 3 5 2 3" xfId="12830" xr:uid="{F27B2FBC-0345-4DF3-B2A4-0BC15EEBBA92}"/>
    <cellStyle name="Normal 5 2 3 2 3 5 2 4" xfId="21278" xr:uid="{CC244058-38FD-4DC8-9FF0-EB64E8CEAEEC}"/>
    <cellStyle name="Normal 5 2 3 2 3 5 2 5" xfId="29725" xr:uid="{53C6F087-AE6B-4FC7-A5B8-F8B99B2AD0AB}"/>
    <cellStyle name="Normal 5 2 3 2 3 5 3" xfId="6453" xr:uid="{00000000-0005-0000-0000-00006D180000}"/>
    <cellStyle name="Normal 5 2 3 2 3 5 3 2" xfId="14903" xr:uid="{5B245865-75A7-49BE-BBB2-7C8198D83D42}"/>
    <cellStyle name="Normal 5 2 3 2 3 5 3 3" xfId="23350" xr:uid="{2588A869-CBD2-4D81-A0EC-4335FC407350}"/>
    <cellStyle name="Normal 5 2 3 2 3 5 3 4" xfId="31797" xr:uid="{EB7E653C-EAEE-4D3A-B327-15397D7C700F}"/>
    <cellStyle name="Normal 5 2 3 2 3 5 4" xfId="10685" xr:uid="{AC142F73-E86A-44AE-BE05-D2111732B681}"/>
    <cellStyle name="Normal 5 2 3 2 3 5 5" xfId="19133" xr:uid="{6C962573-B8A4-4909-978A-17F2EAB5DAFE}"/>
    <cellStyle name="Normal 5 2 3 2 3 5 6" xfId="27580" xr:uid="{071D96ED-0FD5-4951-ABE1-6986A427331D}"/>
    <cellStyle name="Normal 5 2 3 2 3 6" xfId="2583" xr:uid="{00000000-0005-0000-0000-00006E180000}"/>
    <cellStyle name="Normal 5 2 3 2 3 6 2" xfId="6866" xr:uid="{00000000-0005-0000-0000-00006F180000}"/>
    <cellStyle name="Normal 5 2 3 2 3 6 2 2" xfId="15316" xr:uid="{40ED7293-5F99-420F-88FA-D6A27017D1D0}"/>
    <cellStyle name="Normal 5 2 3 2 3 6 2 3" xfId="23763" xr:uid="{EAD19082-E4E2-47EF-AAEE-CC61EA867074}"/>
    <cellStyle name="Normal 5 2 3 2 3 6 2 4" xfId="32210" xr:uid="{CCC559A9-9882-43AA-A24A-0F7603E5E9E1}"/>
    <cellStyle name="Normal 5 2 3 2 3 6 3" xfId="11098" xr:uid="{3DA3FD8D-EAB0-4C02-8298-9B76FC5EA57E}"/>
    <cellStyle name="Normal 5 2 3 2 3 6 4" xfId="19546" xr:uid="{24549BEC-FFCB-45D2-9EBC-B6384511EABD}"/>
    <cellStyle name="Normal 5 2 3 2 3 6 5" xfId="27993" xr:uid="{BEF92C36-DB02-4D2A-983C-4789FD503AC9}"/>
    <cellStyle name="Normal 5 2 3 2 3 7" xfId="4801" xr:uid="{00000000-0005-0000-0000-000070180000}"/>
    <cellStyle name="Normal 5 2 3 2 3 7 2" xfId="13251" xr:uid="{8FEE5305-03D3-47DB-9A3C-C3287B0630D1}"/>
    <cellStyle name="Normal 5 2 3 2 3 7 3" xfId="21698" xr:uid="{E7CC1815-BF0C-47A7-A0F4-5E4379E90A4C}"/>
    <cellStyle name="Normal 5 2 3 2 3 7 4" xfId="30145" xr:uid="{832A5D33-DE2E-4779-A2FD-C5FCD63A664D}"/>
    <cellStyle name="Normal 5 2 3 2 3 8" xfId="9033" xr:uid="{DBEAA264-64DC-4D61-996C-E36000BA2ABC}"/>
    <cellStyle name="Normal 5 2 3 2 3 9" xfId="17481" xr:uid="{8BD03652-4DC2-4689-873E-8C95955A03A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6221A02B-C4BC-4236-9638-0BB1FA8DF755}"/>
    <cellStyle name="Normal 5 2 3 2 4 2 2 3" xfId="24253" xr:uid="{807700F6-A04F-498B-BADE-328AD083B00A}"/>
    <cellStyle name="Normal 5 2 3 2 4 2 2 4" xfId="32700" xr:uid="{4EF991EF-DDCC-40F1-9AA6-35AC783FD354}"/>
    <cellStyle name="Normal 5 2 3 2 4 2 3" xfId="11588" xr:uid="{8BA90855-9CCB-4A3E-9F6C-92475A10FB76}"/>
    <cellStyle name="Normal 5 2 3 2 4 2 4" xfId="20036" xr:uid="{19F91711-B7D4-4BFC-9E1C-FC62C8EFC254}"/>
    <cellStyle name="Normal 5 2 3 2 4 2 5" xfId="28483" xr:uid="{84490EF9-C576-44E8-A867-22477BCC44EB}"/>
    <cellStyle name="Normal 5 2 3 2 4 3" xfId="5211" xr:uid="{00000000-0005-0000-0000-000074180000}"/>
    <cellStyle name="Normal 5 2 3 2 4 3 2" xfId="13661" xr:uid="{DE393276-92FF-4DF6-BF5A-275B8D676893}"/>
    <cellStyle name="Normal 5 2 3 2 4 3 3" xfId="22108" xr:uid="{670368DB-8094-4DD4-B2A8-B2CF18E5E1BA}"/>
    <cellStyle name="Normal 5 2 3 2 4 3 4" xfId="30555" xr:uid="{D707FDFD-A08B-4C6E-BC4D-5A186CB267C7}"/>
    <cellStyle name="Normal 5 2 3 2 4 4" xfId="9443" xr:uid="{9FB62237-949F-460C-81B1-EA0CF945C9D5}"/>
    <cellStyle name="Normal 5 2 3 2 4 5" xfId="17891" xr:uid="{4C78BFE4-FEE4-4221-9716-4F776895F6AB}"/>
    <cellStyle name="Normal 5 2 3 2 4 6" xfId="26338" xr:uid="{5D7EA781-D29A-49F3-A0C3-764D07DEFC81}"/>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D8363BBE-03F1-4C30-A9CD-2BDD72E73949}"/>
    <cellStyle name="Normal 5 2 3 2 5 2 2 3" xfId="24666" xr:uid="{5EFCA62E-72F3-448A-9AFA-7358588057C9}"/>
    <cellStyle name="Normal 5 2 3 2 5 2 2 4" xfId="33113" xr:uid="{67C56E01-5488-4BA5-9415-22A8D9F2FA24}"/>
    <cellStyle name="Normal 5 2 3 2 5 2 3" xfId="12001" xr:uid="{FF894C2B-946C-4C02-B69B-CA5CCFF8127C}"/>
    <cellStyle name="Normal 5 2 3 2 5 2 4" xfId="20449" xr:uid="{ACCB2CE0-38B3-4C06-9E9E-B02095A46AA4}"/>
    <cellStyle name="Normal 5 2 3 2 5 2 5" xfId="28896" xr:uid="{6D92450C-243A-4D4A-8D58-2DD316C4C5F5}"/>
    <cellStyle name="Normal 5 2 3 2 5 3" xfId="5624" xr:uid="{00000000-0005-0000-0000-000078180000}"/>
    <cellStyle name="Normal 5 2 3 2 5 3 2" xfId="14074" xr:uid="{62287968-4BB2-4A76-B97A-2B490BCF6033}"/>
    <cellStyle name="Normal 5 2 3 2 5 3 3" xfId="22521" xr:uid="{39BDC6B3-BEBC-4BFC-86B3-C78E237D192A}"/>
    <cellStyle name="Normal 5 2 3 2 5 3 4" xfId="30968" xr:uid="{E41DB55B-2F97-4E52-B27B-60E566394315}"/>
    <cellStyle name="Normal 5 2 3 2 5 4" xfId="9856" xr:uid="{0C080E72-E1E9-4A2E-893D-903DE705E12B}"/>
    <cellStyle name="Normal 5 2 3 2 5 5" xfId="18304" xr:uid="{DC82E840-2D17-4FED-8B17-D69A8494BDD8}"/>
    <cellStyle name="Normal 5 2 3 2 5 6" xfId="26751" xr:uid="{87D0EA8D-B371-4375-A855-0C4B9DDBD89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BDD3D5F4-86F7-4E10-8FDB-FE907DC35ABA}"/>
    <cellStyle name="Normal 5 2 3 2 6 2 2 3" xfId="25079" xr:uid="{91484B67-910E-48F7-8140-AED6D94597CB}"/>
    <cellStyle name="Normal 5 2 3 2 6 2 2 4" xfId="33526" xr:uid="{75C8D362-D41B-4C75-8897-E16B62CFF030}"/>
    <cellStyle name="Normal 5 2 3 2 6 2 3" xfId="12414" xr:uid="{A602B8C2-5DA0-4AD3-BCD0-D05BBF845B85}"/>
    <cellStyle name="Normal 5 2 3 2 6 2 4" xfId="20862" xr:uid="{81C4D946-C2EB-4D52-82B8-5D19D4B2F45F}"/>
    <cellStyle name="Normal 5 2 3 2 6 2 5" xfId="29309" xr:uid="{31C9C6D1-38BA-430D-90CD-9DD6FB7F4FE3}"/>
    <cellStyle name="Normal 5 2 3 2 6 3" xfId="6037" xr:uid="{00000000-0005-0000-0000-00007C180000}"/>
    <cellStyle name="Normal 5 2 3 2 6 3 2" xfId="14487" xr:uid="{78F9D767-1A44-4F96-8967-38EC2CE20D31}"/>
    <cellStyle name="Normal 5 2 3 2 6 3 3" xfId="22934" xr:uid="{F2184DBC-43B5-4835-8D2E-807A0309E3E0}"/>
    <cellStyle name="Normal 5 2 3 2 6 3 4" xfId="31381" xr:uid="{567CE9F0-EC0D-4593-9C85-E1D27313E6A2}"/>
    <cellStyle name="Normal 5 2 3 2 6 4" xfId="10269" xr:uid="{6F5F7727-CAAC-4FAC-9873-B6BC70064A35}"/>
    <cellStyle name="Normal 5 2 3 2 6 5" xfId="18717" xr:uid="{17B73744-E63F-442A-A603-7ACEC95F61EE}"/>
    <cellStyle name="Normal 5 2 3 2 6 6" xfId="27164" xr:uid="{405A7939-3F88-43E3-B850-35EE292D56DB}"/>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33761065-B2DD-473C-9DD1-B94B7CF32964}"/>
    <cellStyle name="Normal 5 2 3 2 7 2 2 3" xfId="25492" xr:uid="{0887C001-D97F-4E1C-85BC-2C14CF3C8072}"/>
    <cellStyle name="Normal 5 2 3 2 7 2 2 4" xfId="33939" xr:uid="{EEB65A5C-B397-47BC-BD04-0F70817AE08B}"/>
    <cellStyle name="Normal 5 2 3 2 7 2 3" xfId="12827" xr:uid="{732975F6-C78C-4A4B-80A6-1682FDD51883}"/>
    <cellStyle name="Normal 5 2 3 2 7 2 4" xfId="21275" xr:uid="{EA5F3549-EDE0-40C0-B991-7AE21DC2CE5A}"/>
    <cellStyle name="Normal 5 2 3 2 7 2 5" xfId="29722" xr:uid="{19FA7EE9-2AA0-4B1A-AD51-D1CD739FAB7A}"/>
    <cellStyle name="Normal 5 2 3 2 7 3" xfId="6450" xr:uid="{00000000-0005-0000-0000-000080180000}"/>
    <cellStyle name="Normal 5 2 3 2 7 3 2" xfId="14900" xr:uid="{B85EEF00-DDE8-4FFC-8EDA-C45034ED1C72}"/>
    <cellStyle name="Normal 5 2 3 2 7 3 3" xfId="23347" xr:uid="{D1724301-F0FF-4000-9620-5077B5755941}"/>
    <cellStyle name="Normal 5 2 3 2 7 3 4" xfId="31794" xr:uid="{884DA5F3-F246-408A-BCC6-08544DE5CD56}"/>
    <cellStyle name="Normal 5 2 3 2 7 4" xfId="10682" xr:uid="{1C98E7F7-7ECB-4546-A1EA-999A4DF380F7}"/>
    <cellStyle name="Normal 5 2 3 2 7 5" xfId="19130" xr:uid="{6CD7B2AF-DD71-4121-840D-F0777C56AA46}"/>
    <cellStyle name="Normal 5 2 3 2 7 6" xfId="27577" xr:uid="{A8B5D31D-AD81-4171-BA25-F729A797E011}"/>
    <cellStyle name="Normal 5 2 3 2 8" xfId="2580" xr:uid="{00000000-0005-0000-0000-000081180000}"/>
    <cellStyle name="Normal 5 2 3 2 8 2" xfId="6863" xr:uid="{00000000-0005-0000-0000-000082180000}"/>
    <cellStyle name="Normal 5 2 3 2 8 2 2" xfId="15313" xr:uid="{BD111561-E846-49BE-A7BE-1820F2ABC55C}"/>
    <cellStyle name="Normal 5 2 3 2 8 2 3" xfId="23760" xr:uid="{347795ED-1A44-4461-B31C-1965EA0AC319}"/>
    <cellStyle name="Normal 5 2 3 2 8 2 4" xfId="32207" xr:uid="{6FAB3647-AABF-46D9-B7B2-E71C22C9E450}"/>
    <cellStyle name="Normal 5 2 3 2 8 3" xfId="11095" xr:uid="{105EA9CE-4623-431A-988D-7C7ED3A0BF24}"/>
    <cellStyle name="Normal 5 2 3 2 8 4" xfId="19543" xr:uid="{34D96B18-D3C3-4BDD-AF09-647B43CD4B86}"/>
    <cellStyle name="Normal 5 2 3 2 8 5" xfId="27990" xr:uid="{7443B2A6-3998-4DF1-B873-CD661176EE93}"/>
    <cellStyle name="Normal 5 2 3 2 9" xfId="4798" xr:uid="{00000000-0005-0000-0000-000083180000}"/>
    <cellStyle name="Normal 5 2 3 2 9 2" xfId="13248" xr:uid="{5790D280-0220-40DF-BFBA-4F87896BC866}"/>
    <cellStyle name="Normal 5 2 3 2 9 3" xfId="21695" xr:uid="{82207396-D018-4C6B-8063-D6DFFD8DF067}"/>
    <cellStyle name="Normal 5 2 3 2 9 4" xfId="30142" xr:uid="{853099B0-7EEC-4746-A655-E7274C88374B}"/>
    <cellStyle name="Normal 5 2 3 3" xfId="429" xr:uid="{00000000-0005-0000-0000-000084180000}"/>
    <cellStyle name="Normal 5 2 3 3 10" xfId="17482" xr:uid="{66B45E9B-3351-4B9C-B5E9-6F72451B2F78}"/>
    <cellStyle name="Normal 5 2 3 3 11" xfId="25929" xr:uid="{A103F496-D125-47FA-A14C-4E76B0F830CF}"/>
    <cellStyle name="Normal 5 2 3 3 2" xfId="430" xr:uid="{00000000-0005-0000-0000-000085180000}"/>
    <cellStyle name="Normal 5 2 3 3 2 10" xfId="25930" xr:uid="{D60C195C-D4BF-4949-B989-1854C4C42368}"/>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6179FB8E-5DB5-4F77-9BD0-72309E39F4F6}"/>
    <cellStyle name="Normal 5 2 3 3 2 2 2 2 3" xfId="24258" xr:uid="{23159F74-C5FF-49CD-AD62-51973B231C87}"/>
    <cellStyle name="Normal 5 2 3 3 2 2 2 2 4" xfId="32705" xr:uid="{75222D7D-EB66-4C04-9354-8D5BB5A18B93}"/>
    <cellStyle name="Normal 5 2 3 3 2 2 2 3" xfId="11593" xr:uid="{EA819705-3958-41EE-84E6-EB74F5C09949}"/>
    <cellStyle name="Normal 5 2 3 3 2 2 2 4" xfId="20041" xr:uid="{E6617888-C612-48C4-B632-36D46D229119}"/>
    <cellStyle name="Normal 5 2 3 3 2 2 2 5" xfId="28488" xr:uid="{BCB14EF3-F9D8-4413-9928-60CEFB066C73}"/>
    <cellStyle name="Normal 5 2 3 3 2 2 3" xfId="5216" xr:uid="{00000000-0005-0000-0000-000089180000}"/>
    <cellStyle name="Normal 5 2 3 3 2 2 3 2" xfId="13666" xr:uid="{522E3FFB-E9D4-4503-8259-C1618010A5C4}"/>
    <cellStyle name="Normal 5 2 3 3 2 2 3 3" xfId="22113" xr:uid="{858ADFED-B67E-45DA-8F30-E78EF55E2007}"/>
    <cellStyle name="Normal 5 2 3 3 2 2 3 4" xfId="30560" xr:uid="{C09316F4-6801-4787-B1E4-4D8E3CB534B4}"/>
    <cellStyle name="Normal 5 2 3 3 2 2 4" xfId="9448" xr:uid="{0ADC1706-2767-4E7C-91A2-4F7F5FCCFD85}"/>
    <cellStyle name="Normal 5 2 3 3 2 2 5" xfId="17896" xr:uid="{A5F983AC-A9DF-43DD-B3B2-1F9C061D361D}"/>
    <cellStyle name="Normal 5 2 3 3 2 2 6" xfId="26343" xr:uid="{78948416-977B-4B44-AEC7-7952924352C8}"/>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7E51A11A-BF86-4803-BF1C-83F749164820}"/>
    <cellStyle name="Normal 5 2 3 3 2 3 2 2 3" xfId="24671" xr:uid="{A38FAA51-E94B-4203-B4B1-1B1E0A215946}"/>
    <cellStyle name="Normal 5 2 3 3 2 3 2 2 4" xfId="33118" xr:uid="{AA3B5524-A1EC-4B32-A8BE-1C53C3806A1B}"/>
    <cellStyle name="Normal 5 2 3 3 2 3 2 3" xfId="12006" xr:uid="{CBB6A39C-3CC5-4C27-B997-DE24A2FC5691}"/>
    <cellStyle name="Normal 5 2 3 3 2 3 2 4" xfId="20454" xr:uid="{28E7298B-C9B1-4E90-95CB-187A3DC28D8B}"/>
    <cellStyle name="Normal 5 2 3 3 2 3 2 5" xfId="28901" xr:uid="{F43A16A2-86E2-46A9-9005-124F274E1A66}"/>
    <cellStyle name="Normal 5 2 3 3 2 3 3" xfId="5629" xr:uid="{00000000-0005-0000-0000-00008D180000}"/>
    <cellStyle name="Normal 5 2 3 3 2 3 3 2" xfId="14079" xr:uid="{7EFF4BA6-DF94-4778-993D-AD38401EF0C6}"/>
    <cellStyle name="Normal 5 2 3 3 2 3 3 3" xfId="22526" xr:uid="{46CEE7EE-33DF-47FE-8D83-1F6E8BB11790}"/>
    <cellStyle name="Normal 5 2 3 3 2 3 3 4" xfId="30973" xr:uid="{CB7C9C35-FBA9-4744-AD1E-25787F08943A}"/>
    <cellStyle name="Normal 5 2 3 3 2 3 4" xfId="9861" xr:uid="{7A502C55-FFCB-4660-9F86-1BF4B735E0C6}"/>
    <cellStyle name="Normal 5 2 3 3 2 3 5" xfId="18309" xr:uid="{013F89AA-649F-4567-8D10-887E4DC4B6A8}"/>
    <cellStyle name="Normal 5 2 3 3 2 3 6" xfId="26756" xr:uid="{2A464462-C3FB-4B0A-9E5A-D94FB9DEAD13}"/>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121492A4-6B93-4704-B7B4-25D1180FBB75}"/>
    <cellStyle name="Normal 5 2 3 3 2 4 2 2 3" xfId="25084" xr:uid="{49072625-ACA2-4FEC-9BBD-05E7B1A4BED3}"/>
    <cellStyle name="Normal 5 2 3 3 2 4 2 2 4" xfId="33531" xr:uid="{FEDDA29B-A497-4CAD-B32B-53598A021E0F}"/>
    <cellStyle name="Normal 5 2 3 3 2 4 2 3" xfId="12419" xr:uid="{D364102F-89DE-45CF-A6EB-760B700EC468}"/>
    <cellStyle name="Normal 5 2 3 3 2 4 2 4" xfId="20867" xr:uid="{70979F52-1B0E-4A97-942B-2D2C706801A6}"/>
    <cellStyle name="Normal 5 2 3 3 2 4 2 5" xfId="29314" xr:uid="{576C4218-96F0-4C18-99B0-73A5E4366764}"/>
    <cellStyle name="Normal 5 2 3 3 2 4 3" xfId="6042" xr:uid="{00000000-0005-0000-0000-000091180000}"/>
    <cellStyle name="Normal 5 2 3 3 2 4 3 2" xfId="14492" xr:uid="{6C67C346-7955-4C6A-962F-059E09522BD4}"/>
    <cellStyle name="Normal 5 2 3 3 2 4 3 3" xfId="22939" xr:uid="{48A58F2B-873A-47B5-8AA2-27E2D0FBC315}"/>
    <cellStyle name="Normal 5 2 3 3 2 4 3 4" xfId="31386" xr:uid="{FCC06694-968E-4DA8-9C88-5E39A44D1A18}"/>
    <cellStyle name="Normal 5 2 3 3 2 4 4" xfId="10274" xr:uid="{3FCC8A25-7E7E-4945-9314-33F1BA55058E}"/>
    <cellStyle name="Normal 5 2 3 3 2 4 5" xfId="18722" xr:uid="{6E16063C-0F1C-47BE-9060-8A963D21D71A}"/>
    <cellStyle name="Normal 5 2 3 3 2 4 6" xfId="27169" xr:uid="{95187D45-49A3-4C82-81F9-F4832FF8D1D3}"/>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ED1D15CE-5170-4D9E-95D4-DE491B87ED6D}"/>
    <cellStyle name="Normal 5 2 3 3 2 5 2 2 3" xfId="25497" xr:uid="{1EEFEC9D-3A31-498D-B0B9-4EA873CD87F8}"/>
    <cellStyle name="Normal 5 2 3 3 2 5 2 2 4" xfId="33944" xr:uid="{B1BEB2F1-277F-44FD-94B3-58C259B124B7}"/>
    <cellStyle name="Normal 5 2 3 3 2 5 2 3" xfId="12832" xr:uid="{133EEEE9-EC63-4DEB-8524-C0715F22B4E8}"/>
    <cellStyle name="Normal 5 2 3 3 2 5 2 4" xfId="21280" xr:uid="{BECEBD7F-A0A0-4FBF-B92E-A1453807269E}"/>
    <cellStyle name="Normal 5 2 3 3 2 5 2 5" xfId="29727" xr:uid="{5A12B10E-039E-49AC-8045-2ABBF44C8902}"/>
    <cellStyle name="Normal 5 2 3 3 2 5 3" xfId="6455" xr:uid="{00000000-0005-0000-0000-000095180000}"/>
    <cellStyle name="Normal 5 2 3 3 2 5 3 2" xfId="14905" xr:uid="{DB2334AF-2CD4-40DC-B104-969457FBD0C6}"/>
    <cellStyle name="Normal 5 2 3 3 2 5 3 3" xfId="23352" xr:uid="{8A8F8DC8-6F34-46D3-B207-3522E537D2CD}"/>
    <cellStyle name="Normal 5 2 3 3 2 5 3 4" xfId="31799" xr:uid="{09D4AFF6-6DE9-447C-A1F4-AF7F392AF3A2}"/>
    <cellStyle name="Normal 5 2 3 3 2 5 4" xfId="10687" xr:uid="{C9400BBC-0EA5-4276-8E65-1C6154E8FF3A}"/>
    <cellStyle name="Normal 5 2 3 3 2 5 5" xfId="19135" xr:uid="{FE09FD78-49F8-4AF4-8AEA-29816725240B}"/>
    <cellStyle name="Normal 5 2 3 3 2 5 6" xfId="27582" xr:uid="{07A721E6-CCBC-4AE5-BAC1-3D42F1ACAE85}"/>
    <cellStyle name="Normal 5 2 3 3 2 6" xfId="2585" xr:uid="{00000000-0005-0000-0000-000096180000}"/>
    <cellStyle name="Normal 5 2 3 3 2 6 2" xfId="6868" xr:uid="{00000000-0005-0000-0000-000097180000}"/>
    <cellStyle name="Normal 5 2 3 3 2 6 2 2" xfId="15318" xr:uid="{B579AC94-8E21-4FC4-9CC3-D15DF3363E5E}"/>
    <cellStyle name="Normal 5 2 3 3 2 6 2 3" xfId="23765" xr:uid="{487AF6D3-D2F9-48AD-9923-1B9AECE501B8}"/>
    <cellStyle name="Normal 5 2 3 3 2 6 2 4" xfId="32212" xr:uid="{263E2162-02F7-4B25-8C06-ECB3192D39EF}"/>
    <cellStyle name="Normal 5 2 3 3 2 6 3" xfId="11100" xr:uid="{559971A9-A238-475D-A104-DD3BD9197B2A}"/>
    <cellStyle name="Normal 5 2 3 3 2 6 4" xfId="19548" xr:uid="{3260A9C6-8482-4C34-A684-1CADF45C0384}"/>
    <cellStyle name="Normal 5 2 3 3 2 6 5" xfId="27995" xr:uid="{69FEFE2B-EE89-40AA-A5E2-AFB819AE044A}"/>
    <cellStyle name="Normal 5 2 3 3 2 7" xfId="4803" xr:uid="{00000000-0005-0000-0000-000098180000}"/>
    <cellStyle name="Normal 5 2 3 3 2 7 2" xfId="13253" xr:uid="{A7D7A2DC-2276-48CA-9138-A768AA6B423B}"/>
    <cellStyle name="Normal 5 2 3 3 2 7 3" xfId="21700" xr:uid="{B328F417-B4EA-4ECF-B233-9AF31E2030BB}"/>
    <cellStyle name="Normal 5 2 3 3 2 7 4" xfId="30147" xr:uid="{44469846-512C-4908-87CB-CACD34F97212}"/>
    <cellStyle name="Normal 5 2 3 3 2 8" xfId="9035" xr:uid="{BCAC7199-292F-496B-A5BE-046011DD9884}"/>
    <cellStyle name="Normal 5 2 3 3 2 9" xfId="17483" xr:uid="{5EF94068-EE87-41DD-BAA3-DF5FBBCA7C56}"/>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B9107A7D-4A7B-4946-A5CF-05F2CFE05EEF}"/>
    <cellStyle name="Normal 5 2 3 3 3 2 2 3" xfId="24257" xr:uid="{51FC647A-69B5-411E-9827-ED38F38B2C5F}"/>
    <cellStyle name="Normal 5 2 3 3 3 2 2 4" xfId="32704" xr:uid="{A78498B6-8588-4046-945D-35FC87029EC8}"/>
    <cellStyle name="Normal 5 2 3 3 3 2 3" xfId="11592" xr:uid="{C796495D-2B54-4864-82E9-D216F7AD0FFF}"/>
    <cellStyle name="Normal 5 2 3 3 3 2 4" xfId="20040" xr:uid="{FC750FD1-77C7-4F3D-9020-B0929557F85D}"/>
    <cellStyle name="Normal 5 2 3 3 3 2 5" xfId="28487" xr:uid="{9D3B509C-206E-43F3-A652-B3B32723211E}"/>
    <cellStyle name="Normal 5 2 3 3 3 3" xfId="5215" xr:uid="{00000000-0005-0000-0000-00009C180000}"/>
    <cellStyle name="Normal 5 2 3 3 3 3 2" xfId="13665" xr:uid="{342A53E1-7B11-497A-9DFE-56BAEC975F8D}"/>
    <cellStyle name="Normal 5 2 3 3 3 3 3" xfId="22112" xr:uid="{50DF8852-7357-4BC7-803E-A6FFF6D655C9}"/>
    <cellStyle name="Normal 5 2 3 3 3 3 4" xfId="30559" xr:uid="{3FA95587-D368-4550-A8BD-72ABDD3A6186}"/>
    <cellStyle name="Normal 5 2 3 3 3 4" xfId="9447" xr:uid="{09C7237C-0F20-421A-B6CC-A09E458F3700}"/>
    <cellStyle name="Normal 5 2 3 3 3 5" xfId="17895" xr:uid="{7A519846-7E92-492E-BDAF-8689E260701C}"/>
    <cellStyle name="Normal 5 2 3 3 3 6" xfId="26342" xr:uid="{94208545-CAB1-4A9E-A995-BD5822409164}"/>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BEB1BAF7-B787-4867-A888-A9FF787A9F0B}"/>
    <cellStyle name="Normal 5 2 3 3 4 2 2 3" xfId="24670" xr:uid="{92CCEC6D-8948-414F-A02F-CABF8A423779}"/>
    <cellStyle name="Normal 5 2 3 3 4 2 2 4" xfId="33117" xr:uid="{F7700DB5-2227-4EF1-8DD6-8F07F6C53D9C}"/>
    <cellStyle name="Normal 5 2 3 3 4 2 3" xfId="12005" xr:uid="{C9180CB3-FA52-4169-9064-2AEFBEA2E563}"/>
    <cellStyle name="Normal 5 2 3 3 4 2 4" xfId="20453" xr:uid="{C08C896F-2DD9-40FC-AABF-521503F78DE4}"/>
    <cellStyle name="Normal 5 2 3 3 4 2 5" xfId="28900" xr:uid="{2B9E1EB9-E75C-4E3C-B7AC-F2A97E04037C}"/>
    <cellStyle name="Normal 5 2 3 3 4 3" xfId="5628" xr:uid="{00000000-0005-0000-0000-0000A0180000}"/>
    <cellStyle name="Normal 5 2 3 3 4 3 2" xfId="14078" xr:uid="{1847093A-79E0-4F11-8F83-C65782161325}"/>
    <cellStyle name="Normal 5 2 3 3 4 3 3" xfId="22525" xr:uid="{DC0F362E-E835-4441-A46C-0374085CE535}"/>
    <cellStyle name="Normal 5 2 3 3 4 3 4" xfId="30972" xr:uid="{8D89AD16-2347-48FE-B47C-B5D7C1E27195}"/>
    <cellStyle name="Normal 5 2 3 3 4 4" xfId="9860" xr:uid="{A76FEFC9-DAB6-45BE-A2F8-D7DEBB477F5E}"/>
    <cellStyle name="Normal 5 2 3 3 4 5" xfId="18308" xr:uid="{48DE0C7C-A794-46DB-A665-225A339F7704}"/>
    <cellStyle name="Normal 5 2 3 3 4 6" xfId="26755" xr:uid="{331ACC44-01CB-43B6-823C-86DF1182C8DF}"/>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33E16543-A3A6-4CEA-84FC-4A70EC248161}"/>
    <cellStyle name="Normal 5 2 3 3 5 2 2 3" xfId="25083" xr:uid="{44F69560-AED4-4564-857F-06EA886C9369}"/>
    <cellStyle name="Normal 5 2 3 3 5 2 2 4" xfId="33530" xr:uid="{2DE71D51-739B-44B9-947F-4FED3E3ABBAE}"/>
    <cellStyle name="Normal 5 2 3 3 5 2 3" xfId="12418" xr:uid="{2BC8547F-221A-4156-9F19-8084F2DB2DC3}"/>
    <cellStyle name="Normal 5 2 3 3 5 2 4" xfId="20866" xr:uid="{2033E9E5-F078-4DAC-B270-D289FBF08F54}"/>
    <cellStyle name="Normal 5 2 3 3 5 2 5" xfId="29313" xr:uid="{0419A0EA-141B-4A3E-88F4-712D9B311233}"/>
    <cellStyle name="Normal 5 2 3 3 5 3" xfId="6041" xr:uid="{00000000-0005-0000-0000-0000A4180000}"/>
    <cellStyle name="Normal 5 2 3 3 5 3 2" xfId="14491" xr:uid="{2C8126E2-716C-4A25-99A5-506456D1159E}"/>
    <cellStyle name="Normal 5 2 3 3 5 3 3" xfId="22938" xr:uid="{B8955C5C-EF45-4DFC-AF79-62E28D938B30}"/>
    <cellStyle name="Normal 5 2 3 3 5 3 4" xfId="31385" xr:uid="{17782CF0-6D29-4DCC-85B3-1DE669224DE6}"/>
    <cellStyle name="Normal 5 2 3 3 5 4" xfId="10273" xr:uid="{960869DB-8C20-4E0E-8AAF-63EF5E98D46B}"/>
    <cellStyle name="Normal 5 2 3 3 5 5" xfId="18721" xr:uid="{84F54171-EE95-4F7D-93A7-BE95DF1AA153}"/>
    <cellStyle name="Normal 5 2 3 3 5 6" xfId="27168" xr:uid="{217E8FBE-5739-4D66-A4EF-8A6F001DB5A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047ECED9-75FA-4541-933A-9DBB311B1E25}"/>
    <cellStyle name="Normal 5 2 3 3 6 2 2 3" xfId="25496" xr:uid="{F4167283-013D-43C7-A4AF-39D5650E05E5}"/>
    <cellStyle name="Normal 5 2 3 3 6 2 2 4" xfId="33943" xr:uid="{764BC6C6-D93C-40B4-A285-6079C140F5CC}"/>
    <cellStyle name="Normal 5 2 3 3 6 2 3" xfId="12831" xr:uid="{D5A35C78-5987-4017-8C80-3C1999516197}"/>
    <cellStyle name="Normal 5 2 3 3 6 2 4" xfId="21279" xr:uid="{4D041452-B012-4ACD-9C73-56834E0F29AB}"/>
    <cellStyle name="Normal 5 2 3 3 6 2 5" xfId="29726" xr:uid="{2D83DB8D-3B23-4408-91EE-A3BA3CA377E1}"/>
    <cellStyle name="Normal 5 2 3 3 6 3" xfId="6454" xr:uid="{00000000-0005-0000-0000-0000A8180000}"/>
    <cellStyle name="Normal 5 2 3 3 6 3 2" xfId="14904" xr:uid="{A78C08EE-7736-4F13-A80F-5EA65AE9B816}"/>
    <cellStyle name="Normal 5 2 3 3 6 3 3" xfId="23351" xr:uid="{E64FEB6E-A514-4433-B457-0B37A60AD4D6}"/>
    <cellStyle name="Normal 5 2 3 3 6 3 4" xfId="31798" xr:uid="{0DE6CDEF-0399-4C3D-BF1F-6262B6004AD6}"/>
    <cellStyle name="Normal 5 2 3 3 6 4" xfId="10686" xr:uid="{23717540-8327-4535-8532-48172B037F89}"/>
    <cellStyle name="Normal 5 2 3 3 6 5" xfId="19134" xr:uid="{886BD5C7-52CA-45D4-BFA6-34CBC57443B5}"/>
    <cellStyle name="Normal 5 2 3 3 6 6" xfId="27581" xr:uid="{75CE16AF-B01E-463A-9BCE-57E2344A9BCD}"/>
    <cellStyle name="Normal 5 2 3 3 7" xfId="2584" xr:uid="{00000000-0005-0000-0000-0000A9180000}"/>
    <cellStyle name="Normal 5 2 3 3 7 2" xfId="6867" xr:uid="{00000000-0005-0000-0000-0000AA180000}"/>
    <cellStyle name="Normal 5 2 3 3 7 2 2" xfId="15317" xr:uid="{34F426A0-0CB1-432F-85D3-F13B624684FE}"/>
    <cellStyle name="Normal 5 2 3 3 7 2 3" xfId="23764" xr:uid="{34D58368-DA4D-4647-98E8-9B630CCCB779}"/>
    <cellStyle name="Normal 5 2 3 3 7 2 4" xfId="32211" xr:uid="{FAC42237-FDA6-4947-9B84-DEC92C69B81A}"/>
    <cellStyle name="Normal 5 2 3 3 7 3" xfId="11099" xr:uid="{9BD79350-90E8-4171-BD2E-DE2C9962DE41}"/>
    <cellStyle name="Normal 5 2 3 3 7 4" xfId="19547" xr:uid="{90B0DECE-26D2-4A8B-839E-B849BC46709B}"/>
    <cellStyle name="Normal 5 2 3 3 7 5" xfId="27994" xr:uid="{97F883B2-1353-46B9-974C-83DDB2F29DDA}"/>
    <cellStyle name="Normal 5 2 3 3 8" xfId="4802" xr:uid="{00000000-0005-0000-0000-0000AB180000}"/>
    <cellStyle name="Normal 5 2 3 3 8 2" xfId="13252" xr:uid="{C0BCE0E8-4F8F-4E1C-BE6A-1FD29893EE39}"/>
    <cellStyle name="Normal 5 2 3 3 8 3" xfId="21699" xr:uid="{CF0379FA-619F-4029-A6EF-A48FAE18B9E0}"/>
    <cellStyle name="Normal 5 2 3 3 8 4" xfId="30146" xr:uid="{84E00599-D560-46C1-95C9-9645E9D2D7F3}"/>
    <cellStyle name="Normal 5 2 3 3 9" xfId="9034" xr:uid="{C662A132-B7B5-407F-ACFE-D9A0076212CE}"/>
    <cellStyle name="Normal 5 2 3 4" xfId="431" xr:uid="{00000000-0005-0000-0000-0000AC180000}"/>
    <cellStyle name="Normal 5 2 3 4 10" xfId="25931" xr:uid="{7A6634B3-60E5-4492-8775-5FEB36098DA6}"/>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ECAEB022-876C-4151-9097-B733DA37B514}"/>
    <cellStyle name="Normal 5 2 3 4 2 2 2 3" xfId="24259" xr:uid="{6EF53EE0-E59F-4E79-8160-99D475F8642C}"/>
    <cellStyle name="Normal 5 2 3 4 2 2 2 4" xfId="32706" xr:uid="{69832D0A-7A4A-4241-AC62-054A7FA02755}"/>
    <cellStyle name="Normal 5 2 3 4 2 2 3" xfId="11594" xr:uid="{72D5B7D7-3F47-4E01-BAD2-F85E30DA88ED}"/>
    <cellStyle name="Normal 5 2 3 4 2 2 4" xfId="20042" xr:uid="{4E4B93F9-5FBB-4252-B052-B31FD2566BA9}"/>
    <cellStyle name="Normal 5 2 3 4 2 2 5" xfId="28489" xr:uid="{9456492B-2671-460F-ADA7-363EBC5EFAB4}"/>
    <cellStyle name="Normal 5 2 3 4 2 3" xfId="5217" xr:uid="{00000000-0005-0000-0000-0000B0180000}"/>
    <cellStyle name="Normal 5 2 3 4 2 3 2" xfId="13667" xr:uid="{2D3FF93C-217E-4CAA-A07D-3DF6A3430F08}"/>
    <cellStyle name="Normal 5 2 3 4 2 3 3" xfId="22114" xr:uid="{6E0EF9D6-B1D1-40D3-9C25-36317E89A5AD}"/>
    <cellStyle name="Normal 5 2 3 4 2 3 4" xfId="30561" xr:uid="{41958FF4-E68D-491E-A665-0511E57DEDF5}"/>
    <cellStyle name="Normal 5 2 3 4 2 4" xfId="9449" xr:uid="{EFBD0FE8-EB93-4F8A-8146-780A1B5C6333}"/>
    <cellStyle name="Normal 5 2 3 4 2 5" xfId="17897" xr:uid="{8B0A3816-2DF1-4C5A-9BF1-2E2B6E718569}"/>
    <cellStyle name="Normal 5 2 3 4 2 6" xfId="26344" xr:uid="{CFC735CE-F66F-4BB5-9D17-F520D25F89D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931BEB01-695B-4504-A46A-A12D2215B98C}"/>
    <cellStyle name="Normal 5 2 3 4 3 2 2 3" xfId="24672" xr:uid="{06E71F5C-3D2F-40AE-BF13-1979EE5A5155}"/>
    <cellStyle name="Normal 5 2 3 4 3 2 2 4" xfId="33119" xr:uid="{028829D8-9042-497E-BDFD-FE2E14B3EB9C}"/>
    <cellStyle name="Normal 5 2 3 4 3 2 3" xfId="12007" xr:uid="{D0EBD7E0-F9DF-46E0-857F-7BFE5B079CDC}"/>
    <cellStyle name="Normal 5 2 3 4 3 2 4" xfId="20455" xr:uid="{4BE09658-3FCF-4D0B-88A0-616020965D2B}"/>
    <cellStyle name="Normal 5 2 3 4 3 2 5" xfId="28902" xr:uid="{B13A6507-6715-49FA-AFF2-399D48F596A8}"/>
    <cellStyle name="Normal 5 2 3 4 3 3" xfId="5630" xr:uid="{00000000-0005-0000-0000-0000B4180000}"/>
    <cellStyle name="Normal 5 2 3 4 3 3 2" xfId="14080" xr:uid="{0CB18A57-8A3A-4400-92E8-7F36948B8FC7}"/>
    <cellStyle name="Normal 5 2 3 4 3 3 3" xfId="22527" xr:uid="{96A66C9D-D0E7-4B12-848D-593F1B1C2EBA}"/>
    <cellStyle name="Normal 5 2 3 4 3 3 4" xfId="30974" xr:uid="{06516286-3EDC-496A-9CD0-DC1B70532EFA}"/>
    <cellStyle name="Normal 5 2 3 4 3 4" xfId="9862" xr:uid="{C751AD70-DBED-49E1-AB09-7490F0A34BB2}"/>
    <cellStyle name="Normal 5 2 3 4 3 5" xfId="18310" xr:uid="{A9BEF5B6-1C65-42C6-A0EB-09685656FC75}"/>
    <cellStyle name="Normal 5 2 3 4 3 6" xfId="26757" xr:uid="{0605DC28-1DB1-4F97-9D8D-634C3A8A10C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CE034096-8893-4308-AA91-78506AE9BDE6}"/>
    <cellStyle name="Normal 5 2 3 4 4 2 2 3" xfId="25085" xr:uid="{C0C9D625-8A14-4754-B01D-B7B000E1C3B0}"/>
    <cellStyle name="Normal 5 2 3 4 4 2 2 4" xfId="33532" xr:uid="{A2626AB8-D0B1-42A5-9729-FB878D3F5DFB}"/>
    <cellStyle name="Normal 5 2 3 4 4 2 3" xfId="12420" xr:uid="{3B87C1DF-D006-4C4C-BFAA-B6FF74444D7B}"/>
    <cellStyle name="Normal 5 2 3 4 4 2 4" xfId="20868" xr:uid="{2F5B6120-116F-42D4-A1E8-1145CF8A492F}"/>
    <cellStyle name="Normal 5 2 3 4 4 2 5" xfId="29315" xr:uid="{17E7F2DC-E2BB-450B-8C03-D9E63F4E09BB}"/>
    <cellStyle name="Normal 5 2 3 4 4 3" xfId="6043" xr:uid="{00000000-0005-0000-0000-0000B8180000}"/>
    <cellStyle name="Normal 5 2 3 4 4 3 2" xfId="14493" xr:uid="{A34EFDEF-76F4-4469-A259-BE41DE64A2E6}"/>
    <cellStyle name="Normal 5 2 3 4 4 3 3" xfId="22940" xr:uid="{6E7388BB-3966-4CE1-98F2-BBF0C2E7D592}"/>
    <cellStyle name="Normal 5 2 3 4 4 3 4" xfId="31387" xr:uid="{F68D0B0C-C802-47E2-9A0E-97BC093BF3A2}"/>
    <cellStyle name="Normal 5 2 3 4 4 4" xfId="10275" xr:uid="{5C329B98-01CB-43E1-9D72-3065A11AAABB}"/>
    <cellStyle name="Normal 5 2 3 4 4 5" xfId="18723" xr:uid="{4023BA7B-3C18-4B41-A86E-9FA80331FD4F}"/>
    <cellStyle name="Normal 5 2 3 4 4 6" xfId="27170" xr:uid="{B14430AE-BC9C-4E2F-B614-6DB1C9893DD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DA5EB829-A5EB-4745-927F-7B6F534BD952}"/>
    <cellStyle name="Normal 5 2 3 4 5 2 2 3" xfId="25498" xr:uid="{82829803-6982-49A0-9325-5BB53F64A194}"/>
    <cellStyle name="Normal 5 2 3 4 5 2 2 4" xfId="33945" xr:uid="{8CBA4610-E66F-4396-B34D-95C6FD79B06B}"/>
    <cellStyle name="Normal 5 2 3 4 5 2 3" xfId="12833" xr:uid="{8D75CB73-1B23-4C5C-A697-50D093366DF8}"/>
    <cellStyle name="Normal 5 2 3 4 5 2 4" xfId="21281" xr:uid="{AA89D927-9A94-4B91-87F7-F218361DAA1B}"/>
    <cellStyle name="Normal 5 2 3 4 5 2 5" xfId="29728" xr:uid="{20D8000E-D682-4D8A-BECD-29F46D2F38CA}"/>
    <cellStyle name="Normal 5 2 3 4 5 3" xfId="6456" xr:uid="{00000000-0005-0000-0000-0000BC180000}"/>
    <cellStyle name="Normal 5 2 3 4 5 3 2" xfId="14906" xr:uid="{31DADEC7-673D-4F68-9B3D-6557FAE58358}"/>
    <cellStyle name="Normal 5 2 3 4 5 3 3" xfId="23353" xr:uid="{20F88187-0D1F-4FD9-9F3A-CA18774D17C3}"/>
    <cellStyle name="Normal 5 2 3 4 5 3 4" xfId="31800" xr:uid="{5D95A27B-D93E-48D4-AAC8-53D78C7CF6A2}"/>
    <cellStyle name="Normal 5 2 3 4 5 4" xfId="10688" xr:uid="{915C80EF-2740-4E01-BF63-E41394055BBD}"/>
    <cellStyle name="Normal 5 2 3 4 5 5" xfId="19136" xr:uid="{1F418CC7-2B06-4766-BDB6-5274116D0BBE}"/>
    <cellStyle name="Normal 5 2 3 4 5 6" xfId="27583" xr:uid="{91773F29-EF9D-4937-AA3D-BC5166D89E11}"/>
    <cellStyle name="Normal 5 2 3 4 6" xfId="2586" xr:uid="{00000000-0005-0000-0000-0000BD180000}"/>
    <cellStyle name="Normal 5 2 3 4 6 2" xfId="6869" xr:uid="{00000000-0005-0000-0000-0000BE180000}"/>
    <cellStyle name="Normal 5 2 3 4 6 2 2" xfId="15319" xr:uid="{737CE05C-C9AF-4D76-A6A7-18D00E51FA07}"/>
    <cellStyle name="Normal 5 2 3 4 6 2 3" xfId="23766" xr:uid="{063E4FEB-A36A-4B80-8551-B9EA502F2167}"/>
    <cellStyle name="Normal 5 2 3 4 6 2 4" xfId="32213" xr:uid="{566208C3-D014-4441-B47C-839E62139EE7}"/>
    <cellStyle name="Normal 5 2 3 4 6 3" xfId="11101" xr:uid="{4609EA4F-FEB4-4411-A793-71904E668E61}"/>
    <cellStyle name="Normal 5 2 3 4 6 4" xfId="19549" xr:uid="{C4AA7CFD-721D-4CF6-BFFB-6229F4145460}"/>
    <cellStyle name="Normal 5 2 3 4 6 5" xfId="27996" xr:uid="{AF0F1CAD-02A7-4D80-A339-25918F3BFDA3}"/>
    <cellStyle name="Normal 5 2 3 4 7" xfId="4804" xr:uid="{00000000-0005-0000-0000-0000BF180000}"/>
    <cellStyle name="Normal 5 2 3 4 7 2" xfId="13254" xr:uid="{073514E2-4AED-498E-A6E8-6C704B0E67A0}"/>
    <cellStyle name="Normal 5 2 3 4 7 3" xfId="21701" xr:uid="{48079623-5990-4B2F-9EC7-FEB6815A2502}"/>
    <cellStyle name="Normal 5 2 3 4 7 4" xfId="30148" xr:uid="{F86A3AD9-C3CE-4777-B17D-5CAE0B4748A2}"/>
    <cellStyle name="Normal 5 2 3 4 8" xfId="9036" xr:uid="{D66D737B-38FB-4EB6-AA94-1640205B568A}"/>
    <cellStyle name="Normal 5 2 3 4 9" xfId="17484" xr:uid="{2F4E3F33-F00C-4E02-94A5-8488F78FB4A8}"/>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23B62453-596A-42B3-8854-034AF943EF70}"/>
    <cellStyle name="Normal 5 2 3 5 2 2 3" xfId="24252" xr:uid="{5239FD3E-CD5F-4339-9A2B-EE3D75AAE025}"/>
    <cellStyle name="Normal 5 2 3 5 2 2 4" xfId="32699" xr:uid="{B158136C-9F90-4A09-B37B-29E9CD61FF68}"/>
    <cellStyle name="Normal 5 2 3 5 2 3" xfId="11587" xr:uid="{38982B29-969A-49F1-97C4-3293E6C08237}"/>
    <cellStyle name="Normal 5 2 3 5 2 4" xfId="20035" xr:uid="{3F60C0E7-F4F9-4D19-9950-AF256E0897A8}"/>
    <cellStyle name="Normal 5 2 3 5 2 5" xfId="28482" xr:uid="{4C49637B-1EE1-477E-A759-DC8C1D889B5F}"/>
    <cellStyle name="Normal 5 2 3 5 3" xfId="5210" xr:uid="{00000000-0005-0000-0000-0000C3180000}"/>
    <cellStyle name="Normal 5 2 3 5 3 2" xfId="13660" xr:uid="{476D4600-90BF-4F18-A39B-DCC5B3ED2F30}"/>
    <cellStyle name="Normal 5 2 3 5 3 3" xfId="22107" xr:uid="{9F6D1725-4119-4C6A-9723-6D971235E98F}"/>
    <cellStyle name="Normal 5 2 3 5 3 4" xfId="30554" xr:uid="{F86515E3-FC1A-4AAD-A5C2-80E8E725131B}"/>
    <cellStyle name="Normal 5 2 3 5 4" xfId="9442" xr:uid="{5D7932FA-ED42-42BA-A85F-7B6D6E1F0FEE}"/>
    <cellStyle name="Normal 5 2 3 5 5" xfId="17890" xr:uid="{5DA2E6E9-6E12-46FD-AE3E-C6C8A76015C6}"/>
    <cellStyle name="Normal 5 2 3 5 6" xfId="26337" xr:uid="{4F212158-09BA-4C6D-96E3-5362DEA86F45}"/>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C508E15D-F795-43F0-8EF6-BD02EC0521CD}"/>
    <cellStyle name="Normal 5 2 3 6 2 2 3" xfId="24665" xr:uid="{5CB8B6C9-FCE1-408E-9E17-B6B53E91AB0A}"/>
    <cellStyle name="Normal 5 2 3 6 2 2 4" xfId="33112" xr:uid="{8865B41B-295C-47E3-85C3-607C6CABED41}"/>
    <cellStyle name="Normal 5 2 3 6 2 3" xfId="12000" xr:uid="{7448170E-0F1B-4F1B-89BE-2F8B9FC32451}"/>
    <cellStyle name="Normal 5 2 3 6 2 4" xfId="20448" xr:uid="{5FB93AEF-0806-483C-8609-0373700AE5AA}"/>
    <cellStyle name="Normal 5 2 3 6 2 5" xfId="28895" xr:uid="{4F6BF2A3-7067-425B-8DBE-C1B16D7383CD}"/>
    <cellStyle name="Normal 5 2 3 6 3" xfId="5623" xr:uid="{00000000-0005-0000-0000-0000C7180000}"/>
    <cellStyle name="Normal 5 2 3 6 3 2" xfId="14073" xr:uid="{78389DAD-E9D7-4D69-96D5-427A124879B6}"/>
    <cellStyle name="Normal 5 2 3 6 3 3" xfId="22520" xr:uid="{AFF86783-F96F-4548-9AFE-3DFA04E242E0}"/>
    <cellStyle name="Normal 5 2 3 6 3 4" xfId="30967" xr:uid="{268B1DEB-F393-4785-828B-1A74AD9AE434}"/>
    <cellStyle name="Normal 5 2 3 6 4" xfId="9855" xr:uid="{97674496-2A5F-4948-97AA-AABA741B77B6}"/>
    <cellStyle name="Normal 5 2 3 6 5" xfId="18303" xr:uid="{9EED0098-A12B-4333-96C9-7FE345ABDCAB}"/>
    <cellStyle name="Normal 5 2 3 6 6" xfId="26750" xr:uid="{B36D526A-CB00-4236-95E7-B739FA2FDBF4}"/>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4A295843-93ED-46B4-BF32-B742D28646A6}"/>
    <cellStyle name="Normal 5 2 3 7 2 2 3" xfId="25078" xr:uid="{C09FF9EB-482D-48E9-A2DB-1257A024722C}"/>
    <cellStyle name="Normal 5 2 3 7 2 2 4" xfId="33525" xr:uid="{8E801678-2A9D-4958-A941-224B4AF42618}"/>
    <cellStyle name="Normal 5 2 3 7 2 3" xfId="12413" xr:uid="{F3BE7F6D-B6F7-4EE8-A249-BC244432998D}"/>
    <cellStyle name="Normal 5 2 3 7 2 4" xfId="20861" xr:uid="{5BE55AB1-B019-492E-B805-06F8E4BDDC05}"/>
    <cellStyle name="Normal 5 2 3 7 2 5" xfId="29308" xr:uid="{3572D546-FD6B-40A9-ABAD-FEA5BCD7AF81}"/>
    <cellStyle name="Normal 5 2 3 7 3" xfId="6036" xr:uid="{00000000-0005-0000-0000-0000CB180000}"/>
    <cellStyle name="Normal 5 2 3 7 3 2" xfId="14486" xr:uid="{1825F172-941D-472A-8C4E-F4ADA85C7215}"/>
    <cellStyle name="Normal 5 2 3 7 3 3" xfId="22933" xr:uid="{80B0DEB4-35EC-4CD9-8C0C-F3A82EC33F67}"/>
    <cellStyle name="Normal 5 2 3 7 3 4" xfId="31380" xr:uid="{88046EA7-75E6-45E4-B861-EA438F202BD5}"/>
    <cellStyle name="Normal 5 2 3 7 4" xfId="10268" xr:uid="{39B89344-82E6-48CE-A7F6-AF007B03B8B5}"/>
    <cellStyle name="Normal 5 2 3 7 5" xfId="18716" xr:uid="{3BE1CDAD-D3FC-408F-9C7A-5813E0CDDB7A}"/>
    <cellStyle name="Normal 5 2 3 7 6" xfId="27163" xr:uid="{594908CE-41F2-48FF-93CD-ED03719162AE}"/>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59D691AC-B2F7-4D2E-95A8-492BD43289C7}"/>
    <cellStyle name="Normal 5 2 3 8 2 2 3" xfId="25491" xr:uid="{3D77769A-9C83-479F-B289-DC150B620B2F}"/>
    <cellStyle name="Normal 5 2 3 8 2 2 4" xfId="33938" xr:uid="{FBC33630-6438-4FEB-B97B-A0C04D379D61}"/>
    <cellStyle name="Normal 5 2 3 8 2 3" xfId="12826" xr:uid="{D228B8BC-D0F7-4A3E-8BF1-7BE5D1CB670B}"/>
    <cellStyle name="Normal 5 2 3 8 2 4" xfId="21274" xr:uid="{728CF1EC-D8BF-4C09-A92A-77974DDB940E}"/>
    <cellStyle name="Normal 5 2 3 8 2 5" xfId="29721" xr:uid="{BB9ECE5F-9312-42B6-8383-508A6734A269}"/>
    <cellStyle name="Normal 5 2 3 8 3" xfId="6449" xr:uid="{00000000-0005-0000-0000-0000CF180000}"/>
    <cellStyle name="Normal 5 2 3 8 3 2" xfId="14899" xr:uid="{9CBB155F-1994-4E3B-9781-421435AEE4FA}"/>
    <cellStyle name="Normal 5 2 3 8 3 3" xfId="23346" xr:uid="{C8662B9C-2B21-489E-9DFA-E2FBCBFC5280}"/>
    <cellStyle name="Normal 5 2 3 8 3 4" xfId="31793" xr:uid="{F406CEC2-78D3-495C-AA31-C673AA3864E9}"/>
    <cellStyle name="Normal 5 2 3 8 4" xfId="10681" xr:uid="{58E7C75C-D067-4543-AA80-FBD9D9D7F054}"/>
    <cellStyle name="Normal 5 2 3 8 5" xfId="19129" xr:uid="{2F5ED335-6FA6-4A77-9342-053A5CD65BDE}"/>
    <cellStyle name="Normal 5 2 3 8 6" xfId="27576" xr:uid="{134F8913-0CD7-4D48-A1FD-1239A5C47970}"/>
    <cellStyle name="Normal 5 2 3 9" xfId="2579" xr:uid="{00000000-0005-0000-0000-0000D0180000}"/>
    <cellStyle name="Normal 5 2 3 9 2" xfId="6862" xr:uid="{00000000-0005-0000-0000-0000D1180000}"/>
    <cellStyle name="Normal 5 2 3 9 2 2" xfId="15312" xr:uid="{C5CCB7A5-8ED7-4403-9123-EAC611C60507}"/>
    <cellStyle name="Normal 5 2 3 9 2 3" xfId="23759" xr:uid="{0E4C0FB9-FBA8-44BB-8925-E86287A45C94}"/>
    <cellStyle name="Normal 5 2 3 9 2 4" xfId="32206" xr:uid="{8CE6551D-E898-40A9-93D5-F133AC96B554}"/>
    <cellStyle name="Normal 5 2 3 9 3" xfId="11094" xr:uid="{02D36962-F18D-4C3B-BDBC-DFFC7F2EC3D0}"/>
    <cellStyle name="Normal 5 2 3 9 4" xfId="19542" xr:uid="{4DFB6124-AEFC-4D7D-AF5A-51B7C14E4BC0}"/>
    <cellStyle name="Normal 5 2 3 9 5" xfId="27989" xr:uid="{C6A386D5-2F37-4FC7-8751-FB6B982D91A2}"/>
    <cellStyle name="Normal 5 2 4" xfId="432" xr:uid="{00000000-0005-0000-0000-0000D2180000}"/>
    <cellStyle name="Normal 5 2 4 10" xfId="9037" xr:uid="{0E4E4061-B95A-4D5F-A924-915B0016145C}"/>
    <cellStyle name="Normal 5 2 4 11" xfId="17485" xr:uid="{F1272C51-57E7-430D-B2AC-2AACD41F79D2}"/>
    <cellStyle name="Normal 5 2 4 12" xfId="25932" xr:uid="{CF94522D-F032-497E-8F5D-C7E636A18638}"/>
    <cellStyle name="Normal 5 2 4 2" xfId="433" xr:uid="{00000000-0005-0000-0000-0000D3180000}"/>
    <cellStyle name="Normal 5 2 4 2 10" xfId="17486" xr:uid="{30E86C99-54B1-4F08-861A-AC0F40973095}"/>
    <cellStyle name="Normal 5 2 4 2 11" xfId="25933" xr:uid="{A0E03A55-5FD2-4956-A138-69EDA08DFA37}"/>
    <cellStyle name="Normal 5 2 4 2 2" xfId="434" xr:uid="{00000000-0005-0000-0000-0000D4180000}"/>
    <cellStyle name="Normal 5 2 4 2 2 10" xfId="25934" xr:uid="{70CF45D4-42BD-4ACF-9730-CFB98F9666E2}"/>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70623240-CCD3-4EF2-84CB-A1CA163F31C4}"/>
    <cellStyle name="Normal 5 2 4 2 2 2 2 2 3" xfId="24262" xr:uid="{5AED4D98-E00C-4F14-898A-6299C84C4B1E}"/>
    <cellStyle name="Normal 5 2 4 2 2 2 2 2 4" xfId="32709" xr:uid="{031B339E-87B9-4A5F-8FCB-F947144AD87A}"/>
    <cellStyle name="Normal 5 2 4 2 2 2 2 3" xfId="11597" xr:uid="{94B9A16F-791D-4F37-8529-53AD7857E3BB}"/>
    <cellStyle name="Normal 5 2 4 2 2 2 2 4" xfId="20045" xr:uid="{9433DB2D-5D81-43C8-A705-8D7590A2674A}"/>
    <cellStyle name="Normal 5 2 4 2 2 2 2 5" xfId="28492" xr:uid="{2C28E362-AF0D-497D-AF19-6E024225D0BC}"/>
    <cellStyle name="Normal 5 2 4 2 2 2 3" xfId="5220" xr:uid="{00000000-0005-0000-0000-0000D8180000}"/>
    <cellStyle name="Normal 5 2 4 2 2 2 3 2" xfId="13670" xr:uid="{667EADDF-AE89-4C5C-84D5-70EF0AB159AD}"/>
    <cellStyle name="Normal 5 2 4 2 2 2 3 3" xfId="22117" xr:uid="{C7D3ABED-9C9C-46B2-A4DC-0A6CECF61B02}"/>
    <cellStyle name="Normal 5 2 4 2 2 2 3 4" xfId="30564" xr:uid="{3D9B8223-4B06-4FC0-A00F-FEB37B47BC68}"/>
    <cellStyle name="Normal 5 2 4 2 2 2 4" xfId="9452" xr:uid="{913E3A37-BABC-4AD0-A0F0-89D2E284A160}"/>
    <cellStyle name="Normal 5 2 4 2 2 2 5" xfId="17900" xr:uid="{88860370-06B5-4BB5-9948-6C1A4F66F795}"/>
    <cellStyle name="Normal 5 2 4 2 2 2 6" xfId="26347" xr:uid="{721FB271-5C8C-4F3F-AACC-501767F6915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BCE71F19-CB4C-40EC-950E-D9ADABC3F5A9}"/>
    <cellStyle name="Normal 5 2 4 2 2 3 2 2 3" xfId="24675" xr:uid="{F5DCF542-D332-4D38-97E5-F979C7924123}"/>
    <cellStyle name="Normal 5 2 4 2 2 3 2 2 4" xfId="33122" xr:uid="{2749239C-8A56-4B22-87C4-C37E019A2A53}"/>
    <cellStyle name="Normal 5 2 4 2 2 3 2 3" xfId="12010" xr:uid="{B940A13F-847D-47DC-95D7-1614EE8CEB46}"/>
    <cellStyle name="Normal 5 2 4 2 2 3 2 4" xfId="20458" xr:uid="{3B3BBA13-945E-4146-8096-266918952E31}"/>
    <cellStyle name="Normal 5 2 4 2 2 3 2 5" xfId="28905" xr:uid="{6E3FB42C-AEFE-47DD-8E11-48B613A5F2D7}"/>
    <cellStyle name="Normal 5 2 4 2 2 3 3" xfId="5633" xr:uid="{00000000-0005-0000-0000-0000DC180000}"/>
    <cellStyle name="Normal 5 2 4 2 2 3 3 2" xfId="14083" xr:uid="{E9D71436-04B0-4F8F-AF65-05DBDFA7882C}"/>
    <cellStyle name="Normal 5 2 4 2 2 3 3 3" xfId="22530" xr:uid="{4FE12AFD-BFA2-42B0-AD2B-2734D97687AA}"/>
    <cellStyle name="Normal 5 2 4 2 2 3 3 4" xfId="30977" xr:uid="{7E8B683E-4B11-4B83-BE90-C836ACB9BA1E}"/>
    <cellStyle name="Normal 5 2 4 2 2 3 4" xfId="9865" xr:uid="{8A2B2C8C-0062-4379-953D-D6E7F4D806D8}"/>
    <cellStyle name="Normal 5 2 4 2 2 3 5" xfId="18313" xr:uid="{DC4D9402-0BDD-47E4-B326-1B38A0E7A3DE}"/>
    <cellStyle name="Normal 5 2 4 2 2 3 6" xfId="26760" xr:uid="{C5488C56-FC93-478B-8181-4884DB1E018C}"/>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F1CD3517-D53E-4D8B-AD28-982A8E37AA41}"/>
    <cellStyle name="Normal 5 2 4 2 2 4 2 2 3" xfId="25088" xr:uid="{22676E39-2DCE-4EE4-B0B7-BFA01E98C33E}"/>
    <cellStyle name="Normal 5 2 4 2 2 4 2 2 4" xfId="33535" xr:uid="{628DB4E6-84BA-4FF4-AB15-41EA0ECBCA54}"/>
    <cellStyle name="Normal 5 2 4 2 2 4 2 3" xfId="12423" xr:uid="{290257FB-3E12-4CE9-8AC7-90EB309DD55A}"/>
    <cellStyle name="Normal 5 2 4 2 2 4 2 4" xfId="20871" xr:uid="{11C01C61-CCE7-4C86-AA0F-3240A69AAB5F}"/>
    <cellStyle name="Normal 5 2 4 2 2 4 2 5" xfId="29318" xr:uid="{CA0930C1-BDCA-4E2A-AB56-5AF0CAE14CA7}"/>
    <cellStyle name="Normal 5 2 4 2 2 4 3" xfId="6046" xr:uid="{00000000-0005-0000-0000-0000E0180000}"/>
    <cellStyle name="Normal 5 2 4 2 2 4 3 2" xfId="14496" xr:uid="{CD8AFD7B-D782-4068-8FD7-AB4ABBF3EEAE}"/>
    <cellStyle name="Normal 5 2 4 2 2 4 3 3" xfId="22943" xr:uid="{45383B68-3631-4818-8AC0-53AA1D091B13}"/>
    <cellStyle name="Normal 5 2 4 2 2 4 3 4" xfId="31390" xr:uid="{4892C279-090F-4ED8-B975-41E1BDB2847A}"/>
    <cellStyle name="Normal 5 2 4 2 2 4 4" xfId="10278" xr:uid="{C3815980-ACEA-44DA-9378-6E10BD6694C0}"/>
    <cellStyle name="Normal 5 2 4 2 2 4 5" xfId="18726" xr:uid="{AC9FEF42-D594-4EE9-BBFE-A4FBB3E9C03C}"/>
    <cellStyle name="Normal 5 2 4 2 2 4 6" xfId="27173" xr:uid="{38743C9A-6038-4F8F-9081-EDDC271D4F33}"/>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3E981234-810E-4662-A3C4-EA1EB964BB74}"/>
    <cellStyle name="Normal 5 2 4 2 2 5 2 2 3" xfId="25501" xr:uid="{9192D42D-92A1-4D48-935D-816B5E897FDC}"/>
    <cellStyle name="Normal 5 2 4 2 2 5 2 2 4" xfId="33948" xr:uid="{9119C0D6-D77F-4669-9D09-7AE23479C0BF}"/>
    <cellStyle name="Normal 5 2 4 2 2 5 2 3" xfId="12836" xr:uid="{F5220D41-8317-4FC3-822F-A5976CE0C09B}"/>
    <cellStyle name="Normal 5 2 4 2 2 5 2 4" xfId="21284" xr:uid="{F7F19252-1740-4058-93FD-1FF705D5291C}"/>
    <cellStyle name="Normal 5 2 4 2 2 5 2 5" xfId="29731" xr:uid="{84F97F26-9B96-444B-86E4-03D75ABE60FF}"/>
    <cellStyle name="Normal 5 2 4 2 2 5 3" xfId="6459" xr:uid="{00000000-0005-0000-0000-0000E4180000}"/>
    <cellStyle name="Normal 5 2 4 2 2 5 3 2" xfId="14909" xr:uid="{F09F4A1C-994B-4278-9810-9EE53BA8C54B}"/>
    <cellStyle name="Normal 5 2 4 2 2 5 3 3" xfId="23356" xr:uid="{F722B99D-16D4-40DF-9BAC-6672EF815F18}"/>
    <cellStyle name="Normal 5 2 4 2 2 5 3 4" xfId="31803" xr:uid="{B33E75C0-E90E-406C-BCDA-603B80C51080}"/>
    <cellStyle name="Normal 5 2 4 2 2 5 4" xfId="10691" xr:uid="{63426A16-5435-47DA-8B7F-2ED5CDFE0B2C}"/>
    <cellStyle name="Normal 5 2 4 2 2 5 5" xfId="19139" xr:uid="{3C10CD64-41BC-4A8A-9F71-59E5AECAEEF6}"/>
    <cellStyle name="Normal 5 2 4 2 2 5 6" xfId="27586" xr:uid="{11639004-DCC4-436F-A100-0C8A756E1880}"/>
    <cellStyle name="Normal 5 2 4 2 2 6" xfId="2589" xr:uid="{00000000-0005-0000-0000-0000E5180000}"/>
    <cellStyle name="Normal 5 2 4 2 2 6 2" xfId="6872" xr:uid="{00000000-0005-0000-0000-0000E6180000}"/>
    <cellStyle name="Normal 5 2 4 2 2 6 2 2" xfId="15322" xr:uid="{F5049C49-4CBA-4292-8599-FA7E1211651C}"/>
    <cellStyle name="Normal 5 2 4 2 2 6 2 3" xfId="23769" xr:uid="{4DB88E32-06E5-4009-ABF0-B170BE9C2237}"/>
    <cellStyle name="Normal 5 2 4 2 2 6 2 4" xfId="32216" xr:uid="{44924B72-B688-4847-AF66-E98BF96738CA}"/>
    <cellStyle name="Normal 5 2 4 2 2 6 3" xfId="11104" xr:uid="{D14FA397-8D61-479B-9CD9-F65DDDBC77E6}"/>
    <cellStyle name="Normal 5 2 4 2 2 6 4" xfId="19552" xr:uid="{420E1328-9942-48BF-8948-0875DEBAD639}"/>
    <cellStyle name="Normal 5 2 4 2 2 6 5" xfId="27999" xr:uid="{DBC73371-2B00-4418-AE71-9D9D10031358}"/>
    <cellStyle name="Normal 5 2 4 2 2 7" xfId="4807" xr:uid="{00000000-0005-0000-0000-0000E7180000}"/>
    <cellStyle name="Normal 5 2 4 2 2 7 2" xfId="13257" xr:uid="{E3BC4A0C-0F0C-4C90-9110-5C1CC7AA2236}"/>
    <cellStyle name="Normal 5 2 4 2 2 7 3" xfId="21704" xr:uid="{4991CF6C-D564-485E-9C23-8B09A7F89D72}"/>
    <cellStyle name="Normal 5 2 4 2 2 7 4" xfId="30151" xr:uid="{A4C7E3E5-0727-487C-A2AB-581FBC67F41C}"/>
    <cellStyle name="Normal 5 2 4 2 2 8" xfId="9039" xr:uid="{D635FE88-F7A4-4B3B-B599-B7EBE11FCC14}"/>
    <cellStyle name="Normal 5 2 4 2 2 9" xfId="17487" xr:uid="{F0D445F6-821F-4C2F-99F2-34B510BD8E72}"/>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95754A6E-5E28-4382-9A64-2312134BC2CA}"/>
    <cellStyle name="Normal 5 2 4 2 3 2 2 3" xfId="24261" xr:uid="{FAB7FD89-083F-44F6-930D-2F7C8C4754F6}"/>
    <cellStyle name="Normal 5 2 4 2 3 2 2 4" xfId="32708" xr:uid="{DBB900A7-9865-4A39-9C01-FE0361EDAFCA}"/>
    <cellStyle name="Normal 5 2 4 2 3 2 3" xfId="11596" xr:uid="{6A6E18D8-ADD1-4DB7-914B-3AC47A6CA109}"/>
    <cellStyle name="Normal 5 2 4 2 3 2 4" xfId="20044" xr:uid="{CE3A6BDF-CFE5-4292-BD12-43EDF823C75D}"/>
    <cellStyle name="Normal 5 2 4 2 3 2 5" xfId="28491" xr:uid="{B2D853D7-69B8-494F-A558-7A957D90FEA0}"/>
    <cellStyle name="Normal 5 2 4 2 3 3" xfId="5219" xr:uid="{00000000-0005-0000-0000-0000EB180000}"/>
    <cellStyle name="Normal 5 2 4 2 3 3 2" xfId="13669" xr:uid="{6D616386-8870-49EA-B6F0-9D62EF372550}"/>
    <cellStyle name="Normal 5 2 4 2 3 3 3" xfId="22116" xr:uid="{0FF7A1BC-DB27-4B88-810B-16DC669C8EB7}"/>
    <cellStyle name="Normal 5 2 4 2 3 3 4" xfId="30563" xr:uid="{2016B78D-7D44-41C0-85A9-F3492E3EAE86}"/>
    <cellStyle name="Normal 5 2 4 2 3 4" xfId="9451" xr:uid="{8A47D265-12E2-481D-A28E-8646ADA54F4D}"/>
    <cellStyle name="Normal 5 2 4 2 3 5" xfId="17899" xr:uid="{52CE9315-E843-46CA-878B-9BBDA31C067B}"/>
    <cellStyle name="Normal 5 2 4 2 3 6" xfId="26346" xr:uid="{28385506-C99D-4A7B-914B-4BD116E8D3EC}"/>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ECF12C67-BD5D-47F8-8E5D-932223DBD36B}"/>
    <cellStyle name="Normal 5 2 4 2 4 2 2 3" xfId="24674" xr:uid="{B9159E91-C509-418E-AD94-38CB82306401}"/>
    <cellStyle name="Normal 5 2 4 2 4 2 2 4" xfId="33121" xr:uid="{C7505487-A174-423D-B7D7-2B199E7F6DB4}"/>
    <cellStyle name="Normal 5 2 4 2 4 2 3" xfId="12009" xr:uid="{ABE91C03-CC6D-440B-B3C0-17CAF3D50171}"/>
    <cellStyle name="Normal 5 2 4 2 4 2 4" xfId="20457" xr:uid="{5DCF564F-97E7-41CA-8CA2-4B19C2D5D5DF}"/>
    <cellStyle name="Normal 5 2 4 2 4 2 5" xfId="28904" xr:uid="{75381AAF-2671-427F-9AE2-AC4164D4B434}"/>
    <cellStyle name="Normal 5 2 4 2 4 3" xfId="5632" xr:uid="{00000000-0005-0000-0000-0000EF180000}"/>
    <cellStyle name="Normal 5 2 4 2 4 3 2" xfId="14082" xr:uid="{B2BFDBEA-CB77-4BC9-B85D-2D731EC2A453}"/>
    <cellStyle name="Normal 5 2 4 2 4 3 3" xfId="22529" xr:uid="{878368CE-71EB-405C-B293-48794C4B8C5E}"/>
    <cellStyle name="Normal 5 2 4 2 4 3 4" xfId="30976" xr:uid="{229C98E5-B7E2-4185-A7E0-7EEEE13FB2EE}"/>
    <cellStyle name="Normal 5 2 4 2 4 4" xfId="9864" xr:uid="{93E8E2B5-F4F4-4ADD-A8CA-4DD8B46E4B1F}"/>
    <cellStyle name="Normal 5 2 4 2 4 5" xfId="18312" xr:uid="{A3C25CEE-E032-49E7-8A97-AEA4643DC3B0}"/>
    <cellStyle name="Normal 5 2 4 2 4 6" xfId="26759" xr:uid="{F38F1776-893F-4147-8E4E-6A59E63C09DF}"/>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AA09E3D1-328E-4C7A-A54C-A323032CC2C2}"/>
    <cellStyle name="Normal 5 2 4 2 5 2 2 3" xfId="25087" xr:uid="{6FD45E56-535A-4E93-957D-3E4F17CEF61D}"/>
    <cellStyle name="Normal 5 2 4 2 5 2 2 4" xfId="33534" xr:uid="{379A7660-AEDE-475A-9335-A11BE38CE97B}"/>
    <cellStyle name="Normal 5 2 4 2 5 2 3" xfId="12422" xr:uid="{E3711DC3-7AE6-4D17-AB17-95777DC15A0E}"/>
    <cellStyle name="Normal 5 2 4 2 5 2 4" xfId="20870" xr:uid="{14CE3A45-6E28-4F94-9F1F-49D79E54C117}"/>
    <cellStyle name="Normal 5 2 4 2 5 2 5" xfId="29317" xr:uid="{AC3DA817-E66D-4835-B8BB-AFA317EE7CBF}"/>
    <cellStyle name="Normal 5 2 4 2 5 3" xfId="6045" xr:uid="{00000000-0005-0000-0000-0000F3180000}"/>
    <cellStyle name="Normal 5 2 4 2 5 3 2" xfId="14495" xr:uid="{4AFA26A8-5305-4487-A7A8-4BECBD90DDF3}"/>
    <cellStyle name="Normal 5 2 4 2 5 3 3" xfId="22942" xr:uid="{23ED2463-33BD-44A7-AEED-3D51E7322820}"/>
    <cellStyle name="Normal 5 2 4 2 5 3 4" xfId="31389" xr:uid="{57A304C1-A6E6-43F6-B615-418458098C46}"/>
    <cellStyle name="Normal 5 2 4 2 5 4" xfId="10277" xr:uid="{679AB120-EC6B-4BBE-8829-86E6BAD09122}"/>
    <cellStyle name="Normal 5 2 4 2 5 5" xfId="18725" xr:uid="{300EC0B2-8EAF-4872-BADF-328ABFE7B19A}"/>
    <cellStyle name="Normal 5 2 4 2 5 6" xfId="27172" xr:uid="{0F20E905-1E47-4618-8056-6B0F1EC9F05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34598D25-DA43-4AF9-9E72-723FECCB9629}"/>
    <cellStyle name="Normal 5 2 4 2 6 2 2 3" xfId="25500" xr:uid="{A964E629-DF1C-485B-833F-407BE0A25D96}"/>
    <cellStyle name="Normal 5 2 4 2 6 2 2 4" xfId="33947" xr:uid="{9E570826-197C-479E-BF7F-4232CD13D07A}"/>
    <cellStyle name="Normal 5 2 4 2 6 2 3" xfId="12835" xr:uid="{588B2BF7-A4FD-46BB-9A6D-4C73535D6104}"/>
    <cellStyle name="Normal 5 2 4 2 6 2 4" xfId="21283" xr:uid="{8157A7DE-992C-43B2-AE36-3734D93D2FC4}"/>
    <cellStyle name="Normal 5 2 4 2 6 2 5" xfId="29730" xr:uid="{38C522DE-D8EE-4D33-9428-AAE1E18E3F48}"/>
    <cellStyle name="Normal 5 2 4 2 6 3" xfId="6458" xr:uid="{00000000-0005-0000-0000-0000F7180000}"/>
    <cellStyle name="Normal 5 2 4 2 6 3 2" xfId="14908" xr:uid="{777E8BBA-C2DA-4B7F-A3A4-36A014C4AA1C}"/>
    <cellStyle name="Normal 5 2 4 2 6 3 3" xfId="23355" xr:uid="{5ED08D7E-0122-44B2-A91B-B72410C16C0E}"/>
    <cellStyle name="Normal 5 2 4 2 6 3 4" xfId="31802" xr:uid="{9A300963-2875-4BDA-9A36-A38BBF8AEE6B}"/>
    <cellStyle name="Normal 5 2 4 2 6 4" xfId="10690" xr:uid="{E99C3C48-E505-4660-A950-BA7DBE222CF8}"/>
    <cellStyle name="Normal 5 2 4 2 6 5" xfId="19138" xr:uid="{D76AD90D-BFBC-4A41-9C77-7E8184A04A25}"/>
    <cellStyle name="Normal 5 2 4 2 6 6" xfId="27585" xr:uid="{ABD1725C-6994-49A7-8778-A0E835E774CD}"/>
    <cellStyle name="Normal 5 2 4 2 7" xfId="2588" xr:uid="{00000000-0005-0000-0000-0000F8180000}"/>
    <cellStyle name="Normal 5 2 4 2 7 2" xfId="6871" xr:uid="{00000000-0005-0000-0000-0000F9180000}"/>
    <cellStyle name="Normal 5 2 4 2 7 2 2" xfId="15321" xr:uid="{A9D8912C-515F-440A-B5A2-D8E6E7B0D7D8}"/>
    <cellStyle name="Normal 5 2 4 2 7 2 3" xfId="23768" xr:uid="{54D4ADD5-4B9C-4490-AA23-F72A231CC4D9}"/>
    <cellStyle name="Normal 5 2 4 2 7 2 4" xfId="32215" xr:uid="{A6483E92-85ED-4DD0-B1C2-DEB43955276D}"/>
    <cellStyle name="Normal 5 2 4 2 7 3" xfId="11103" xr:uid="{CCE538B6-F66C-4B3A-BBC4-CB00F04B2E71}"/>
    <cellStyle name="Normal 5 2 4 2 7 4" xfId="19551" xr:uid="{EC6D598B-A47A-45A6-99A0-1882A5C96DD0}"/>
    <cellStyle name="Normal 5 2 4 2 7 5" xfId="27998" xr:uid="{61DAF6E2-24A6-4801-99D3-A2630B795DCB}"/>
    <cellStyle name="Normal 5 2 4 2 8" xfId="4806" xr:uid="{00000000-0005-0000-0000-0000FA180000}"/>
    <cellStyle name="Normal 5 2 4 2 8 2" xfId="13256" xr:uid="{19D1BC6F-D6BD-4B8C-8067-042AFF5C5F8A}"/>
    <cellStyle name="Normal 5 2 4 2 8 3" xfId="21703" xr:uid="{FE1096F6-C08B-4CD7-A76B-CBDFECF8BC72}"/>
    <cellStyle name="Normal 5 2 4 2 8 4" xfId="30150" xr:uid="{36E39338-4224-42A2-B30B-A81B2A71CFED}"/>
    <cellStyle name="Normal 5 2 4 2 9" xfId="9038" xr:uid="{D4358F47-9E90-4D25-823C-48625A2D133D}"/>
    <cellStyle name="Normal 5 2 4 3" xfId="435" xr:uid="{00000000-0005-0000-0000-0000FB180000}"/>
    <cellStyle name="Normal 5 2 4 3 10" xfId="25935" xr:uid="{5374533F-5238-4491-939A-E26ECFF62E2E}"/>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E934E0FA-DF24-44C3-A246-EE04E087B054}"/>
    <cellStyle name="Normal 5 2 4 3 2 2 2 3" xfId="24263" xr:uid="{80D437BF-51A9-4ABC-A7E0-F974FB5438E3}"/>
    <cellStyle name="Normal 5 2 4 3 2 2 2 4" xfId="32710" xr:uid="{B4B968E5-2012-43E4-BD7C-6479DF9BEE7A}"/>
    <cellStyle name="Normal 5 2 4 3 2 2 3" xfId="11598" xr:uid="{3AFA04FF-C4A2-4AA7-9075-7DD367716003}"/>
    <cellStyle name="Normal 5 2 4 3 2 2 4" xfId="20046" xr:uid="{89B1A288-8626-4389-96FE-E214366579FF}"/>
    <cellStyle name="Normal 5 2 4 3 2 2 5" xfId="28493" xr:uid="{468BC773-9944-4EB0-9E4B-2535B29533A3}"/>
    <cellStyle name="Normal 5 2 4 3 2 3" xfId="5221" xr:uid="{00000000-0005-0000-0000-0000FF180000}"/>
    <cellStyle name="Normal 5 2 4 3 2 3 2" xfId="13671" xr:uid="{C078A5BC-3BCB-4780-B661-C71949611031}"/>
    <cellStyle name="Normal 5 2 4 3 2 3 3" xfId="22118" xr:uid="{CE094CFD-D996-4512-85E5-22FCC29DD7BE}"/>
    <cellStyle name="Normal 5 2 4 3 2 3 4" xfId="30565" xr:uid="{AE890679-8250-403F-80A9-E91C92C2FA3B}"/>
    <cellStyle name="Normal 5 2 4 3 2 4" xfId="9453" xr:uid="{B034F232-B398-441B-B925-F1B4EB2A1883}"/>
    <cellStyle name="Normal 5 2 4 3 2 5" xfId="17901" xr:uid="{F13BE626-9EE9-4D73-A4FC-753C3FFEE37C}"/>
    <cellStyle name="Normal 5 2 4 3 2 6" xfId="26348" xr:uid="{3FAD47D0-B44F-4E2B-A696-23F3E0F499A2}"/>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F32575DA-8E0E-4C88-A6C3-5F5AABAC81DA}"/>
    <cellStyle name="Normal 5 2 4 3 3 2 2 3" xfId="24676" xr:uid="{1C6D5F1A-6180-4591-BEC8-80383B3DD1FA}"/>
    <cellStyle name="Normal 5 2 4 3 3 2 2 4" xfId="33123" xr:uid="{5B1E5739-F31D-4F69-AAE6-7C0285E5A410}"/>
    <cellStyle name="Normal 5 2 4 3 3 2 3" xfId="12011" xr:uid="{2831CBE7-D163-413E-A29A-B23D8268B2C4}"/>
    <cellStyle name="Normal 5 2 4 3 3 2 4" xfId="20459" xr:uid="{64F7AAFB-FFA3-4185-99C9-31DCBB09266C}"/>
    <cellStyle name="Normal 5 2 4 3 3 2 5" xfId="28906" xr:uid="{393D09D2-BD82-4CFC-90E8-A4DDA533E1F5}"/>
    <cellStyle name="Normal 5 2 4 3 3 3" xfId="5634" xr:uid="{00000000-0005-0000-0000-000003190000}"/>
    <cellStyle name="Normal 5 2 4 3 3 3 2" xfId="14084" xr:uid="{8C146AC8-AE05-4678-A768-6B1018B7F7D8}"/>
    <cellStyle name="Normal 5 2 4 3 3 3 3" xfId="22531" xr:uid="{EEC17429-06A8-4E4F-A5FD-4E70414E1857}"/>
    <cellStyle name="Normal 5 2 4 3 3 3 4" xfId="30978" xr:uid="{C5BF0E18-A8D1-46D9-A1D2-8B0FC533142E}"/>
    <cellStyle name="Normal 5 2 4 3 3 4" xfId="9866" xr:uid="{AF5138B9-FD75-473D-BE84-C082B3E6CAF7}"/>
    <cellStyle name="Normal 5 2 4 3 3 5" xfId="18314" xr:uid="{A6AD9C84-6891-40F8-880C-496E0B9BE8A5}"/>
    <cellStyle name="Normal 5 2 4 3 3 6" xfId="26761" xr:uid="{4C5A4088-3302-4DC3-9D97-F4CF11089866}"/>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E43C3417-D46B-4BE5-9F92-8A90B259283C}"/>
    <cellStyle name="Normal 5 2 4 3 4 2 2 3" xfId="25089" xr:uid="{9520C389-937A-48AE-8607-613464F48F53}"/>
    <cellStyle name="Normal 5 2 4 3 4 2 2 4" xfId="33536" xr:uid="{DE628CEF-3205-4383-9FBB-1A1CA28B1303}"/>
    <cellStyle name="Normal 5 2 4 3 4 2 3" xfId="12424" xr:uid="{B1EC989A-0F12-425A-B867-B7F0C2BD7537}"/>
    <cellStyle name="Normal 5 2 4 3 4 2 4" xfId="20872" xr:uid="{8A71EFC7-82FF-43CD-AB44-CAD756FD6123}"/>
    <cellStyle name="Normal 5 2 4 3 4 2 5" xfId="29319" xr:uid="{F97EEF37-278B-4F50-9777-3591A0BC0120}"/>
    <cellStyle name="Normal 5 2 4 3 4 3" xfId="6047" xr:uid="{00000000-0005-0000-0000-000007190000}"/>
    <cellStyle name="Normal 5 2 4 3 4 3 2" xfId="14497" xr:uid="{CE606C83-3956-47CE-B5F0-0C7516D0189E}"/>
    <cellStyle name="Normal 5 2 4 3 4 3 3" xfId="22944" xr:uid="{C8D6CA8C-94F4-4490-AFC7-6040B1FF1067}"/>
    <cellStyle name="Normal 5 2 4 3 4 3 4" xfId="31391" xr:uid="{5F73B0ED-846D-4C6F-8CA3-A2F5F962AF3B}"/>
    <cellStyle name="Normal 5 2 4 3 4 4" xfId="10279" xr:uid="{014DBA97-3535-4738-9FDE-F6A6AD1B6A15}"/>
    <cellStyle name="Normal 5 2 4 3 4 5" xfId="18727" xr:uid="{FB15708A-7528-4F3E-9E09-16A0DE874918}"/>
    <cellStyle name="Normal 5 2 4 3 4 6" xfId="27174" xr:uid="{77DC3A82-2005-4824-9F5F-1116D7C838A7}"/>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D803B4AD-61AA-4BB8-BEEA-6084931DD295}"/>
    <cellStyle name="Normal 5 2 4 3 5 2 2 3" xfId="25502" xr:uid="{D92B9B4B-078E-4171-AD01-CB452075DE36}"/>
    <cellStyle name="Normal 5 2 4 3 5 2 2 4" xfId="33949" xr:uid="{471675EB-6501-4EF6-8471-F9C9EFA948D9}"/>
    <cellStyle name="Normal 5 2 4 3 5 2 3" xfId="12837" xr:uid="{75D5AE68-E1F5-42B3-BCD1-39FAEBD5F136}"/>
    <cellStyle name="Normal 5 2 4 3 5 2 4" xfId="21285" xr:uid="{7FD5068C-395B-4BC3-A359-2B331ED1C58C}"/>
    <cellStyle name="Normal 5 2 4 3 5 2 5" xfId="29732" xr:uid="{CFCC48DF-B603-43ED-A2B8-C2A99D651EB2}"/>
    <cellStyle name="Normal 5 2 4 3 5 3" xfId="6460" xr:uid="{00000000-0005-0000-0000-00000B190000}"/>
    <cellStyle name="Normal 5 2 4 3 5 3 2" xfId="14910" xr:uid="{8CA06640-F497-436A-90BF-0BE78031CC39}"/>
    <cellStyle name="Normal 5 2 4 3 5 3 3" xfId="23357" xr:uid="{33E63F60-469F-442F-A2A1-929F1AB16BB3}"/>
    <cellStyle name="Normal 5 2 4 3 5 3 4" xfId="31804" xr:uid="{140A2305-DB39-46D5-BC05-D0D02803A5E9}"/>
    <cellStyle name="Normal 5 2 4 3 5 4" xfId="10692" xr:uid="{7AA82028-F627-4EF0-8CE5-012EE830DCD9}"/>
    <cellStyle name="Normal 5 2 4 3 5 5" xfId="19140" xr:uid="{4BD8A66F-0306-4836-ABFF-D13EFB592DBB}"/>
    <cellStyle name="Normal 5 2 4 3 5 6" xfId="27587" xr:uid="{DD0B7B8C-520A-4EA7-81D4-3F440FDBEAB8}"/>
    <cellStyle name="Normal 5 2 4 3 6" xfId="2590" xr:uid="{00000000-0005-0000-0000-00000C190000}"/>
    <cellStyle name="Normal 5 2 4 3 6 2" xfId="6873" xr:uid="{00000000-0005-0000-0000-00000D190000}"/>
    <cellStyle name="Normal 5 2 4 3 6 2 2" xfId="15323" xr:uid="{22F3F1B5-B16C-4432-B06C-C177F20A6E74}"/>
    <cellStyle name="Normal 5 2 4 3 6 2 3" xfId="23770" xr:uid="{787355B9-51DE-4E51-86CE-83CE7A63393F}"/>
    <cellStyle name="Normal 5 2 4 3 6 2 4" xfId="32217" xr:uid="{A6ADE217-4A61-4331-AE44-FA29B91F7A48}"/>
    <cellStyle name="Normal 5 2 4 3 6 3" xfId="11105" xr:uid="{3A390D47-99DA-439C-9574-235F151864F4}"/>
    <cellStyle name="Normal 5 2 4 3 6 4" xfId="19553" xr:uid="{7526E3F4-7FA5-487B-9AFC-E5AB5D48E230}"/>
    <cellStyle name="Normal 5 2 4 3 6 5" xfId="28000" xr:uid="{14DA4F2F-C1E0-4712-ABAB-352C45A7F9BB}"/>
    <cellStyle name="Normal 5 2 4 3 7" xfId="4808" xr:uid="{00000000-0005-0000-0000-00000E190000}"/>
    <cellStyle name="Normal 5 2 4 3 7 2" xfId="13258" xr:uid="{5FD8EFE8-918E-4E97-9227-4B1465237348}"/>
    <cellStyle name="Normal 5 2 4 3 7 3" xfId="21705" xr:uid="{BB2196CB-8963-4B14-AB36-B465ACA44441}"/>
    <cellStyle name="Normal 5 2 4 3 7 4" xfId="30152" xr:uid="{9E529DD9-5FB3-446B-BFB6-819268AEF9AA}"/>
    <cellStyle name="Normal 5 2 4 3 8" xfId="9040" xr:uid="{17168D5E-599C-4F50-80C9-269FE9BA0CB9}"/>
    <cellStyle name="Normal 5 2 4 3 9" xfId="17488" xr:uid="{A423D453-AC07-48A3-B9A0-6069CF003A38}"/>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509080E0-E94D-4C82-A9A6-AE00CC15398D}"/>
    <cellStyle name="Normal 5 2 4 4 2 2 3" xfId="24260" xr:uid="{619A85FF-2E7E-42D1-A476-E8F3D266DB6F}"/>
    <cellStyle name="Normal 5 2 4 4 2 2 4" xfId="32707" xr:uid="{45F61781-A0FF-42BD-8705-EB64DCFC851C}"/>
    <cellStyle name="Normal 5 2 4 4 2 3" xfId="11595" xr:uid="{24796A8F-65B5-42CD-A39C-3C1557AC4C21}"/>
    <cellStyle name="Normal 5 2 4 4 2 4" xfId="20043" xr:uid="{E1BA97F5-8263-4894-85A8-C46B2CEE8804}"/>
    <cellStyle name="Normal 5 2 4 4 2 5" xfId="28490" xr:uid="{8CE7BCCB-23BD-4BA0-B484-9569F40E7DF1}"/>
    <cellStyle name="Normal 5 2 4 4 3" xfId="5218" xr:uid="{00000000-0005-0000-0000-000012190000}"/>
    <cellStyle name="Normal 5 2 4 4 3 2" xfId="13668" xr:uid="{BFEA3104-6F7F-49DA-85FD-BB3B5ACC30B4}"/>
    <cellStyle name="Normal 5 2 4 4 3 3" xfId="22115" xr:uid="{363B22FC-B2F4-4D34-A71F-DD684FA17DE1}"/>
    <cellStyle name="Normal 5 2 4 4 3 4" xfId="30562" xr:uid="{A4A66629-9030-4630-91EF-CDF0C66476C9}"/>
    <cellStyle name="Normal 5 2 4 4 4" xfId="9450" xr:uid="{5D8B9663-CFDD-49DB-B26A-7DE60A3DC416}"/>
    <cellStyle name="Normal 5 2 4 4 5" xfId="17898" xr:uid="{28C26165-BAF5-4A80-B599-4AACDE2E551E}"/>
    <cellStyle name="Normal 5 2 4 4 6" xfId="26345" xr:uid="{804A4E5B-1DE6-4D44-9916-E4D20165D3AC}"/>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6D4281E8-DEFE-47F3-A6B6-A6D0556680CC}"/>
    <cellStyle name="Normal 5 2 4 5 2 2 3" xfId="24673" xr:uid="{7CF0D629-8858-4165-82FC-134CF6900825}"/>
    <cellStyle name="Normal 5 2 4 5 2 2 4" xfId="33120" xr:uid="{FC3FC33F-CFA2-4E85-B38F-F62BD6029AEE}"/>
    <cellStyle name="Normal 5 2 4 5 2 3" xfId="12008" xr:uid="{4D3BFF00-A176-4F0C-9B29-B5DC29445D3D}"/>
    <cellStyle name="Normal 5 2 4 5 2 4" xfId="20456" xr:uid="{2D1243D1-9EA2-424D-BCD8-407C7EC640AB}"/>
    <cellStyle name="Normal 5 2 4 5 2 5" xfId="28903" xr:uid="{6A9D9904-8511-46B5-B3AD-62AFA587061F}"/>
    <cellStyle name="Normal 5 2 4 5 3" xfId="5631" xr:uid="{00000000-0005-0000-0000-000016190000}"/>
    <cellStyle name="Normal 5 2 4 5 3 2" xfId="14081" xr:uid="{D6F82FE1-C28A-42E7-8BCF-8E0A348A914C}"/>
    <cellStyle name="Normal 5 2 4 5 3 3" xfId="22528" xr:uid="{A9DCD826-CA1A-4E45-934B-A2E61F56373E}"/>
    <cellStyle name="Normal 5 2 4 5 3 4" xfId="30975" xr:uid="{9B2D190A-9753-438B-BC8E-10C1794AB4E1}"/>
    <cellStyle name="Normal 5 2 4 5 4" xfId="9863" xr:uid="{CF271505-5D94-45AD-93F0-A47CC74C8C94}"/>
    <cellStyle name="Normal 5 2 4 5 5" xfId="18311" xr:uid="{0749E74A-F096-4ECA-8067-35CA08DC7805}"/>
    <cellStyle name="Normal 5 2 4 5 6" xfId="26758" xr:uid="{6D9E0C73-A8E6-47A8-8891-2FC5991117AC}"/>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2928EC86-1FFF-4BED-A969-172275B1F3C2}"/>
    <cellStyle name="Normal 5 2 4 6 2 2 3" xfId="25086" xr:uid="{410E2F2F-34CD-4712-AAC6-9F99F1042AF9}"/>
    <cellStyle name="Normal 5 2 4 6 2 2 4" xfId="33533" xr:uid="{DF491BF9-A8CE-40FC-9846-0D5C3FBE00F8}"/>
    <cellStyle name="Normal 5 2 4 6 2 3" xfId="12421" xr:uid="{60DE5CDE-96F2-4665-885A-AAEA620CBB47}"/>
    <cellStyle name="Normal 5 2 4 6 2 4" xfId="20869" xr:uid="{E4381EF4-0342-4082-AF23-E02CA788D1B5}"/>
    <cellStyle name="Normal 5 2 4 6 2 5" xfId="29316" xr:uid="{3A86176E-243D-4A70-B790-A3EFB6457125}"/>
    <cellStyle name="Normal 5 2 4 6 3" xfId="6044" xr:uid="{00000000-0005-0000-0000-00001A190000}"/>
    <cellStyle name="Normal 5 2 4 6 3 2" xfId="14494" xr:uid="{5E568ED6-1A90-4FE4-A349-FE0E79C0E26C}"/>
    <cellStyle name="Normal 5 2 4 6 3 3" xfId="22941" xr:uid="{DC4C6CEA-CCE7-49FE-8CD7-5FD16E0846D6}"/>
    <cellStyle name="Normal 5 2 4 6 3 4" xfId="31388" xr:uid="{902EDACF-18E5-437D-BD00-EF91E3FA020F}"/>
    <cellStyle name="Normal 5 2 4 6 4" xfId="10276" xr:uid="{562CA272-18CE-4EAC-8A4C-F689E5E15775}"/>
    <cellStyle name="Normal 5 2 4 6 5" xfId="18724" xr:uid="{B85F2974-966A-445C-B458-BE979A6DDCC7}"/>
    <cellStyle name="Normal 5 2 4 6 6" xfId="27171" xr:uid="{C47C1EF7-372F-46F9-89A0-F1D533DB72EC}"/>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99129684-7A1E-4FBC-9ADA-7DB4819C8FAD}"/>
    <cellStyle name="Normal 5 2 4 7 2 2 3" xfId="25499" xr:uid="{8EECCD35-D6EB-47A0-A0B4-48FB5B4C5899}"/>
    <cellStyle name="Normal 5 2 4 7 2 2 4" xfId="33946" xr:uid="{3B2D4FBF-69EF-4074-8295-2F987E96EEFE}"/>
    <cellStyle name="Normal 5 2 4 7 2 3" xfId="12834" xr:uid="{3B1DC480-C55F-4081-A78B-9BF29674BA81}"/>
    <cellStyle name="Normal 5 2 4 7 2 4" xfId="21282" xr:uid="{A0FC8285-7FB9-4916-9F7E-3962CF7067A9}"/>
    <cellStyle name="Normal 5 2 4 7 2 5" xfId="29729" xr:uid="{CA87F969-352C-4EFF-A44A-B4AF751403B3}"/>
    <cellStyle name="Normal 5 2 4 7 3" xfId="6457" xr:uid="{00000000-0005-0000-0000-00001E190000}"/>
    <cellStyle name="Normal 5 2 4 7 3 2" xfId="14907" xr:uid="{28422545-9522-4B5C-8990-F819124EA639}"/>
    <cellStyle name="Normal 5 2 4 7 3 3" xfId="23354" xr:uid="{DBCCC446-08F0-4B40-840B-FD5208DC5DC5}"/>
    <cellStyle name="Normal 5 2 4 7 3 4" xfId="31801" xr:uid="{C3966AE6-58D5-4003-BAE3-76A0AC2E8816}"/>
    <cellStyle name="Normal 5 2 4 7 4" xfId="10689" xr:uid="{13624E09-6139-42F0-AEEB-E8BEDB9FC4ED}"/>
    <cellStyle name="Normal 5 2 4 7 5" xfId="19137" xr:uid="{C6195498-4E2F-4A9B-804D-E185FC311574}"/>
    <cellStyle name="Normal 5 2 4 7 6" xfId="27584" xr:uid="{B98A2D4E-B47A-456F-A5F7-38D409E9668D}"/>
    <cellStyle name="Normal 5 2 4 8" xfId="2587" xr:uid="{00000000-0005-0000-0000-00001F190000}"/>
    <cellStyle name="Normal 5 2 4 8 2" xfId="6870" xr:uid="{00000000-0005-0000-0000-000020190000}"/>
    <cellStyle name="Normal 5 2 4 8 2 2" xfId="15320" xr:uid="{62268819-338F-4CBB-845C-43C9283E874B}"/>
    <cellStyle name="Normal 5 2 4 8 2 3" xfId="23767" xr:uid="{88CC7E39-55D0-46DB-90A3-6A0AEBB908B5}"/>
    <cellStyle name="Normal 5 2 4 8 2 4" xfId="32214" xr:uid="{B31EBBEE-2007-4AAD-AE38-5AB688F238F2}"/>
    <cellStyle name="Normal 5 2 4 8 3" xfId="11102" xr:uid="{12393100-4C7A-40D2-9C80-956E0B87E16B}"/>
    <cellStyle name="Normal 5 2 4 8 4" xfId="19550" xr:uid="{5B75BC78-812A-49F7-9B96-B3B8975420D8}"/>
    <cellStyle name="Normal 5 2 4 8 5" xfId="27997" xr:uid="{3E0F044A-98E8-4092-A762-13652DB34BDA}"/>
    <cellStyle name="Normal 5 2 4 9" xfId="4805" xr:uid="{00000000-0005-0000-0000-000021190000}"/>
    <cellStyle name="Normal 5 2 4 9 2" xfId="13255" xr:uid="{D593E853-0D43-41DE-A6B5-43F28C1C7157}"/>
    <cellStyle name="Normal 5 2 4 9 3" xfId="21702" xr:uid="{78D93B6A-8D18-41EF-A7C1-BF7E5EE3F044}"/>
    <cellStyle name="Normal 5 2 4 9 4" xfId="30149" xr:uid="{88746A0B-0904-4B60-AD8B-2A03A4E2848E}"/>
    <cellStyle name="Normal 5 2 5" xfId="436" xr:uid="{00000000-0005-0000-0000-000022190000}"/>
    <cellStyle name="Normal 5 2 5 10" xfId="17489" xr:uid="{517B37AF-C044-4A8F-A3B3-985A2411CBCA}"/>
    <cellStyle name="Normal 5 2 5 11" xfId="25936" xr:uid="{490B6533-6307-4425-96B2-AB98D43F0679}"/>
    <cellStyle name="Normal 5 2 5 2" xfId="437" xr:uid="{00000000-0005-0000-0000-000023190000}"/>
    <cellStyle name="Normal 5 2 5 2 10" xfId="25937" xr:uid="{8BDBA72A-7751-4821-B02F-03D07E6F754D}"/>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81F14F15-840C-4442-8551-1B54BE66621F}"/>
    <cellStyle name="Normal 5 2 5 2 2 2 2 3" xfId="24265" xr:uid="{CF9B0065-31D6-46C7-A664-2DF719625AB9}"/>
    <cellStyle name="Normal 5 2 5 2 2 2 2 4" xfId="32712" xr:uid="{A77F0DBE-B671-4194-AD82-9AFF1C3754B3}"/>
    <cellStyle name="Normal 5 2 5 2 2 2 3" xfId="11600" xr:uid="{2F3C2CAC-CDEB-4F9A-99ED-6F7C92379976}"/>
    <cellStyle name="Normal 5 2 5 2 2 2 4" xfId="20048" xr:uid="{035D8022-7027-493A-850C-BDA526B07C55}"/>
    <cellStyle name="Normal 5 2 5 2 2 2 5" xfId="28495" xr:uid="{4C7E9BB6-C9BE-4D09-B403-FF4BDB632978}"/>
    <cellStyle name="Normal 5 2 5 2 2 3" xfId="5223" xr:uid="{00000000-0005-0000-0000-000027190000}"/>
    <cellStyle name="Normal 5 2 5 2 2 3 2" xfId="13673" xr:uid="{BBCA3FC6-AA58-4C7F-A718-2AB7822C6387}"/>
    <cellStyle name="Normal 5 2 5 2 2 3 3" xfId="22120" xr:uid="{3C64F505-FD4A-4EEF-8C28-23368030629C}"/>
    <cellStyle name="Normal 5 2 5 2 2 3 4" xfId="30567" xr:uid="{786BE913-7B39-4DBB-AB42-E3EA371B0011}"/>
    <cellStyle name="Normal 5 2 5 2 2 4" xfId="9455" xr:uid="{DF82BBC3-76C5-459E-96BF-1CB1CB07C68E}"/>
    <cellStyle name="Normal 5 2 5 2 2 5" xfId="17903" xr:uid="{81D044EE-6AFE-4DE7-83F7-ED814F1CE9D9}"/>
    <cellStyle name="Normal 5 2 5 2 2 6" xfId="26350" xr:uid="{FDD67297-413A-45BF-963E-7BC3F2DE031D}"/>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FE939465-6F28-406E-AD9B-2C9AC63C3014}"/>
    <cellStyle name="Normal 5 2 5 2 3 2 2 3" xfId="24678" xr:uid="{1608628B-30F5-4040-86E8-87F795C5F5E8}"/>
    <cellStyle name="Normal 5 2 5 2 3 2 2 4" xfId="33125" xr:uid="{6D00D56D-2094-4E92-BB73-250FD645951F}"/>
    <cellStyle name="Normal 5 2 5 2 3 2 3" xfId="12013" xr:uid="{0B121F56-8941-4F7C-8711-4B192F357192}"/>
    <cellStyle name="Normal 5 2 5 2 3 2 4" xfId="20461" xr:uid="{B1EF4415-714A-4E04-B314-163C2E0D23C6}"/>
    <cellStyle name="Normal 5 2 5 2 3 2 5" xfId="28908" xr:uid="{CD437C98-893D-4CB7-8F4F-88F1FE558643}"/>
    <cellStyle name="Normal 5 2 5 2 3 3" xfId="5636" xr:uid="{00000000-0005-0000-0000-00002B190000}"/>
    <cellStyle name="Normal 5 2 5 2 3 3 2" xfId="14086" xr:uid="{3E3F6ED5-C701-476A-B1E2-1B875B9936D2}"/>
    <cellStyle name="Normal 5 2 5 2 3 3 3" xfId="22533" xr:uid="{0742E029-9EFD-454A-ADEE-327704FDFDE9}"/>
    <cellStyle name="Normal 5 2 5 2 3 3 4" xfId="30980" xr:uid="{1F0D6F2D-2C0D-47A3-AADC-B78B2DE7F61B}"/>
    <cellStyle name="Normal 5 2 5 2 3 4" xfId="9868" xr:uid="{156606D0-99A5-4AEE-BB1A-88AC08600FDC}"/>
    <cellStyle name="Normal 5 2 5 2 3 5" xfId="18316" xr:uid="{C43B1DAE-A9BD-43C7-9480-C7A2902B3BE3}"/>
    <cellStyle name="Normal 5 2 5 2 3 6" xfId="26763" xr:uid="{DEA63BF6-70B3-4087-AF1E-0DE0B6AA8A4A}"/>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8BF0061A-B202-4474-8E95-A5BD5621B79B}"/>
    <cellStyle name="Normal 5 2 5 2 4 2 2 3" xfId="25091" xr:uid="{4729D16C-547B-4922-AF26-1F2C9DAFED43}"/>
    <cellStyle name="Normal 5 2 5 2 4 2 2 4" xfId="33538" xr:uid="{57C39E0E-8290-4FCB-8D7A-13EA61358837}"/>
    <cellStyle name="Normal 5 2 5 2 4 2 3" xfId="12426" xr:uid="{DAB558EF-DED5-4D9F-9170-317229D12353}"/>
    <cellStyle name="Normal 5 2 5 2 4 2 4" xfId="20874" xr:uid="{E4095433-0083-4311-A070-89313DCE3633}"/>
    <cellStyle name="Normal 5 2 5 2 4 2 5" xfId="29321" xr:uid="{2A564C7B-0E86-4067-84E0-819EB6F8804C}"/>
    <cellStyle name="Normal 5 2 5 2 4 3" xfId="6049" xr:uid="{00000000-0005-0000-0000-00002F190000}"/>
    <cellStyle name="Normal 5 2 5 2 4 3 2" xfId="14499" xr:uid="{B2B250E8-838E-42A2-8C47-22B0903E6C15}"/>
    <cellStyle name="Normal 5 2 5 2 4 3 3" xfId="22946" xr:uid="{E8F0A03C-B104-4CD9-B62A-5C5959A949C3}"/>
    <cellStyle name="Normal 5 2 5 2 4 3 4" xfId="31393" xr:uid="{63E8BD6E-190E-47B6-B43F-588975B29B06}"/>
    <cellStyle name="Normal 5 2 5 2 4 4" xfId="10281" xr:uid="{2181B0EF-371C-401F-A36C-3B5E7A762EB0}"/>
    <cellStyle name="Normal 5 2 5 2 4 5" xfId="18729" xr:uid="{506A3F9D-5433-48EC-A91F-A3610C3C264C}"/>
    <cellStyle name="Normal 5 2 5 2 4 6" xfId="27176" xr:uid="{B8AD5F7B-C839-421A-B9F4-1EB09E3FB5C4}"/>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4ED839AA-37C3-4BD8-B0A5-B1D186556484}"/>
    <cellStyle name="Normal 5 2 5 2 5 2 2 3" xfId="25504" xr:uid="{2D3BF161-2EAA-4EC0-8C5E-589B829B33B5}"/>
    <cellStyle name="Normal 5 2 5 2 5 2 2 4" xfId="33951" xr:uid="{97B3E945-5669-4AE7-8BA3-B0D1CE0BD9A6}"/>
    <cellStyle name="Normal 5 2 5 2 5 2 3" xfId="12839" xr:uid="{A2789666-3F3B-4ADE-87F6-1BCF1D2787C5}"/>
    <cellStyle name="Normal 5 2 5 2 5 2 4" xfId="21287" xr:uid="{6C8DD60C-1014-4878-891D-35075271DA09}"/>
    <cellStyle name="Normal 5 2 5 2 5 2 5" xfId="29734" xr:uid="{37B9A0B4-EACA-4690-A285-09F7E9CD1D1C}"/>
    <cellStyle name="Normal 5 2 5 2 5 3" xfId="6462" xr:uid="{00000000-0005-0000-0000-000033190000}"/>
    <cellStyle name="Normal 5 2 5 2 5 3 2" xfId="14912" xr:uid="{A7609C6A-CF51-4A03-89F9-CBD97AF035E8}"/>
    <cellStyle name="Normal 5 2 5 2 5 3 3" xfId="23359" xr:uid="{5389D054-EFFA-435E-BE47-3049D8D0F10D}"/>
    <cellStyle name="Normal 5 2 5 2 5 3 4" xfId="31806" xr:uid="{9A6DD0A4-C2F4-4213-969C-72578AC96FB1}"/>
    <cellStyle name="Normal 5 2 5 2 5 4" xfId="10694" xr:uid="{6E518B51-EE5A-4B77-B7E9-D4FE0C5DF3AA}"/>
    <cellStyle name="Normal 5 2 5 2 5 5" xfId="19142" xr:uid="{D9FA2015-FF15-4EA2-A759-31E51D31FE65}"/>
    <cellStyle name="Normal 5 2 5 2 5 6" xfId="27589" xr:uid="{CBF8E4D1-F9D0-476D-9D93-9E8C3FC54AB9}"/>
    <cellStyle name="Normal 5 2 5 2 6" xfId="2592" xr:uid="{00000000-0005-0000-0000-000034190000}"/>
    <cellStyle name="Normal 5 2 5 2 6 2" xfId="6875" xr:uid="{00000000-0005-0000-0000-000035190000}"/>
    <cellStyle name="Normal 5 2 5 2 6 2 2" xfId="15325" xr:uid="{A55B2460-016B-40DC-835E-0B33353AC15A}"/>
    <cellStyle name="Normal 5 2 5 2 6 2 3" xfId="23772" xr:uid="{E54EB0AA-06BD-4F5C-87F4-C33B429DEDDC}"/>
    <cellStyle name="Normal 5 2 5 2 6 2 4" xfId="32219" xr:uid="{D4C6E52A-F76E-4EEE-A59E-B9CE844313A1}"/>
    <cellStyle name="Normal 5 2 5 2 6 3" xfId="11107" xr:uid="{9BAA96AE-8113-4969-B17F-12E6E806F8BC}"/>
    <cellStyle name="Normal 5 2 5 2 6 4" xfId="19555" xr:uid="{DD62806F-619C-4D3C-8593-BB138875B4BD}"/>
    <cellStyle name="Normal 5 2 5 2 6 5" xfId="28002" xr:uid="{E29A444C-2303-4345-BD86-813CAE966966}"/>
    <cellStyle name="Normal 5 2 5 2 7" xfId="4810" xr:uid="{00000000-0005-0000-0000-000036190000}"/>
    <cellStyle name="Normal 5 2 5 2 7 2" xfId="13260" xr:uid="{440AB5AD-1E39-4722-BA32-26BA4EF8A163}"/>
    <cellStyle name="Normal 5 2 5 2 7 3" xfId="21707" xr:uid="{3DB76CEF-7195-4411-AEC8-A1D42D14E929}"/>
    <cellStyle name="Normal 5 2 5 2 7 4" xfId="30154" xr:uid="{D969EB4B-53E1-4FD4-AC0E-68F5086AC281}"/>
    <cellStyle name="Normal 5 2 5 2 8" xfId="9042" xr:uid="{CA823B3F-5A2F-4FDF-BFED-D7F073322D38}"/>
    <cellStyle name="Normal 5 2 5 2 9" xfId="17490" xr:uid="{61231816-7F80-4AB7-800B-C4DC89880213}"/>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26096A92-02A9-4B12-B3AA-D1DD46AA1A04}"/>
    <cellStyle name="Normal 5 2 5 3 2 2 3" xfId="24264" xr:uid="{19150193-DEFA-4DB1-BF4A-F58DDD1B8BAE}"/>
    <cellStyle name="Normal 5 2 5 3 2 2 4" xfId="32711" xr:uid="{D28D4E40-CA4A-4187-9CA8-825B68DE026C}"/>
    <cellStyle name="Normal 5 2 5 3 2 3" xfId="11599" xr:uid="{3022AE4A-1D6A-4637-99E1-0C9E9E3284CC}"/>
    <cellStyle name="Normal 5 2 5 3 2 4" xfId="20047" xr:uid="{F51B0C29-B775-4CDB-9351-8B709C31EEC3}"/>
    <cellStyle name="Normal 5 2 5 3 2 5" xfId="28494" xr:uid="{F9935682-153B-4D14-8B5F-DE91BEAA908F}"/>
    <cellStyle name="Normal 5 2 5 3 3" xfId="5222" xr:uid="{00000000-0005-0000-0000-00003A190000}"/>
    <cellStyle name="Normal 5 2 5 3 3 2" xfId="13672" xr:uid="{25D779BB-0E35-474C-9ECA-1157F3745F3A}"/>
    <cellStyle name="Normal 5 2 5 3 3 3" xfId="22119" xr:uid="{A7D4473C-14F9-46EF-A1F4-AFDD80D5B855}"/>
    <cellStyle name="Normal 5 2 5 3 3 4" xfId="30566" xr:uid="{9BBA6DE3-04A1-4519-8E7E-721B18115D6D}"/>
    <cellStyle name="Normal 5 2 5 3 4" xfId="9454" xr:uid="{850D692D-7C60-4C60-B85B-1B2A7A3639BF}"/>
    <cellStyle name="Normal 5 2 5 3 5" xfId="17902" xr:uid="{8B6C0579-560A-4645-90B0-684EDA18FDD6}"/>
    <cellStyle name="Normal 5 2 5 3 6" xfId="26349" xr:uid="{B50F7337-C2B3-4EC6-A8DA-CCFF079113CE}"/>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E10EFA20-ABAC-4749-A932-689954E3FF89}"/>
    <cellStyle name="Normal 5 2 5 4 2 2 3" xfId="24677" xr:uid="{0DDFAA4C-B40A-4D54-96AA-73C5889B8F34}"/>
    <cellStyle name="Normal 5 2 5 4 2 2 4" xfId="33124" xr:uid="{BCD9B359-1ACB-41A0-80BF-86ACB502CD15}"/>
    <cellStyle name="Normal 5 2 5 4 2 3" xfId="12012" xr:uid="{BC54C84A-1893-432D-9DA9-55E85715178F}"/>
    <cellStyle name="Normal 5 2 5 4 2 4" xfId="20460" xr:uid="{1CF55C5C-65EB-4DAF-BD64-C5FD7088737E}"/>
    <cellStyle name="Normal 5 2 5 4 2 5" xfId="28907" xr:uid="{8079081A-4F4E-4DE6-B4E8-2D1077C51001}"/>
    <cellStyle name="Normal 5 2 5 4 3" xfId="5635" xr:uid="{00000000-0005-0000-0000-00003E190000}"/>
    <cellStyle name="Normal 5 2 5 4 3 2" xfId="14085" xr:uid="{89F699A7-40F5-4CC6-8DAF-129594F6B3F7}"/>
    <cellStyle name="Normal 5 2 5 4 3 3" xfId="22532" xr:uid="{C1E43078-99F7-4F49-9005-4900B4B3A7EC}"/>
    <cellStyle name="Normal 5 2 5 4 3 4" xfId="30979" xr:uid="{0BD31124-503F-4E13-AEFA-E536AEAB11C4}"/>
    <cellStyle name="Normal 5 2 5 4 4" xfId="9867" xr:uid="{5E9D69D9-1C71-424A-86D9-1EC5992D21D5}"/>
    <cellStyle name="Normal 5 2 5 4 5" xfId="18315" xr:uid="{E0F48A8B-FC94-4BA5-9A8F-175D9F2B97E1}"/>
    <cellStyle name="Normal 5 2 5 4 6" xfId="26762" xr:uid="{71597AB6-892F-4DF7-8C99-D9DE600A7C9A}"/>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A9C58C86-596B-4335-B08E-6D484553B166}"/>
    <cellStyle name="Normal 5 2 5 5 2 2 3" xfId="25090" xr:uid="{6D15611A-3487-4126-9182-268F513EB0E8}"/>
    <cellStyle name="Normal 5 2 5 5 2 2 4" xfId="33537" xr:uid="{795A5032-73C6-4A88-B73B-AC5E43DB5D51}"/>
    <cellStyle name="Normal 5 2 5 5 2 3" xfId="12425" xr:uid="{67283807-1058-4996-A65B-F171B937F20D}"/>
    <cellStyle name="Normal 5 2 5 5 2 4" xfId="20873" xr:uid="{F53CBF52-8C4A-40BA-AEDD-34B3CF69D2CE}"/>
    <cellStyle name="Normal 5 2 5 5 2 5" xfId="29320" xr:uid="{F71B0C4F-3A1C-42AB-A50E-941C52EE2550}"/>
    <cellStyle name="Normal 5 2 5 5 3" xfId="6048" xr:uid="{00000000-0005-0000-0000-000042190000}"/>
    <cellStyle name="Normal 5 2 5 5 3 2" xfId="14498" xr:uid="{7766C4A2-CD66-41F8-A009-FC1B2A3655F3}"/>
    <cellStyle name="Normal 5 2 5 5 3 3" xfId="22945" xr:uid="{13EC1311-9276-49AF-BD8D-37C6551F5E3A}"/>
    <cellStyle name="Normal 5 2 5 5 3 4" xfId="31392" xr:uid="{347D1FD1-6CD6-4917-95A2-E0D18D9729F2}"/>
    <cellStyle name="Normal 5 2 5 5 4" xfId="10280" xr:uid="{DF643DEE-9EEC-4114-BE17-5D033A0BD692}"/>
    <cellStyle name="Normal 5 2 5 5 5" xfId="18728" xr:uid="{1BC20C01-66DC-42F1-A74A-23FEDEE901E0}"/>
    <cellStyle name="Normal 5 2 5 5 6" xfId="27175" xr:uid="{4C83A5AF-167C-4BBF-A1E7-C57254FA4D9D}"/>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9087C448-9C75-4E85-83B5-D6FE5658BA3E}"/>
    <cellStyle name="Normal 5 2 5 6 2 2 3" xfId="25503" xr:uid="{05888825-4E92-448B-963A-3ECD4B666E09}"/>
    <cellStyle name="Normal 5 2 5 6 2 2 4" xfId="33950" xr:uid="{08CEE15E-08A6-42D8-9BDD-60F011406987}"/>
    <cellStyle name="Normal 5 2 5 6 2 3" xfId="12838" xr:uid="{DBBD57E4-AAA5-4F0F-B3F3-1E91D74B936E}"/>
    <cellStyle name="Normal 5 2 5 6 2 4" xfId="21286" xr:uid="{D26E27A5-82E3-430C-AD40-530A6A64C672}"/>
    <cellStyle name="Normal 5 2 5 6 2 5" xfId="29733" xr:uid="{96AFF918-AEB7-4494-A996-1DAA99356ED3}"/>
    <cellStyle name="Normal 5 2 5 6 3" xfId="6461" xr:uid="{00000000-0005-0000-0000-000046190000}"/>
    <cellStyle name="Normal 5 2 5 6 3 2" xfId="14911" xr:uid="{F3903202-74C5-424A-BD94-73A7156F6F1E}"/>
    <cellStyle name="Normal 5 2 5 6 3 3" xfId="23358" xr:uid="{5F1E5848-B1C6-4C28-9FB1-EEFBB6227547}"/>
    <cellStyle name="Normal 5 2 5 6 3 4" xfId="31805" xr:uid="{0923698B-A5A1-4DD5-8164-D93F492D09AC}"/>
    <cellStyle name="Normal 5 2 5 6 4" xfId="10693" xr:uid="{ACCE6625-5AAC-4F0D-8651-DCBB1A842726}"/>
    <cellStyle name="Normal 5 2 5 6 5" xfId="19141" xr:uid="{A8F3CE51-A87B-438E-B000-3A5A8943B4E6}"/>
    <cellStyle name="Normal 5 2 5 6 6" xfId="27588" xr:uid="{1C93FCEB-06D9-4A0B-9EE0-675D706DA86F}"/>
    <cellStyle name="Normal 5 2 5 7" xfId="2591" xr:uid="{00000000-0005-0000-0000-000047190000}"/>
    <cellStyle name="Normal 5 2 5 7 2" xfId="6874" xr:uid="{00000000-0005-0000-0000-000048190000}"/>
    <cellStyle name="Normal 5 2 5 7 2 2" xfId="15324" xr:uid="{A6DFF581-B445-4C98-A62C-E0945AA6C9A9}"/>
    <cellStyle name="Normal 5 2 5 7 2 3" xfId="23771" xr:uid="{AE0762FD-21E6-4F37-8663-1F413B35943A}"/>
    <cellStyle name="Normal 5 2 5 7 2 4" xfId="32218" xr:uid="{F44EF9A6-2AEA-4353-AD2E-CE3E5F26C1B4}"/>
    <cellStyle name="Normal 5 2 5 7 3" xfId="11106" xr:uid="{0A216811-98BB-4C2A-A296-8998F4EED5C0}"/>
    <cellStyle name="Normal 5 2 5 7 4" xfId="19554" xr:uid="{AA384647-018B-47D2-A070-61CA9FB68D54}"/>
    <cellStyle name="Normal 5 2 5 7 5" xfId="28001" xr:uid="{35EDB809-62C9-4AC0-BFE6-3B9157C382E8}"/>
    <cellStyle name="Normal 5 2 5 8" xfId="4809" xr:uid="{00000000-0005-0000-0000-000049190000}"/>
    <cellStyle name="Normal 5 2 5 8 2" xfId="13259" xr:uid="{0E6C3E0A-3AB9-4724-8C1A-C9B9ABECF54E}"/>
    <cellStyle name="Normal 5 2 5 8 3" xfId="21706" xr:uid="{2E18710A-07EF-42B2-9747-D9CCBBE93DA9}"/>
    <cellStyle name="Normal 5 2 5 8 4" xfId="30153" xr:uid="{1C03E1CA-2C92-407F-9B01-56129DCD178A}"/>
    <cellStyle name="Normal 5 2 5 9" xfId="9041" xr:uid="{6B3A3F3B-438B-4E43-B136-E3AA60AEAB8E}"/>
    <cellStyle name="Normal 5 2 6" xfId="438" xr:uid="{00000000-0005-0000-0000-00004A190000}"/>
    <cellStyle name="Normal 5 2 6 10" xfId="25938" xr:uid="{6B88464A-564C-4B95-B3FF-E4C16C8AB669}"/>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C95516E0-912B-4E88-ACFF-2FA49376EE2D}"/>
    <cellStyle name="Normal 5 2 6 2 2 2 3" xfId="24266" xr:uid="{AF817340-8A39-4A50-9EAC-655CD12B6432}"/>
    <cellStyle name="Normal 5 2 6 2 2 2 4" xfId="32713" xr:uid="{96548ADA-4138-4ED1-8396-D87B12605321}"/>
    <cellStyle name="Normal 5 2 6 2 2 3" xfId="11601" xr:uid="{B74272ED-2D0B-4913-B934-59DB289968EB}"/>
    <cellStyle name="Normal 5 2 6 2 2 4" xfId="20049" xr:uid="{BEB1FE33-8802-4F2C-9061-0F5CD6B8F8A8}"/>
    <cellStyle name="Normal 5 2 6 2 2 5" xfId="28496" xr:uid="{A9A50C19-E33C-4171-9C23-A76186F3DF8C}"/>
    <cellStyle name="Normal 5 2 6 2 3" xfId="5224" xr:uid="{00000000-0005-0000-0000-00004E190000}"/>
    <cellStyle name="Normal 5 2 6 2 3 2" xfId="13674" xr:uid="{236BEC7E-2B5D-4E38-B005-ECBA06B7DE79}"/>
    <cellStyle name="Normal 5 2 6 2 3 3" xfId="22121" xr:uid="{CF1A06D4-1996-4C5C-BF7C-FD7FF12822F8}"/>
    <cellStyle name="Normal 5 2 6 2 3 4" xfId="30568" xr:uid="{C2C2494A-CEDE-43FE-8456-F5282195BAE7}"/>
    <cellStyle name="Normal 5 2 6 2 4" xfId="9456" xr:uid="{FFE37D50-D56D-475D-8D25-A08ED9182409}"/>
    <cellStyle name="Normal 5 2 6 2 5" xfId="17904" xr:uid="{07AE9C80-C56B-459E-BFE7-EEAA1B434827}"/>
    <cellStyle name="Normal 5 2 6 2 6" xfId="26351" xr:uid="{1E2A53D1-0BAC-4D4F-A113-F182B4A2DBFC}"/>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9EF9C715-E79D-4493-AD28-4649F20D7293}"/>
    <cellStyle name="Normal 5 2 6 3 2 2 3" xfId="24679" xr:uid="{435EF7CB-DA9A-423C-A849-91A81C24E063}"/>
    <cellStyle name="Normal 5 2 6 3 2 2 4" xfId="33126" xr:uid="{C1479654-044B-476E-BEE3-7464FB526C4D}"/>
    <cellStyle name="Normal 5 2 6 3 2 3" xfId="12014" xr:uid="{8CEB7369-6324-4BAE-931F-DE568DB79350}"/>
    <cellStyle name="Normal 5 2 6 3 2 4" xfId="20462" xr:uid="{4774ED37-96BC-48E2-BC04-C23E80BBD016}"/>
    <cellStyle name="Normal 5 2 6 3 2 5" xfId="28909" xr:uid="{73AA8B1E-2F6F-486A-9FBE-2BDD7B36C60F}"/>
    <cellStyle name="Normal 5 2 6 3 3" xfId="5637" xr:uid="{00000000-0005-0000-0000-000052190000}"/>
    <cellStyle name="Normal 5 2 6 3 3 2" xfId="14087" xr:uid="{78296619-7B5B-4D8A-8A47-FACA09D194EE}"/>
    <cellStyle name="Normal 5 2 6 3 3 3" xfId="22534" xr:uid="{66846372-AB93-4D10-A535-BA9F216C1746}"/>
    <cellStyle name="Normal 5 2 6 3 3 4" xfId="30981" xr:uid="{B52C8F55-D712-48D7-94F7-DCB77D76B150}"/>
    <cellStyle name="Normal 5 2 6 3 4" xfId="9869" xr:uid="{430F2D59-CB38-448D-BB7C-5CB0C7BBD191}"/>
    <cellStyle name="Normal 5 2 6 3 5" xfId="18317" xr:uid="{DDBD0507-EE27-4F1B-8BE3-9196574B3CF2}"/>
    <cellStyle name="Normal 5 2 6 3 6" xfId="26764" xr:uid="{838BA344-3800-4420-B4B8-EA285F2EDBC6}"/>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BB13CDCF-5DC9-4AB3-99E2-22698CBA186C}"/>
    <cellStyle name="Normal 5 2 6 4 2 2 3" xfId="25092" xr:uid="{1D03C86C-C487-4352-B67E-C2091FBE1160}"/>
    <cellStyle name="Normal 5 2 6 4 2 2 4" xfId="33539" xr:uid="{6E6B35F5-50FF-4C4E-A311-8394575B5A4E}"/>
    <cellStyle name="Normal 5 2 6 4 2 3" xfId="12427" xr:uid="{E6825CCF-0300-4896-B63A-3AA853E11EB3}"/>
    <cellStyle name="Normal 5 2 6 4 2 4" xfId="20875" xr:uid="{B822CB26-46A7-4AFA-82F6-EC08A6DBFF9C}"/>
    <cellStyle name="Normal 5 2 6 4 2 5" xfId="29322" xr:uid="{35CBD3FF-E8B6-4291-9276-7769A5F37601}"/>
    <cellStyle name="Normal 5 2 6 4 3" xfId="6050" xr:uid="{00000000-0005-0000-0000-000056190000}"/>
    <cellStyle name="Normal 5 2 6 4 3 2" xfId="14500" xr:uid="{BE5B5F53-74CD-427B-8347-6909E760EFF6}"/>
    <cellStyle name="Normal 5 2 6 4 3 3" xfId="22947" xr:uid="{42E64F39-C336-4B2F-9099-6CC78BFDAE97}"/>
    <cellStyle name="Normal 5 2 6 4 3 4" xfId="31394" xr:uid="{DF06F4C9-3EA9-45DA-9334-362E9689268D}"/>
    <cellStyle name="Normal 5 2 6 4 4" xfId="10282" xr:uid="{C6D6A262-61AA-4B72-9E07-D1F2C4BC0F3A}"/>
    <cellStyle name="Normal 5 2 6 4 5" xfId="18730" xr:uid="{A9EB6999-BB88-42BC-A858-8E26D0969155}"/>
    <cellStyle name="Normal 5 2 6 4 6" xfId="27177" xr:uid="{7E4DA869-2DB0-410F-9654-5257E4FF6208}"/>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61893A1C-0312-441B-938C-394E6031C4C9}"/>
    <cellStyle name="Normal 5 2 6 5 2 2 3" xfId="25505" xr:uid="{FA837CE3-A5B1-4FC7-9C43-AE3A15440B3E}"/>
    <cellStyle name="Normal 5 2 6 5 2 2 4" xfId="33952" xr:uid="{567A250E-67D5-49C6-8BC7-BCFCCF1B0A39}"/>
    <cellStyle name="Normal 5 2 6 5 2 3" xfId="12840" xr:uid="{0628D55F-5591-4189-BB38-153B06C650E5}"/>
    <cellStyle name="Normal 5 2 6 5 2 4" xfId="21288" xr:uid="{9A8C459C-AE0A-4BB0-A914-374A5DECEBD4}"/>
    <cellStyle name="Normal 5 2 6 5 2 5" xfId="29735" xr:uid="{E866A6D9-8D67-41B8-9C4C-A50458388ACE}"/>
    <cellStyle name="Normal 5 2 6 5 3" xfId="6463" xr:uid="{00000000-0005-0000-0000-00005A190000}"/>
    <cellStyle name="Normal 5 2 6 5 3 2" xfId="14913" xr:uid="{8774484F-A956-451D-A5E1-D55FC13F7101}"/>
    <cellStyle name="Normal 5 2 6 5 3 3" xfId="23360" xr:uid="{8A5D13AE-9E8E-4578-A995-3520D8823153}"/>
    <cellStyle name="Normal 5 2 6 5 3 4" xfId="31807" xr:uid="{282C7770-5EAF-49A9-8B94-CC37002E8E5F}"/>
    <cellStyle name="Normal 5 2 6 5 4" xfId="10695" xr:uid="{EABF5DF3-121D-4E48-90C8-945930C350E8}"/>
    <cellStyle name="Normal 5 2 6 5 5" xfId="19143" xr:uid="{A83D0D8D-48D3-4E3A-992C-839BACDE1BF1}"/>
    <cellStyle name="Normal 5 2 6 5 6" xfId="27590" xr:uid="{724B36B7-CFCB-4036-AD69-35CB28D381E8}"/>
    <cellStyle name="Normal 5 2 6 6" xfId="2593" xr:uid="{00000000-0005-0000-0000-00005B190000}"/>
    <cellStyle name="Normal 5 2 6 6 2" xfId="6876" xr:uid="{00000000-0005-0000-0000-00005C190000}"/>
    <cellStyle name="Normal 5 2 6 6 2 2" xfId="15326" xr:uid="{BF8DF67D-791E-4006-8B17-41218B1F66F1}"/>
    <cellStyle name="Normal 5 2 6 6 2 3" xfId="23773" xr:uid="{A4DA73BE-1562-4131-86F3-1852E396C86E}"/>
    <cellStyle name="Normal 5 2 6 6 2 4" xfId="32220" xr:uid="{2E641968-B1E8-429B-8186-85527F04D5F3}"/>
    <cellStyle name="Normal 5 2 6 6 3" xfId="11108" xr:uid="{1D14863E-9FFC-432B-A7B8-9A4BC496B949}"/>
    <cellStyle name="Normal 5 2 6 6 4" xfId="19556" xr:uid="{C3B330EF-4012-4E89-9095-874F63AFCC87}"/>
    <cellStyle name="Normal 5 2 6 6 5" xfId="28003" xr:uid="{E365CC51-7955-4E44-9491-E5008071E1F9}"/>
    <cellStyle name="Normal 5 2 6 7" xfId="4811" xr:uid="{00000000-0005-0000-0000-00005D190000}"/>
    <cellStyle name="Normal 5 2 6 7 2" xfId="13261" xr:uid="{7640C9FF-6985-4F77-929B-8B2093A0848C}"/>
    <cellStyle name="Normal 5 2 6 7 3" xfId="21708" xr:uid="{2F44A7A8-F614-4003-9A8C-412F751E43CD}"/>
    <cellStyle name="Normal 5 2 6 7 4" xfId="30155" xr:uid="{9134BEDB-02EA-400A-8B04-C50D4CB53EBB}"/>
    <cellStyle name="Normal 5 2 6 8" xfId="9043" xr:uid="{4C09D995-2F24-4C51-BC15-A9B5529AC754}"/>
    <cellStyle name="Normal 5 2 6 9" xfId="17491" xr:uid="{5EDD7C14-E3AD-4009-8029-762C57ADDB69}"/>
    <cellStyle name="Normal 5 2 7" xfId="881" xr:uid="{00000000-0005-0000-0000-00005E190000}"/>
    <cellStyle name="Normal 5 2 7 2" xfId="3116" xr:uid="{00000000-0005-0000-0000-00005F190000}"/>
    <cellStyle name="Normal 5 2 7 2 2" xfId="7338" xr:uid="{00000000-0005-0000-0000-000060190000}"/>
    <cellStyle name="Normal 5 2 7 2 2 2" xfId="15788" xr:uid="{0EE42CE9-7A31-4D55-88DA-708C82FB0F8F}"/>
    <cellStyle name="Normal 5 2 7 2 2 3" xfId="24235" xr:uid="{206D2702-62AE-4FD8-846F-05776AC09105}"/>
    <cellStyle name="Normal 5 2 7 2 2 4" xfId="32682" xr:uid="{DAA48026-B5ED-480A-8A92-D9418904339E}"/>
    <cellStyle name="Normal 5 2 7 2 3" xfId="11570" xr:uid="{72DB2CD5-0D2F-4418-B250-D40E7C651083}"/>
    <cellStyle name="Normal 5 2 7 2 4" xfId="20018" xr:uid="{D4A26FFB-058A-4AD2-B646-4820037F9EF7}"/>
    <cellStyle name="Normal 5 2 7 2 5" xfId="28465" xr:uid="{54831528-FC9E-41AB-9B17-579918E2D3DB}"/>
    <cellStyle name="Normal 5 2 7 3" xfId="5193" xr:uid="{00000000-0005-0000-0000-000061190000}"/>
    <cellStyle name="Normal 5 2 7 3 2" xfId="13643" xr:uid="{DB0F603F-281B-4D7D-81AB-6759D6236103}"/>
    <cellStyle name="Normal 5 2 7 3 3" xfId="22090" xr:uid="{B253D81C-EF25-4D59-A192-6AAAEBE74D31}"/>
    <cellStyle name="Normal 5 2 7 3 4" xfId="30537" xr:uid="{D9C14206-C473-45D7-8A7C-BB1B35A87F67}"/>
    <cellStyle name="Normal 5 2 7 4" xfId="9425" xr:uid="{82F00E2E-DBA1-4427-ACCF-4AD191C6373A}"/>
    <cellStyle name="Normal 5 2 7 5" xfId="17873" xr:uid="{9BDAD89A-2406-485C-882A-1E940C51E493}"/>
    <cellStyle name="Normal 5 2 7 6" xfId="26320" xr:uid="{091FF7E1-E7F3-4822-9CCA-628AEF8FBC52}"/>
    <cellStyle name="Normal 5 2 8" xfId="1299" xr:uid="{00000000-0005-0000-0000-000062190000}"/>
    <cellStyle name="Normal 5 2 8 2" xfId="3529" xr:uid="{00000000-0005-0000-0000-000063190000}"/>
    <cellStyle name="Normal 5 2 8 2 2" xfId="7751" xr:uid="{00000000-0005-0000-0000-000064190000}"/>
    <cellStyle name="Normal 5 2 8 2 2 2" xfId="16201" xr:uid="{47C58285-9B79-410B-8C2D-54DD23ADE56A}"/>
    <cellStyle name="Normal 5 2 8 2 2 3" xfId="24648" xr:uid="{D68C8EAA-C77C-494B-8D42-595CBF114813}"/>
    <cellStyle name="Normal 5 2 8 2 2 4" xfId="33095" xr:uid="{7931EC41-113C-49F1-858A-8F03084341A6}"/>
    <cellStyle name="Normal 5 2 8 2 3" xfId="11983" xr:uid="{C3E81321-C094-4855-A19A-43433A01AE48}"/>
    <cellStyle name="Normal 5 2 8 2 4" xfId="20431" xr:uid="{BEB7BC74-6F25-469C-8C68-054C1C2D108A}"/>
    <cellStyle name="Normal 5 2 8 2 5" xfId="28878" xr:uid="{D421FCDF-44E4-4A88-8D5D-9E2E5603EF56}"/>
    <cellStyle name="Normal 5 2 8 3" xfId="5606" xr:uid="{00000000-0005-0000-0000-000065190000}"/>
    <cellStyle name="Normal 5 2 8 3 2" xfId="14056" xr:uid="{AFEB7275-204F-4F71-A7EC-08EE9640251F}"/>
    <cellStyle name="Normal 5 2 8 3 3" xfId="22503" xr:uid="{939D422D-A87B-4765-BAE8-B6E0DBA4D58B}"/>
    <cellStyle name="Normal 5 2 8 3 4" xfId="30950" xr:uid="{4D8F261D-30A3-449B-9AD9-3AE071395D7B}"/>
    <cellStyle name="Normal 5 2 8 4" xfId="9838" xr:uid="{CA334327-68C6-4ACB-81A5-B1D4E09030B0}"/>
    <cellStyle name="Normal 5 2 8 5" xfId="18286" xr:uid="{8C4C9709-92F1-4B89-9548-B78278037D54}"/>
    <cellStyle name="Normal 5 2 8 6" xfId="26733" xr:uid="{F9D1829D-5CAC-4227-9FAD-F28700E70722}"/>
    <cellStyle name="Normal 5 2 9" xfId="1712" xr:uid="{00000000-0005-0000-0000-000066190000}"/>
    <cellStyle name="Normal 5 2 9 2" xfId="3942" xr:uid="{00000000-0005-0000-0000-000067190000}"/>
    <cellStyle name="Normal 5 2 9 2 2" xfId="8164" xr:uid="{00000000-0005-0000-0000-000068190000}"/>
    <cellStyle name="Normal 5 2 9 2 2 2" xfId="16614" xr:uid="{66952E38-BCFD-4AAA-AF3C-B2510E11608D}"/>
    <cellStyle name="Normal 5 2 9 2 2 3" xfId="25061" xr:uid="{E48CE9BC-5AC3-4934-ACBE-3DEFE985A1C9}"/>
    <cellStyle name="Normal 5 2 9 2 2 4" xfId="33508" xr:uid="{2A861C27-79CC-41BE-9AF6-0E9B5F480CCF}"/>
    <cellStyle name="Normal 5 2 9 2 3" xfId="12396" xr:uid="{3EC9A0CE-47A4-4FC1-AA03-781C2FEAC0EF}"/>
    <cellStyle name="Normal 5 2 9 2 4" xfId="20844" xr:uid="{638FB81B-A5C8-45E4-AEEF-AE63906DD7F7}"/>
    <cellStyle name="Normal 5 2 9 2 5" xfId="29291" xr:uid="{4C5553B1-AA62-4B96-8267-2E26941E312C}"/>
    <cellStyle name="Normal 5 2 9 3" xfId="6019" xr:uid="{00000000-0005-0000-0000-000069190000}"/>
    <cellStyle name="Normal 5 2 9 3 2" xfId="14469" xr:uid="{3565BF1D-06E7-4C88-BFAC-7584FEF8D2C6}"/>
    <cellStyle name="Normal 5 2 9 3 3" xfId="22916" xr:uid="{3161BC54-8FE1-45F8-A55A-29B2FDB471A4}"/>
    <cellStyle name="Normal 5 2 9 3 4" xfId="31363" xr:uid="{02276377-2CB2-4836-A109-99BF2C5D5AFF}"/>
    <cellStyle name="Normal 5 2 9 4" xfId="10251" xr:uid="{72D92D3C-8E1F-4BAB-AA67-F1168988EF70}"/>
    <cellStyle name="Normal 5 2 9 5" xfId="18699" xr:uid="{288C7FB4-2EE5-4057-AC03-39A7A0A9E379}"/>
    <cellStyle name="Normal 5 2 9 6" xfId="27146" xr:uid="{74CAF684-4CE5-4B63-B754-A749CE6E8F8B}"/>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6FEB0BF1-62B4-4CF8-AF3F-E7234EFF5826}"/>
    <cellStyle name="Normal 5 3 10 2 2 3" xfId="25506" xr:uid="{32F67B6B-3011-4ADE-B877-08724DD7D0EA}"/>
    <cellStyle name="Normal 5 3 10 2 2 4" xfId="33953" xr:uid="{0208AEEE-509F-457C-A6DE-D0582F515F3E}"/>
    <cellStyle name="Normal 5 3 10 2 3" xfId="12841" xr:uid="{F8F55179-2C22-457A-887D-298880F1D80D}"/>
    <cellStyle name="Normal 5 3 10 2 4" xfId="21289" xr:uid="{36EAFAFB-DAA2-4952-B0E8-95A792D42D9F}"/>
    <cellStyle name="Normal 5 3 10 2 5" xfId="29736" xr:uid="{9F57498A-4BAB-4653-8D3B-B6ED886CC6A2}"/>
    <cellStyle name="Normal 5 3 10 3" xfId="6464" xr:uid="{00000000-0005-0000-0000-00006E190000}"/>
    <cellStyle name="Normal 5 3 10 3 2" xfId="14914" xr:uid="{CE00C710-1E13-4665-96CD-D3820D91000C}"/>
    <cellStyle name="Normal 5 3 10 3 3" xfId="23361" xr:uid="{5324B2FC-E850-4CE9-9F12-75AA4AE62458}"/>
    <cellStyle name="Normal 5 3 10 3 4" xfId="31808" xr:uid="{36BFA7C6-A096-4A47-B7F0-5C28ABFCBD1C}"/>
    <cellStyle name="Normal 5 3 10 4" xfId="10696" xr:uid="{E5605CEA-F9C5-48E0-8669-84F935D7E0BA}"/>
    <cellStyle name="Normal 5 3 10 5" xfId="19144" xr:uid="{75F610C0-4FB3-455A-ACF6-D4452D582F40}"/>
    <cellStyle name="Normal 5 3 10 6" xfId="27591" xr:uid="{E800ACC9-B268-49C0-A08A-85313A93E6EB}"/>
    <cellStyle name="Normal 5 3 11" xfId="2594" xr:uid="{00000000-0005-0000-0000-00006F190000}"/>
    <cellStyle name="Normal 5 3 11 2" xfId="6877" xr:uid="{00000000-0005-0000-0000-000070190000}"/>
    <cellStyle name="Normal 5 3 11 2 2" xfId="15327" xr:uid="{5AB702CD-B15D-45B1-9A19-149D39359061}"/>
    <cellStyle name="Normal 5 3 11 2 3" xfId="23774" xr:uid="{E9027928-AE09-401E-AD50-1E6F382B5BB1}"/>
    <cellStyle name="Normal 5 3 11 2 4" xfId="32221" xr:uid="{5D9939C7-9CB8-4838-93E3-8882B9ED66AA}"/>
    <cellStyle name="Normal 5 3 11 3" xfId="11109" xr:uid="{27118F9B-3103-413D-A40C-02F9EE9FF4B3}"/>
    <cellStyle name="Normal 5 3 11 4" xfId="19557" xr:uid="{E51A705A-220C-4E5A-ABF8-99A9FDC4484D}"/>
    <cellStyle name="Normal 5 3 11 5" xfId="28004" xr:uid="{0A6719B2-35CF-4D5C-A91B-ADC8B6B2C8CF}"/>
    <cellStyle name="Normal 5 3 12" xfId="4812" xr:uid="{00000000-0005-0000-0000-000071190000}"/>
    <cellStyle name="Normal 5 3 12 2" xfId="13262" xr:uid="{7628209A-C8F4-4F6B-9CC4-616989755622}"/>
    <cellStyle name="Normal 5 3 12 3" xfId="21709" xr:uid="{9B84818E-DF61-44DF-AEA8-F712594627F4}"/>
    <cellStyle name="Normal 5 3 12 4" xfId="30156" xr:uid="{10EC14AF-B534-4695-987A-5E3F832B765E}"/>
    <cellStyle name="Normal 5 3 13" xfId="9044" xr:uid="{97355798-1C21-4CFE-87A8-71359B751ABA}"/>
    <cellStyle name="Normal 5 3 14" xfId="17492" xr:uid="{2D09B73C-1065-42FD-8CE5-2B42023D7933}"/>
    <cellStyle name="Normal 5 3 15" xfId="25939" xr:uid="{749EEFD2-D654-407C-94E6-74AEDFC7345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9F4BDEB9-C243-47A5-82EA-5E5CD4C1039A}"/>
    <cellStyle name="Normal 5 3 3 10 3" xfId="21710" xr:uid="{4BE17CAF-4DE1-4D90-9DC5-0DBB719C0735}"/>
    <cellStyle name="Normal 5 3 3 10 4" xfId="30157" xr:uid="{A06876A2-6772-4A1B-B16F-5DA389231417}"/>
    <cellStyle name="Normal 5 3 3 11" xfId="9045" xr:uid="{C846AEB2-9EF3-4747-8E08-7D27A1946295}"/>
    <cellStyle name="Normal 5 3 3 12" xfId="17493" xr:uid="{74D4C578-96E0-4A61-9836-118C1AAFB386}"/>
    <cellStyle name="Normal 5 3 3 13" xfId="25940" xr:uid="{C0DA6FBB-F9B3-44B2-8226-17406B56A403}"/>
    <cellStyle name="Normal 5 3 3 2" xfId="442" xr:uid="{00000000-0005-0000-0000-000076190000}"/>
    <cellStyle name="Normal 5 3 3 2 10" xfId="9046" xr:uid="{E9F2E7D4-02BB-4661-AA28-F0807C056074}"/>
    <cellStyle name="Normal 5 3 3 2 11" xfId="17494" xr:uid="{3AC81F8E-D97C-4923-9E72-F74EAF91769A}"/>
    <cellStyle name="Normal 5 3 3 2 12" xfId="25941" xr:uid="{B37E9658-7D10-42D6-9EF7-60C4927CBB21}"/>
    <cellStyle name="Normal 5 3 3 2 2" xfId="443" xr:uid="{00000000-0005-0000-0000-000077190000}"/>
    <cellStyle name="Normal 5 3 3 2 2 10" xfId="17495" xr:uid="{19C086BB-73CC-412A-B8D8-8FA0397C4653}"/>
    <cellStyle name="Normal 5 3 3 2 2 11" xfId="25942" xr:uid="{9EBAC993-FBAC-487D-9F53-D061ACED9E1C}"/>
    <cellStyle name="Normal 5 3 3 2 2 2" xfId="444" xr:uid="{00000000-0005-0000-0000-000078190000}"/>
    <cellStyle name="Normal 5 3 3 2 2 2 10" xfId="25943" xr:uid="{439F9377-623B-4C90-9864-45112A3A608B}"/>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E623E80F-DA1A-47F1-9325-F2F1FCC78877}"/>
    <cellStyle name="Normal 5 3 3 2 2 2 2 2 2 3" xfId="24271" xr:uid="{C6CB26C8-9920-422C-B671-FC2B6E48DDD6}"/>
    <cellStyle name="Normal 5 3 3 2 2 2 2 2 2 4" xfId="32718" xr:uid="{E5AFF1A7-EF2E-4AA7-A512-F116C4626824}"/>
    <cellStyle name="Normal 5 3 3 2 2 2 2 2 3" xfId="11606" xr:uid="{826AC703-0402-4C9F-B745-F641BF5E2A8E}"/>
    <cellStyle name="Normal 5 3 3 2 2 2 2 2 4" xfId="20054" xr:uid="{682EA036-74C8-4D5F-938D-0710432F9233}"/>
    <cellStyle name="Normal 5 3 3 2 2 2 2 2 5" xfId="28501" xr:uid="{C4545B22-F126-466E-AD90-64478D0E726F}"/>
    <cellStyle name="Normal 5 3 3 2 2 2 2 3" xfId="5229" xr:uid="{00000000-0005-0000-0000-00007C190000}"/>
    <cellStyle name="Normal 5 3 3 2 2 2 2 3 2" xfId="13679" xr:uid="{AE3B6A66-78DB-4887-9E38-2340F36ECB34}"/>
    <cellStyle name="Normal 5 3 3 2 2 2 2 3 3" xfId="22126" xr:uid="{FACBA496-DA87-4EE7-A455-A0D2E4A26B5D}"/>
    <cellStyle name="Normal 5 3 3 2 2 2 2 3 4" xfId="30573" xr:uid="{4E94FC0A-268D-44F8-851B-F6097DE769F9}"/>
    <cellStyle name="Normal 5 3 3 2 2 2 2 4" xfId="9461" xr:uid="{8723CD28-76B0-4CEA-8FF9-E9569450BDA9}"/>
    <cellStyle name="Normal 5 3 3 2 2 2 2 5" xfId="17909" xr:uid="{1FA786FC-AA0E-42A4-9322-EDA09A0FC72A}"/>
    <cellStyle name="Normal 5 3 3 2 2 2 2 6" xfId="26356" xr:uid="{86238DD9-2608-43B4-A5FF-6C8E355770BC}"/>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0D84E548-F4AD-4E2A-8A32-804F4D4D41A2}"/>
    <cellStyle name="Normal 5 3 3 2 2 2 3 2 2 3" xfId="24684" xr:uid="{698DA86E-978C-4D13-B9CE-4ED42978A1F1}"/>
    <cellStyle name="Normal 5 3 3 2 2 2 3 2 2 4" xfId="33131" xr:uid="{8B0811B0-8C4C-46E8-A6B5-BFE5D1AFA774}"/>
    <cellStyle name="Normal 5 3 3 2 2 2 3 2 3" xfId="12019" xr:uid="{299F9B0C-66E2-49B4-957B-8E021434107E}"/>
    <cellStyle name="Normal 5 3 3 2 2 2 3 2 4" xfId="20467" xr:uid="{A1DB62B8-D6E3-40F2-A279-9A82982F4E66}"/>
    <cellStyle name="Normal 5 3 3 2 2 2 3 2 5" xfId="28914" xr:uid="{3A3FC5F2-37AD-44DD-9548-0DE070990091}"/>
    <cellStyle name="Normal 5 3 3 2 2 2 3 3" xfId="5642" xr:uid="{00000000-0005-0000-0000-000080190000}"/>
    <cellStyle name="Normal 5 3 3 2 2 2 3 3 2" xfId="14092" xr:uid="{8F717A72-7712-46A0-A471-35977466CBA5}"/>
    <cellStyle name="Normal 5 3 3 2 2 2 3 3 3" xfId="22539" xr:uid="{F6556B00-55D7-472A-8CB1-145827409B77}"/>
    <cellStyle name="Normal 5 3 3 2 2 2 3 3 4" xfId="30986" xr:uid="{7418C93B-9399-46EA-95F2-EE23BFBB8616}"/>
    <cellStyle name="Normal 5 3 3 2 2 2 3 4" xfId="9874" xr:uid="{DD6DE3A3-B375-4F7B-8054-E1576EE3AB25}"/>
    <cellStyle name="Normal 5 3 3 2 2 2 3 5" xfId="18322" xr:uid="{F0239543-F1D6-401B-A1EC-FCB52B91A2D6}"/>
    <cellStyle name="Normal 5 3 3 2 2 2 3 6" xfId="26769" xr:uid="{5C8833B3-21F1-4B1A-BC80-D034AD7A93B7}"/>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819D4884-EE77-454C-9702-AB750B4EFE6A}"/>
    <cellStyle name="Normal 5 3 3 2 2 2 4 2 2 3" xfId="25097" xr:uid="{9242581C-7AD0-45CC-8BE1-574612E258D1}"/>
    <cellStyle name="Normal 5 3 3 2 2 2 4 2 2 4" xfId="33544" xr:uid="{90212854-EFB8-40F5-BB0A-F0D9C469E883}"/>
    <cellStyle name="Normal 5 3 3 2 2 2 4 2 3" xfId="12432" xr:uid="{DA613FBA-4D08-4BD4-96AA-F5153F04EB8D}"/>
    <cellStyle name="Normal 5 3 3 2 2 2 4 2 4" xfId="20880" xr:uid="{C253CCC7-F6D0-4B31-9555-A43B40B3EC89}"/>
    <cellStyle name="Normal 5 3 3 2 2 2 4 2 5" xfId="29327" xr:uid="{F7D6D246-4D41-4FD8-A084-62397EC017ED}"/>
    <cellStyle name="Normal 5 3 3 2 2 2 4 3" xfId="6055" xr:uid="{00000000-0005-0000-0000-000084190000}"/>
    <cellStyle name="Normal 5 3 3 2 2 2 4 3 2" xfId="14505" xr:uid="{8DBA2DDC-95F9-4009-914F-56023A9E9DC4}"/>
    <cellStyle name="Normal 5 3 3 2 2 2 4 3 3" xfId="22952" xr:uid="{D33CE0B2-BAEC-49E6-8441-78B02645D426}"/>
    <cellStyle name="Normal 5 3 3 2 2 2 4 3 4" xfId="31399" xr:uid="{A171E6E9-25D4-46DC-9A4E-4860C89CE09A}"/>
    <cellStyle name="Normal 5 3 3 2 2 2 4 4" xfId="10287" xr:uid="{2462B9AF-1C82-492C-A1C3-39F61060A6B1}"/>
    <cellStyle name="Normal 5 3 3 2 2 2 4 5" xfId="18735" xr:uid="{2FEA554D-D43A-4F17-8A5B-EFCE1DE3DC8D}"/>
    <cellStyle name="Normal 5 3 3 2 2 2 4 6" xfId="27182" xr:uid="{98526133-6DA8-471D-9644-EF7C2B70B57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4E5D779A-DE9B-4BD9-B994-31C49A253953}"/>
    <cellStyle name="Normal 5 3 3 2 2 2 5 2 2 3" xfId="25510" xr:uid="{C11EB8DD-3FB5-49B3-A822-E763FF38A9DF}"/>
    <cellStyle name="Normal 5 3 3 2 2 2 5 2 2 4" xfId="33957" xr:uid="{14585924-0335-435B-854A-B272350F814E}"/>
    <cellStyle name="Normal 5 3 3 2 2 2 5 2 3" xfId="12845" xr:uid="{DECD803E-6A66-47EE-A7E5-DF1FBED72904}"/>
    <cellStyle name="Normal 5 3 3 2 2 2 5 2 4" xfId="21293" xr:uid="{AAFBEC51-BA37-41B4-80C8-CEAF64A84CB7}"/>
    <cellStyle name="Normal 5 3 3 2 2 2 5 2 5" xfId="29740" xr:uid="{65E9B537-FB89-4F1E-9D89-C4F3EE4984CB}"/>
    <cellStyle name="Normal 5 3 3 2 2 2 5 3" xfId="6468" xr:uid="{00000000-0005-0000-0000-000088190000}"/>
    <cellStyle name="Normal 5 3 3 2 2 2 5 3 2" xfId="14918" xr:uid="{E9672203-F419-4DF0-91CA-3AC8C9B74EDB}"/>
    <cellStyle name="Normal 5 3 3 2 2 2 5 3 3" xfId="23365" xr:uid="{C6093F21-4468-42D9-A1C5-5113000F1540}"/>
    <cellStyle name="Normal 5 3 3 2 2 2 5 3 4" xfId="31812" xr:uid="{56162D36-15E4-4475-91D1-C5CFBFDA66DB}"/>
    <cellStyle name="Normal 5 3 3 2 2 2 5 4" xfId="10700" xr:uid="{B2DC8342-9252-408F-A023-1D51CB637771}"/>
    <cellStyle name="Normal 5 3 3 2 2 2 5 5" xfId="19148" xr:uid="{6AE62049-A757-4560-9AC4-5DAE38B62F4E}"/>
    <cellStyle name="Normal 5 3 3 2 2 2 5 6" xfId="27595" xr:uid="{A6261A48-0652-498F-A484-8402B01FCFC0}"/>
    <cellStyle name="Normal 5 3 3 2 2 2 6" xfId="2598" xr:uid="{00000000-0005-0000-0000-000089190000}"/>
    <cellStyle name="Normal 5 3 3 2 2 2 6 2" xfId="6881" xr:uid="{00000000-0005-0000-0000-00008A190000}"/>
    <cellStyle name="Normal 5 3 3 2 2 2 6 2 2" xfId="15331" xr:uid="{15E43489-CFB6-40C0-B9F0-AABD14F2F493}"/>
    <cellStyle name="Normal 5 3 3 2 2 2 6 2 3" xfId="23778" xr:uid="{646B64F5-E43E-40E6-8C60-FA779F2AD8A4}"/>
    <cellStyle name="Normal 5 3 3 2 2 2 6 2 4" xfId="32225" xr:uid="{24BEED27-A98B-4CFB-8C48-6FB03F862822}"/>
    <cellStyle name="Normal 5 3 3 2 2 2 6 3" xfId="11113" xr:uid="{307B4329-CA1F-418F-B549-2D88789FB853}"/>
    <cellStyle name="Normal 5 3 3 2 2 2 6 4" xfId="19561" xr:uid="{5F5AE3BF-6F4E-4155-99C0-8F5392E3DD8F}"/>
    <cellStyle name="Normal 5 3 3 2 2 2 6 5" xfId="28008" xr:uid="{64675F24-FD21-4801-AA42-CCB191460EA7}"/>
    <cellStyle name="Normal 5 3 3 2 2 2 7" xfId="4816" xr:uid="{00000000-0005-0000-0000-00008B190000}"/>
    <cellStyle name="Normal 5 3 3 2 2 2 7 2" xfId="13266" xr:uid="{02B7592C-126D-4900-8174-601C07D8BA2B}"/>
    <cellStyle name="Normal 5 3 3 2 2 2 7 3" xfId="21713" xr:uid="{DFAC8E81-0C0B-4608-BA8B-7603D7844BBF}"/>
    <cellStyle name="Normal 5 3 3 2 2 2 7 4" xfId="30160" xr:uid="{B8075A2E-9D62-4621-B5CF-4D192188E54D}"/>
    <cellStyle name="Normal 5 3 3 2 2 2 8" xfId="9048" xr:uid="{FBE8E1AD-09B4-4AF0-93F0-D0F535DE5C9C}"/>
    <cellStyle name="Normal 5 3 3 2 2 2 9" xfId="17496" xr:uid="{036848C1-22A5-4E16-8704-C4C45E1129E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9EA490B8-ADF3-4971-8A4A-8D12879DFA16}"/>
    <cellStyle name="Normal 5 3 3 2 2 3 2 2 3" xfId="24270" xr:uid="{688E36CD-A770-480D-8FD0-0900A3D3A460}"/>
    <cellStyle name="Normal 5 3 3 2 2 3 2 2 4" xfId="32717" xr:uid="{24F0C0A2-D94A-4E21-B0F9-FB3CCCFFF975}"/>
    <cellStyle name="Normal 5 3 3 2 2 3 2 3" xfId="11605" xr:uid="{0357E038-7C39-4B5C-AB91-6DB91DE955E5}"/>
    <cellStyle name="Normal 5 3 3 2 2 3 2 4" xfId="20053" xr:uid="{D5977975-B77A-4A1B-8C39-3E6E2AE5BA9D}"/>
    <cellStyle name="Normal 5 3 3 2 2 3 2 5" xfId="28500" xr:uid="{E258D160-5C8B-4AA7-86DA-7D6E64C43260}"/>
    <cellStyle name="Normal 5 3 3 2 2 3 3" xfId="5228" xr:uid="{00000000-0005-0000-0000-00008F190000}"/>
    <cellStyle name="Normal 5 3 3 2 2 3 3 2" xfId="13678" xr:uid="{7537DD34-C960-4699-AD59-91C29F8EBB96}"/>
    <cellStyle name="Normal 5 3 3 2 2 3 3 3" xfId="22125" xr:uid="{A756B8A9-97B5-4195-B531-214A08181D3B}"/>
    <cellStyle name="Normal 5 3 3 2 2 3 3 4" xfId="30572" xr:uid="{0E8EE210-B32A-42BB-BE63-4BBF518390AB}"/>
    <cellStyle name="Normal 5 3 3 2 2 3 4" xfId="9460" xr:uid="{32AEDD43-B4C5-4499-AE08-3AF4B60BB596}"/>
    <cellStyle name="Normal 5 3 3 2 2 3 5" xfId="17908" xr:uid="{BC280D73-8A69-48D9-95BC-E8E8D06BD510}"/>
    <cellStyle name="Normal 5 3 3 2 2 3 6" xfId="26355" xr:uid="{CB7103B4-F09B-48D9-9C38-7A491EFA815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CEDFA6CE-70DB-4174-8473-D49185CF42B6}"/>
    <cellStyle name="Normal 5 3 3 2 2 4 2 2 3" xfId="24683" xr:uid="{41969FA7-234C-4C06-9438-E57A41C4C399}"/>
    <cellStyle name="Normal 5 3 3 2 2 4 2 2 4" xfId="33130" xr:uid="{7D66D5D6-DCF3-47E7-B41E-D116DFDF6370}"/>
    <cellStyle name="Normal 5 3 3 2 2 4 2 3" xfId="12018" xr:uid="{A1F11F8D-80D7-4943-B9D0-EFF10F683907}"/>
    <cellStyle name="Normal 5 3 3 2 2 4 2 4" xfId="20466" xr:uid="{9CB556CC-C48B-4D16-83C6-DC7DDA8F9732}"/>
    <cellStyle name="Normal 5 3 3 2 2 4 2 5" xfId="28913" xr:uid="{CAAB1B14-CF14-4857-9CEE-8348C1068B5B}"/>
    <cellStyle name="Normal 5 3 3 2 2 4 3" xfId="5641" xr:uid="{00000000-0005-0000-0000-000093190000}"/>
    <cellStyle name="Normal 5 3 3 2 2 4 3 2" xfId="14091" xr:uid="{7873AEF4-437F-49F0-B1B9-277D945072C3}"/>
    <cellStyle name="Normal 5 3 3 2 2 4 3 3" xfId="22538" xr:uid="{3922F706-33CA-4364-9E5C-6EA5DBD85913}"/>
    <cellStyle name="Normal 5 3 3 2 2 4 3 4" xfId="30985" xr:uid="{F358ADB6-5443-4DC6-80E6-68AB86F256A7}"/>
    <cellStyle name="Normal 5 3 3 2 2 4 4" xfId="9873" xr:uid="{6BA6DC95-CBC8-4F0C-AFF3-AEF57E4392B0}"/>
    <cellStyle name="Normal 5 3 3 2 2 4 5" xfId="18321" xr:uid="{715504B8-DD77-457D-9E49-881B91C2C2AE}"/>
    <cellStyle name="Normal 5 3 3 2 2 4 6" xfId="26768" xr:uid="{EF0AB7AB-2554-477F-A372-8295B959C4E6}"/>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4141AA7A-0C9D-4716-9322-20746D50515E}"/>
    <cellStyle name="Normal 5 3 3 2 2 5 2 2 3" xfId="25096" xr:uid="{E257DA04-265E-440A-8592-D0FA12B88699}"/>
    <cellStyle name="Normal 5 3 3 2 2 5 2 2 4" xfId="33543" xr:uid="{311546C6-1899-44E9-9D95-B0068313F6A6}"/>
    <cellStyle name="Normal 5 3 3 2 2 5 2 3" xfId="12431" xr:uid="{89C3BE1E-46C3-4929-B658-19DC8AC74218}"/>
    <cellStyle name="Normal 5 3 3 2 2 5 2 4" xfId="20879" xr:uid="{DF72F521-9C49-4A45-BA2F-7DA0E89FA52D}"/>
    <cellStyle name="Normal 5 3 3 2 2 5 2 5" xfId="29326" xr:uid="{AF20111B-270A-4314-A285-3267EA5406DF}"/>
    <cellStyle name="Normal 5 3 3 2 2 5 3" xfId="6054" xr:uid="{00000000-0005-0000-0000-000097190000}"/>
    <cellStyle name="Normal 5 3 3 2 2 5 3 2" xfId="14504" xr:uid="{681357EA-8AEE-4C93-BD51-E8E34AE7401C}"/>
    <cellStyle name="Normal 5 3 3 2 2 5 3 3" xfId="22951" xr:uid="{9AA295B8-D67C-4066-BE01-8298C8128A5A}"/>
    <cellStyle name="Normal 5 3 3 2 2 5 3 4" xfId="31398" xr:uid="{8B71BAF1-C39C-475C-A66A-75EEA6BE2BB0}"/>
    <cellStyle name="Normal 5 3 3 2 2 5 4" xfId="10286" xr:uid="{E676E3C8-F3CE-41D0-8E73-DBFA73D073DE}"/>
    <cellStyle name="Normal 5 3 3 2 2 5 5" xfId="18734" xr:uid="{12BB7B12-BE5C-4F0E-857B-D7D9B26E43F8}"/>
    <cellStyle name="Normal 5 3 3 2 2 5 6" xfId="27181" xr:uid="{02B8FF37-A81D-405C-B014-FEF4F466903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DC0409EE-7100-45E4-83C4-FD21B1BF4BE4}"/>
    <cellStyle name="Normal 5 3 3 2 2 6 2 2 3" xfId="25509" xr:uid="{D0932543-D537-49BF-B678-B4D530A780C9}"/>
    <cellStyle name="Normal 5 3 3 2 2 6 2 2 4" xfId="33956" xr:uid="{87B681C2-C855-4A36-A5C4-7B322B3886FA}"/>
    <cellStyle name="Normal 5 3 3 2 2 6 2 3" xfId="12844" xr:uid="{353BDCB2-C8FA-4F8A-BDBA-7C303F70C54F}"/>
    <cellStyle name="Normal 5 3 3 2 2 6 2 4" xfId="21292" xr:uid="{E4D6E8B4-15AB-4531-8FBE-398DCAEC61FE}"/>
    <cellStyle name="Normal 5 3 3 2 2 6 2 5" xfId="29739" xr:uid="{CD1CB60B-6D15-4194-9FE1-F4BFD04772DA}"/>
    <cellStyle name="Normal 5 3 3 2 2 6 3" xfId="6467" xr:uid="{00000000-0005-0000-0000-00009B190000}"/>
    <cellStyle name="Normal 5 3 3 2 2 6 3 2" xfId="14917" xr:uid="{2A65D2E1-8E83-4827-927C-47DEFCED6A6C}"/>
    <cellStyle name="Normal 5 3 3 2 2 6 3 3" xfId="23364" xr:uid="{FE6136C8-4FAC-48EF-BF40-50F3F2242415}"/>
    <cellStyle name="Normal 5 3 3 2 2 6 3 4" xfId="31811" xr:uid="{3DEB02E3-FF17-4B4E-B027-80B7DD567D22}"/>
    <cellStyle name="Normal 5 3 3 2 2 6 4" xfId="10699" xr:uid="{0F1F857F-9620-4EBB-BCF8-D8249ED133CC}"/>
    <cellStyle name="Normal 5 3 3 2 2 6 5" xfId="19147" xr:uid="{2BEE98C0-0BDA-437C-A8EF-C13B8C07283B}"/>
    <cellStyle name="Normal 5 3 3 2 2 6 6" xfId="27594" xr:uid="{8ECD286E-70DB-43FD-8DFD-8A51FA654539}"/>
    <cellStyle name="Normal 5 3 3 2 2 7" xfId="2597" xr:uid="{00000000-0005-0000-0000-00009C190000}"/>
    <cellStyle name="Normal 5 3 3 2 2 7 2" xfId="6880" xr:uid="{00000000-0005-0000-0000-00009D190000}"/>
    <cellStyle name="Normal 5 3 3 2 2 7 2 2" xfId="15330" xr:uid="{C0595920-7E83-43A6-9557-F4F113D9F63D}"/>
    <cellStyle name="Normal 5 3 3 2 2 7 2 3" xfId="23777" xr:uid="{0817167E-D89A-4521-95C3-75C68544D2CA}"/>
    <cellStyle name="Normal 5 3 3 2 2 7 2 4" xfId="32224" xr:uid="{24A39846-FAB0-4676-AF50-5656FC6382AC}"/>
    <cellStyle name="Normal 5 3 3 2 2 7 3" xfId="11112" xr:uid="{BBB8D76A-DFAB-44CD-98F0-F2791103F761}"/>
    <cellStyle name="Normal 5 3 3 2 2 7 4" xfId="19560" xr:uid="{249DCF58-85D7-409B-8B30-CF516ADDE189}"/>
    <cellStyle name="Normal 5 3 3 2 2 7 5" xfId="28007" xr:uid="{7C7CD4EC-FDD3-4B0D-BE12-B464E38F3F65}"/>
    <cellStyle name="Normal 5 3 3 2 2 8" xfId="4815" xr:uid="{00000000-0005-0000-0000-00009E190000}"/>
    <cellStyle name="Normal 5 3 3 2 2 8 2" xfId="13265" xr:uid="{08EC5E2C-EC76-416E-98D3-9189DD382794}"/>
    <cellStyle name="Normal 5 3 3 2 2 8 3" xfId="21712" xr:uid="{20AD26D9-6338-4740-B9A9-238B3F9ECAF6}"/>
    <cellStyle name="Normal 5 3 3 2 2 8 4" xfId="30159" xr:uid="{2B99D73B-A238-476F-A2D5-9E3EAC0F9BFB}"/>
    <cellStyle name="Normal 5 3 3 2 2 9" xfId="9047" xr:uid="{1DC18ABC-61A2-4EE9-B3E2-572294A0D9D7}"/>
    <cellStyle name="Normal 5 3 3 2 3" xfId="445" xr:uid="{00000000-0005-0000-0000-00009F190000}"/>
    <cellStyle name="Normal 5 3 3 2 3 10" xfId="25944" xr:uid="{7D81D1F4-E53B-4697-915A-897418FBA0F1}"/>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27036928-A3F6-422D-939C-1DDBA0FA23F5}"/>
    <cellStyle name="Normal 5 3 3 2 3 2 2 2 3" xfId="24272" xr:uid="{0576FE21-E031-4EB5-949F-E4736645A98F}"/>
    <cellStyle name="Normal 5 3 3 2 3 2 2 2 4" xfId="32719" xr:uid="{941ECBEA-A99F-4AD3-A6DF-52167E790B36}"/>
    <cellStyle name="Normal 5 3 3 2 3 2 2 3" xfId="11607" xr:uid="{6E01F345-DAB9-4A57-8A73-FB6C318E6846}"/>
    <cellStyle name="Normal 5 3 3 2 3 2 2 4" xfId="20055" xr:uid="{3A2BD261-AF57-4F19-BEF0-6C4F2662130D}"/>
    <cellStyle name="Normal 5 3 3 2 3 2 2 5" xfId="28502" xr:uid="{924E9023-E056-4DD1-A38F-9ADFC1902968}"/>
    <cellStyle name="Normal 5 3 3 2 3 2 3" xfId="5230" xr:uid="{00000000-0005-0000-0000-0000A3190000}"/>
    <cellStyle name="Normal 5 3 3 2 3 2 3 2" xfId="13680" xr:uid="{3B4970E4-8E91-44C2-A9FA-9F8BEE5D9C95}"/>
    <cellStyle name="Normal 5 3 3 2 3 2 3 3" xfId="22127" xr:uid="{E5D68434-EEF1-487D-85F3-EB5A02F2C63D}"/>
    <cellStyle name="Normal 5 3 3 2 3 2 3 4" xfId="30574" xr:uid="{EB9733DC-4115-4B44-ACBD-BF3A801FD8B6}"/>
    <cellStyle name="Normal 5 3 3 2 3 2 4" xfId="9462" xr:uid="{5C02CBA3-CB10-41DE-8FA6-A367C06B8C6C}"/>
    <cellStyle name="Normal 5 3 3 2 3 2 5" xfId="17910" xr:uid="{8DEE5B78-80F7-48E5-AADF-FEF45F8FF7A4}"/>
    <cellStyle name="Normal 5 3 3 2 3 2 6" xfId="26357" xr:uid="{3F2340B6-60F3-4A44-BE2A-9DC0471284E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FCEC8302-2832-4F99-875A-2E19A70EF4B5}"/>
    <cellStyle name="Normal 5 3 3 2 3 3 2 2 3" xfId="24685" xr:uid="{59A34077-0A06-4851-BE7D-B0A76F1638E4}"/>
    <cellStyle name="Normal 5 3 3 2 3 3 2 2 4" xfId="33132" xr:uid="{522610EE-FCF1-428C-970E-06695D74589D}"/>
    <cellStyle name="Normal 5 3 3 2 3 3 2 3" xfId="12020" xr:uid="{CF251A02-9692-46F5-BA92-86379CF441D1}"/>
    <cellStyle name="Normal 5 3 3 2 3 3 2 4" xfId="20468" xr:uid="{3C8CB7FE-EDA9-4EA5-827E-45DBD5E7773D}"/>
    <cellStyle name="Normal 5 3 3 2 3 3 2 5" xfId="28915" xr:uid="{46D7C5C7-C1A2-4AB6-86D0-4ABC8BA886C0}"/>
    <cellStyle name="Normal 5 3 3 2 3 3 3" xfId="5643" xr:uid="{00000000-0005-0000-0000-0000A7190000}"/>
    <cellStyle name="Normal 5 3 3 2 3 3 3 2" xfId="14093" xr:uid="{2509C5AB-B0A3-4E52-9581-DD2EACED24FB}"/>
    <cellStyle name="Normal 5 3 3 2 3 3 3 3" xfId="22540" xr:uid="{1F4F637D-6056-4BED-A877-31BA6DE0F1DD}"/>
    <cellStyle name="Normal 5 3 3 2 3 3 3 4" xfId="30987" xr:uid="{0C91B1C9-7573-4420-821C-853A17239109}"/>
    <cellStyle name="Normal 5 3 3 2 3 3 4" xfId="9875" xr:uid="{CD1D92B7-43ED-44FD-812D-95709302004F}"/>
    <cellStyle name="Normal 5 3 3 2 3 3 5" xfId="18323" xr:uid="{69893DA3-6864-4E14-BFE7-11B76E0B682F}"/>
    <cellStyle name="Normal 5 3 3 2 3 3 6" xfId="26770" xr:uid="{CCFCD33F-0DD0-4496-947B-C5D979C3576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5E39D1DF-FF53-4EEC-8663-1B2A56F691E9}"/>
    <cellStyle name="Normal 5 3 3 2 3 4 2 2 3" xfId="25098" xr:uid="{E6E91A93-9B57-46F2-BDE4-7AE062BADC91}"/>
    <cellStyle name="Normal 5 3 3 2 3 4 2 2 4" xfId="33545" xr:uid="{15EF0405-E551-47E3-8578-495129E2BEEA}"/>
    <cellStyle name="Normal 5 3 3 2 3 4 2 3" xfId="12433" xr:uid="{769F9D29-CEBC-4E21-888F-F228B092BA8F}"/>
    <cellStyle name="Normal 5 3 3 2 3 4 2 4" xfId="20881" xr:uid="{ABE24071-6730-4CB8-8390-5296AE6EC778}"/>
    <cellStyle name="Normal 5 3 3 2 3 4 2 5" xfId="29328" xr:uid="{771133F6-4603-4705-B9FB-3BF8D27C46F6}"/>
    <cellStyle name="Normal 5 3 3 2 3 4 3" xfId="6056" xr:uid="{00000000-0005-0000-0000-0000AB190000}"/>
    <cellStyle name="Normal 5 3 3 2 3 4 3 2" xfId="14506" xr:uid="{8C25FAB1-C81A-4AA9-B4B9-82CC1CABFF0A}"/>
    <cellStyle name="Normal 5 3 3 2 3 4 3 3" xfId="22953" xr:uid="{61E64E72-BF64-40B0-91B4-C54AD7A38DDE}"/>
    <cellStyle name="Normal 5 3 3 2 3 4 3 4" xfId="31400" xr:uid="{8C81532C-E80F-41BB-9DE2-661DC674B480}"/>
    <cellStyle name="Normal 5 3 3 2 3 4 4" xfId="10288" xr:uid="{100DDA15-8CCA-4739-8131-3B6A08C13F6E}"/>
    <cellStyle name="Normal 5 3 3 2 3 4 5" xfId="18736" xr:uid="{F3874049-D8E6-49E5-81B3-64CDA09BE54C}"/>
    <cellStyle name="Normal 5 3 3 2 3 4 6" xfId="27183" xr:uid="{0A2170CA-D292-473D-9763-A4F69745876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344281DE-0DD2-4BF1-8792-910345C59DD4}"/>
    <cellStyle name="Normal 5 3 3 2 3 5 2 2 3" xfId="25511" xr:uid="{A4EDB136-260F-46C6-94CD-42F04415EE6E}"/>
    <cellStyle name="Normal 5 3 3 2 3 5 2 2 4" xfId="33958" xr:uid="{5ED503E3-9964-4978-BAE1-6B58AF8AB579}"/>
    <cellStyle name="Normal 5 3 3 2 3 5 2 3" xfId="12846" xr:uid="{8C3D0A5A-D9D4-42B5-8E6B-02AE85DDEFCD}"/>
    <cellStyle name="Normal 5 3 3 2 3 5 2 4" xfId="21294" xr:uid="{D60A5C00-69DE-4224-84D0-9D3B20A305A9}"/>
    <cellStyle name="Normal 5 3 3 2 3 5 2 5" xfId="29741" xr:uid="{D7688778-4A66-4B93-8CB5-F55B15468630}"/>
    <cellStyle name="Normal 5 3 3 2 3 5 3" xfId="6469" xr:uid="{00000000-0005-0000-0000-0000AF190000}"/>
    <cellStyle name="Normal 5 3 3 2 3 5 3 2" xfId="14919" xr:uid="{E2E8F3F1-423D-42C3-AAF1-99A980E6A4C8}"/>
    <cellStyle name="Normal 5 3 3 2 3 5 3 3" xfId="23366" xr:uid="{CFD9DD6B-6D2C-43F7-B61A-E1D88392C3F1}"/>
    <cellStyle name="Normal 5 3 3 2 3 5 3 4" xfId="31813" xr:uid="{BE8FD724-296D-4058-8949-151E54338EC0}"/>
    <cellStyle name="Normal 5 3 3 2 3 5 4" xfId="10701" xr:uid="{9E36C9A9-563D-46C0-813F-71C2791DC1D7}"/>
    <cellStyle name="Normal 5 3 3 2 3 5 5" xfId="19149" xr:uid="{20D68139-AE48-42D5-A961-1D585486D2C9}"/>
    <cellStyle name="Normal 5 3 3 2 3 5 6" xfId="27596" xr:uid="{44BCD5CD-1D6E-42C0-981A-8766E52E0690}"/>
    <cellStyle name="Normal 5 3 3 2 3 6" xfId="2599" xr:uid="{00000000-0005-0000-0000-0000B0190000}"/>
    <cellStyle name="Normal 5 3 3 2 3 6 2" xfId="6882" xr:uid="{00000000-0005-0000-0000-0000B1190000}"/>
    <cellStyle name="Normal 5 3 3 2 3 6 2 2" xfId="15332" xr:uid="{1B772FF4-D0F3-4E90-A9F6-9D222F48D44B}"/>
    <cellStyle name="Normal 5 3 3 2 3 6 2 3" xfId="23779" xr:uid="{60586E03-EC66-475E-8EFD-F7FC5D66CB86}"/>
    <cellStyle name="Normal 5 3 3 2 3 6 2 4" xfId="32226" xr:uid="{BBD87B2C-7B04-4B78-8AB5-57E9FAAF56E2}"/>
    <cellStyle name="Normal 5 3 3 2 3 6 3" xfId="11114" xr:uid="{20E9AF6F-3285-44D2-90B9-FB1DFE6E41FA}"/>
    <cellStyle name="Normal 5 3 3 2 3 6 4" xfId="19562" xr:uid="{8F04FBCF-C81B-4E0C-851F-A4CCD3FE0FA4}"/>
    <cellStyle name="Normal 5 3 3 2 3 6 5" xfId="28009" xr:uid="{F35098EC-B607-46B7-A6BB-6B314B73DE22}"/>
    <cellStyle name="Normal 5 3 3 2 3 7" xfId="4817" xr:uid="{00000000-0005-0000-0000-0000B2190000}"/>
    <cellStyle name="Normal 5 3 3 2 3 7 2" xfId="13267" xr:uid="{83727F1A-A310-4022-9E74-306AD344FDE3}"/>
    <cellStyle name="Normal 5 3 3 2 3 7 3" xfId="21714" xr:uid="{57CA19C3-C9CA-4A4A-90AF-38D8BE4EAEC8}"/>
    <cellStyle name="Normal 5 3 3 2 3 7 4" xfId="30161" xr:uid="{F218B3E2-F573-4929-AE40-F0066D48288D}"/>
    <cellStyle name="Normal 5 3 3 2 3 8" xfId="9049" xr:uid="{2FBF8C81-28CD-4E18-8AC4-11A1D7EA6FD1}"/>
    <cellStyle name="Normal 5 3 3 2 3 9" xfId="17497" xr:uid="{55D9AC2C-D9C4-480A-84C8-2B6FD1756E5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2C483808-29B8-449B-80C1-C617F36811E4}"/>
    <cellStyle name="Normal 5 3 3 2 4 2 2 3" xfId="24269" xr:uid="{E46C242B-4B0A-412B-B739-820C09BF8C2F}"/>
    <cellStyle name="Normal 5 3 3 2 4 2 2 4" xfId="32716" xr:uid="{A48BD047-2F01-488C-8C31-2377D29DCEA5}"/>
    <cellStyle name="Normal 5 3 3 2 4 2 3" xfId="11604" xr:uid="{7FF2BD77-31F2-4A81-AB4A-41A263C781D1}"/>
    <cellStyle name="Normal 5 3 3 2 4 2 4" xfId="20052" xr:uid="{10BFEC37-878D-4C0A-9A10-D17A3A144CF0}"/>
    <cellStyle name="Normal 5 3 3 2 4 2 5" xfId="28499" xr:uid="{52B0F901-72CC-421C-BFC3-8D9EF22F01FD}"/>
    <cellStyle name="Normal 5 3 3 2 4 3" xfId="5227" xr:uid="{00000000-0005-0000-0000-0000B6190000}"/>
    <cellStyle name="Normal 5 3 3 2 4 3 2" xfId="13677" xr:uid="{50B14426-BE35-465A-BBDB-4E661CDC1239}"/>
    <cellStyle name="Normal 5 3 3 2 4 3 3" xfId="22124" xr:uid="{5740EA63-9626-4D38-8EB2-516131114806}"/>
    <cellStyle name="Normal 5 3 3 2 4 3 4" xfId="30571" xr:uid="{6F5CDD30-BE5E-4206-A014-4B4A11BF4192}"/>
    <cellStyle name="Normal 5 3 3 2 4 4" xfId="9459" xr:uid="{7A7B9E17-1741-42E7-8CE1-107DD185A35A}"/>
    <cellStyle name="Normal 5 3 3 2 4 5" xfId="17907" xr:uid="{EEFE0C2F-B23D-48A4-89E6-00263D28E2DF}"/>
    <cellStyle name="Normal 5 3 3 2 4 6" xfId="26354" xr:uid="{1547EFA6-2747-48E8-B498-9C86BF8673E3}"/>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6F1B27FB-1CA0-46F4-AA20-BF476E0BCC49}"/>
    <cellStyle name="Normal 5 3 3 2 5 2 2 3" xfId="24682" xr:uid="{CDB82202-5656-4D47-9D17-19957F81114F}"/>
    <cellStyle name="Normal 5 3 3 2 5 2 2 4" xfId="33129" xr:uid="{A99DB431-84B7-486B-9A92-46D42272A81A}"/>
    <cellStyle name="Normal 5 3 3 2 5 2 3" xfId="12017" xr:uid="{31FBEF4D-3F1E-4121-AE04-A9D7AB051CB8}"/>
    <cellStyle name="Normal 5 3 3 2 5 2 4" xfId="20465" xr:uid="{353323A4-21C6-4A89-9771-48036A7250D1}"/>
    <cellStyle name="Normal 5 3 3 2 5 2 5" xfId="28912" xr:uid="{20957F29-0FEE-4C7E-97BD-FD4869D89156}"/>
    <cellStyle name="Normal 5 3 3 2 5 3" xfId="5640" xr:uid="{00000000-0005-0000-0000-0000BA190000}"/>
    <cellStyle name="Normal 5 3 3 2 5 3 2" xfId="14090" xr:uid="{25C511DB-2D87-4E9F-BF05-84EF3AB3C669}"/>
    <cellStyle name="Normal 5 3 3 2 5 3 3" xfId="22537" xr:uid="{83047466-303D-4D83-83A2-C773FF1AC0F1}"/>
    <cellStyle name="Normal 5 3 3 2 5 3 4" xfId="30984" xr:uid="{CD6950E5-E5CA-47F4-AD1C-685A26854B14}"/>
    <cellStyle name="Normal 5 3 3 2 5 4" xfId="9872" xr:uid="{85C35B54-207D-40A5-A9EC-897A8A615A45}"/>
    <cellStyle name="Normal 5 3 3 2 5 5" xfId="18320" xr:uid="{9BF13A80-CB89-4090-9182-0B1329A6E4D4}"/>
    <cellStyle name="Normal 5 3 3 2 5 6" xfId="26767" xr:uid="{17D3D3BF-C993-47BE-BE35-1D299ED7A45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18A3FAFD-3408-4333-BBC9-35E802594689}"/>
    <cellStyle name="Normal 5 3 3 2 6 2 2 3" xfId="25095" xr:uid="{CCE5D3CA-5A20-4C3D-8A0B-FBFA22041A08}"/>
    <cellStyle name="Normal 5 3 3 2 6 2 2 4" xfId="33542" xr:uid="{2DB3923C-DC5A-4D30-A325-DE513E960A80}"/>
    <cellStyle name="Normal 5 3 3 2 6 2 3" xfId="12430" xr:uid="{9342AA86-C7EC-498C-BAD1-AB52BA21C947}"/>
    <cellStyle name="Normal 5 3 3 2 6 2 4" xfId="20878" xr:uid="{F0D511C9-A17F-49BA-9CA2-615F3541C1A6}"/>
    <cellStyle name="Normal 5 3 3 2 6 2 5" xfId="29325" xr:uid="{918204FC-9749-4D64-8963-1404BE6CD9C6}"/>
    <cellStyle name="Normal 5 3 3 2 6 3" xfId="6053" xr:uid="{00000000-0005-0000-0000-0000BE190000}"/>
    <cellStyle name="Normal 5 3 3 2 6 3 2" xfId="14503" xr:uid="{888DFC13-91BA-4D55-BA4C-2F32FB553D01}"/>
    <cellStyle name="Normal 5 3 3 2 6 3 3" xfId="22950" xr:uid="{4730C347-F240-434A-B32F-B1B69F64433D}"/>
    <cellStyle name="Normal 5 3 3 2 6 3 4" xfId="31397" xr:uid="{13FB094E-6250-42BE-8F05-4F65995E2F8E}"/>
    <cellStyle name="Normal 5 3 3 2 6 4" xfId="10285" xr:uid="{FF5D3DF5-8469-4F69-B3A7-EF7F61F6E5E0}"/>
    <cellStyle name="Normal 5 3 3 2 6 5" xfId="18733" xr:uid="{5346B2B0-A0F3-4B3A-B472-4843FF8CB0B5}"/>
    <cellStyle name="Normal 5 3 3 2 6 6" xfId="27180" xr:uid="{8031F39A-13F7-436D-BBB7-13F4433FBD7A}"/>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43452474-6E9B-4D9D-A1D7-0AA21298924E}"/>
    <cellStyle name="Normal 5 3 3 2 7 2 2 3" xfId="25508" xr:uid="{D6836B12-D1A4-4E6E-8777-2C5C95E6267F}"/>
    <cellStyle name="Normal 5 3 3 2 7 2 2 4" xfId="33955" xr:uid="{B2F69AEB-D63A-47E2-A214-0DF3ADEB0CD6}"/>
    <cellStyle name="Normal 5 3 3 2 7 2 3" xfId="12843" xr:uid="{5FCC7AE8-B7F3-45B6-9965-E356F4E4F09D}"/>
    <cellStyle name="Normal 5 3 3 2 7 2 4" xfId="21291" xr:uid="{1DBEB3D3-77A8-4B26-94C9-54C64B0B0C05}"/>
    <cellStyle name="Normal 5 3 3 2 7 2 5" xfId="29738" xr:uid="{E2802668-78FF-4E7B-8CCB-B087502299B5}"/>
    <cellStyle name="Normal 5 3 3 2 7 3" xfId="6466" xr:uid="{00000000-0005-0000-0000-0000C2190000}"/>
    <cellStyle name="Normal 5 3 3 2 7 3 2" xfId="14916" xr:uid="{ADC7F4C3-E9AC-42F1-AFD6-A0BC3A093DB3}"/>
    <cellStyle name="Normal 5 3 3 2 7 3 3" xfId="23363" xr:uid="{5DD7900E-21E5-48B2-826E-75D6C958C300}"/>
    <cellStyle name="Normal 5 3 3 2 7 3 4" xfId="31810" xr:uid="{8B2DF17F-61D5-4F04-8DCE-E00F51F1E67B}"/>
    <cellStyle name="Normal 5 3 3 2 7 4" xfId="10698" xr:uid="{2B288796-5A24-4FB4-914C-A5EA8690911A}"/>
    <cellStyle name="Normal 5 3 3 2 7 5" xfId="19146" xr:uid="{B32D73C8-616A-48F8-A069-E907CCAA6CED}"/>
    <cellStyle name="Normal 5 3 3 2 7 6" xfId="27593" xr:uid="{9FE1E2E2-D404-461F-B545-4F26492F0034}"/>
    <cellStyle name="Normal 5 3 3 2 8" xfId="2596" xr:uid="{00000000-0005-0000-0000-0000C3190000}"/>
    <cellStyle name="Normal 5 3 3 2 8 2" xfId="6879" xr:uid="{00000000-0005-0000-0000-0000C4190000}"/>
    <cellStyle name="Normal 5 3 3 2 8 2 2" xfId="15329" xr:uid="{5B35328E-F9D7-4505-A20D-A4488F24080E}"/>
    <cellStyle name="Normal 5 3 3 2 8 2 3" xfId="23776" xr:uid="{4730824F-DB98-48A2-A7BC-AADC3D162AE4}"/>
    <cellStyle name="Normal 5 3 3 2 8 2 4" xfId="32223" xr:uid="{5ABB09A8-84DA-46FF-BB75-C9C9D1AEF4EE}"/>
    <cellStyle name="Normal 5 3 3 2 8 3" xfId="11111" xr:uid="{ACD1EDC4-8333-4AD3-A64C-BB7EE2169C48}"/>
    <cellStyle name="Normal 5 3 3 2 8 4" xfId="19559" xr:uid="{4716C47B-8E17-4FF0-ABB0-F20D7A37B9DC}"/>
    <cellStyle name="Normal 5 3 3 2 8 5" xfId="28006" xr:uid="{3301A327-AECE-4D4A-83EA-959BD4DB8128}"/>
    <cellStyle name="Normal 5 3 3 2 9" xfId="4814" xr:uid="{00000000-0005-0000-0000-0000C5190000}"/>
    <cellStyle name="Normal 5 3 3 2 9 2" xfId="13264" xr:uid="{C02A8F3B-162C-4364-BF05-8D3B45B86347}"/>
    <cellStyle name="Normal 5 3 3 2 9 3" xfId="21711" xr:uid="{C22E2C37-A455-4BCD-8393-460911154E2C}"/>
    <cellStyle name="Normal 5 3 3 2 9 4" xfId="30158" xr:uid="{2177C2AB-D78A-4A69-B27B-61F8E866E674}"/>
    <cellStyle name="Normal 5 3 3 3" xfId="446" xr:uid="{00000000-0005-0000-0000-0000C6190000}"/>
    <cellStyle name="Normal 5 3 3 3 10" xfId="17498" xr:uid="{5CAE96EB-A2D0-460B-B9C1-63CB63AEC783}"/>
    <cellStyle name="Normal 5 3 3 3 11" xfId="25945" xr:uid="{89C53C7D-F1F3-4DB5-91D0-6088D337327D}"/>
    <cellStyle name="Normal 5 3 3 3 2" xfId="447" xr:uid="{00000000-0005-0000-0000-0000C7190000}"/>
    <cellStyle name="Normal 5 3 3 3 2 10" xfId="25946" xr:uid="{8EA118BD-A734-434D-BBC7-84B0D38F6175}"/>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1CD605D4-682B-444A-92EF-16610A641676}"/>
    <cellStyle name="Normal 5 3 3 3 2 2 2 2 3" xfId="24274" xr:uid="{514820B0-B217-4A13-B443-F29BE8E94A36}"/>
    <cellStyle name="Normal 5 3 3 3 2 2 2 2 4" xfId="32721" xr:uid="{166F9C85-7773-4600-8874-445DDF0A8B2E}"/>
    <cellStyle name="Normal 5 3 3 3 2 2 2 3" xfId="11609" xr:uid="{9B6293E8-CBA5-4AD7-9F75-9E996318DD9D}"/>
    <cellStyle name="Normal 5 3 3 3 2 2 2 4" xfId="20057" xr:uid="{BF5896C9-9101-40C5-9BC3-B0F2F70782C3}"/>
    <cellStyle name="Normal 5 3 3 3 2 2 2 5" xfId="28504" xr:uid="{B27431BA-DBA5-4D6F-B0F7-DEA9A3F0FE32}"/>
    <cellStyle name="Normal 5 3 3 3 2 2 3" xfId="5232" xr:uid="{00000000-0005-0000-0000-0000CB190000}"/>
    <cellStyle name="Normal 5 3 3 3 2 2 3 2" xfId="13682" xr:uid="{B5E5FD57-648A-4598-AFF1-A7A832903E6E}"/>
    <cellStyle name="Normal 5 3 3 3 2 2 3 3" xfId="22129" xr:uid="{DE0B207A-CDC9-4E35-9D9F-C3CA1F8F921B}"/>
    <cellStyle name="Normal 5 3 3 3 2 2 3 4" xfId="30576" xr:uid="{77E9CF39-3D8B-4637-A823-AA3E867CE468}"/>
    <cellStyle name="Normal 5 3 3 3 2 2 4" xfId="9464" xr:uid="{80F03726-8D7D-462F-9CDE-A278CD6B6520}"/>
    <cellStyle name="Normal 5 3 3 3 2 2 5" xfId="17912" xr:uid="{A7EFA04F-7A9D-4290-91E0-CAAF096BFF9F}"/>
    <cellStyle name="Normal 5 3 3 3 2 2 6" xfId="26359" xr:uid="{BAC68999-3129-4F9E-A30D-3E573306F81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F8C1C61D-436B-4711-A037-50873DCC70DF}"/>
    <cellStyle name="Normal 5 3 3 3 2 3 2 2 3" xfId="24687" xr:uid="{9510E6DB-F82E-4840-AA3A-7BC3F582691B}"/>
    <cellStyle name="Normal 5 3 3 3 2 3 2 2 4" xfId="33134" xr:uid="{9BFB1AF5-BB0F-4C2E-A156-5024023D301E}"/>
    <cellStyle name="Normal 5 3 3 3 2 3 2 3" xfId="12022" xr:uid="{F66E1E00-A9E9-4249-BA7B-AF734E4257BA}"/>
    <cellStyle name="Normal 5 3 3 3 2 3 2 4" xfId="20470" xr:uid="{6AECBFB7-401C-4FB8-9C45-6C11B89968E2}"/>
    <cellStyle name="Normal 5 3 3 3 2 3 2 5" xfId="28917" xr:uid="{16A7C9FC-C4B3-4E73-8B2D-21E4FB29510F}"/>
    <cellStyle name="Normal 5 3 3 3 2 3 3" xfId="5645" xr:uid="{00000000-0005-0000-0000-0000CF190000}"/>
    <cellStyle name="Normal 5 3 3 3 2 3 3 2" xfId="14095" xr:uid="{8EE0775A-8EB4-4764-9650-1AB1D42E90F6}"/>
    <cellStyle name="Normal 5 3 3 3 2 3 3 3" xfId="22542" xr:uid="{90E1C6DF-FC7A-4B8C-8799-3355D279888C}"/>
    <cellStyle name="Normal 5 3 3 3 2 3 3 4" xfId="30989" xr:uid="{3B7A229E-AC11-46B6-9015-B1F83AED1F7F}"/>
    <cellStyle name="Normal 5 3 3 3 2 3 4" xfId="9877" xr:uid="{67455D89-1843-4F75-87A7-124BBEDBDB10}"/>
    <cellStyle name="Normal 5 3 3 3 2 3 5" xfId="18325" xr:uid="{8F101084-C2B2-4882-901C-0F73FF80B872}"/>
    <cellStyle name="Normal 5 3 3 3 2 3 6" xfId="26772" xr:uid="{09FCDB59-D23A-4921-8167-C67DC54661B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66F33FE1-B839-42A0-B540-91DC7A68C01A}"/>
    <cellStyle name="Normal 5 3 3 3 2 4 2 2 3" xfId="25100" xr:uid="{4AB225B9-D0C0-4CFA-8C4F-92953931061A}"/>
    <cellStyle name="Normal 5 3 3 3 2 4 2 2 4" xfId="33547" xr:uid="{00A2A059-CA82-4330-8E3B-3D911F9E871F}"/>
    <cellStyle name="Normal 5 3 3 3 2 4 2 3" xfId="12435" xr:uid="{E07BE35F-B082-4495-882A-D2FB6775BE61}"/>
    <cellStyle name="Normal 5 3 3 3 2 4 2 4" xfId="20883" xr:uid="{5F25DC08-6ACE-4D37-9C4D-FCE83A4EE165}"/>
    <cellStyle name="Normal 5 3 3 3 2 4 2 5" xfId="29330" xr:uid="{9C024042-2FE9-45B1-8DD9-9ED0F3F2CC61}"/>
    <cellStyle name="Normal 5 3 3 3 2 4 3" xfId="6058" xr:uid="{00000000-0005-0000-0000-0000D3190000}"/>
    <cellStyle name="Normal 5 3 3 3 2 4 3 2" xfId="14508" xr:uid="{3B6BB4CB-380F-4D9F-A316-3F9AC12D341A}"/>
    <cellStyle name="Normal 5 3 3 3 2 4 3 3" xfId="22955" xr:uid="{CD4E56D8-7D67-4E85-8F39-6BE98DC6F1F9}"/>
    <cellStyle name="Normal 5 3 3 3 2 4 3 4" xfId="31402" xr:uid="{092FBAF5-C27C-4C53-8DEB-AE39B0261E34}"/>
    <cellStyle name="Normal 5 3 3 3 2 4 4" xfId="10290" xr:uid="{1C4C06A9-DF53-44A3-9283-E8171504EB9C}"/>
    <cellStyle name="Normal 5 3 3 3 2 4 5" xfId="18738" xr:uid="{0DB79F29-6DDD-400F-A1A8-40DBD15DBF8A}"/>
    <cellStyle name="Normal 5 3 3 3 2 4 6" xfId="27185" xr:uid="{763DFFC8-2271-4A2E-8DD9-2F347F6A80AD}"/>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56740712-6AE0-46D8-96BC-137E392EF527}"/>
    <cellStyle name="Normal 5 3 3 3 2 5 2 2 3" xfId="25513" xr:uid="{24DCA741-DAF1-4ECC-A69A-D416B546005C}"/>
    <cellStyle name="Normal 5 3 3 3 2 5 2 2 4" xfId="33960" xr:uid="{BB1BD788-012D-4D0B-842B-ED899B1E8EF4}"/>
    <cellStyle name="Normal 5 3 3 3 2 5 2 3" xfId="12848" xr:uid="{A5C165A8-E53A-4643-8A64-785184B2E1F4}"/>
    <cellStyle name="Normal 5 3 3 3 2 5 2 4" xfId="21296" xr:uid="{BCB3BF5A-8169-43E0-AD0A-6147B8D0D5DE}"/>
    <cellStyle name="Normal 5 3 3 3 2 5 2 5" xfId="29743" xr:uid="{ABAB4E11-DDAD-475B-9680-CA12B29605D6}"/>
    <cellStyle name="Normal 5 3 3 3 2 5 3" xfId="6471" xr:uid="{00000000-0005-0000-0000-0000D7190000}"/>
    <cellStyle name="Normal 5 3 3 3 2 5 3 2" xfId="14921" xr:uid="{679C2B78-009D-4D1F-BCEF-8D1A6875E74C}"/>
    <cellStyle name="Normal 5 3 3 3 2 5 3 3" xfId="23368" xr:uid="{8A8F9EF1-762E-422D-A9EC-22FFBDF12DD4}"/>
    <cellStyle name="Normal 5 3 3 3 2 5 3 4" xfId="31815" xr:uid="{B7A9F1A3-DEB0-41A1-AB3E-44DBCAD45EFB}"/>
    <cellStyle name="Normal 5 3 3 3 2 5 4" xfId="10703" xr:uid="{8B8B46BC-9D93-47F5-88F0-5401D0D866BB}"/>
    <cellStyle name="Normal 5 3 3 3 2 5 5" xfId="19151" xr:uid="{B818E03A-DB39-4E01-9607-0AD02D91177F}"/>
    <cellStyle name="Normal 5 3 3 3 2 5 6" xfId="27598" xr:uid="{49CCEAFD-E47D-49D9-A69A-F073A366186D}"/>
    <cellStyle name="Normal 5 3 3 3 2 6" xfId="2601" xr:uid="{00000000-0005-0000-0000-0000D8190000}"/>
    <cellStyle name="Normal 5 3 3 3 2 6 2" xfId="6884" xr:uid="{00000000-0005-0000-0000-0000D9190000}"/>
    <cellStyle name="Normal 5 3 3 3 2 6 2 2" xfId="15334" xr:uid="{EBC65C0B-97C4-46B6-B110-583F4884C938}"/>
    <cellStyle name="Normal 5 3 3 3 2 6 2 3" xfId="23781" xr:uid="{75C68120-E85B-44B7-A197-F4125D427807}"/>
    <cellStyle name="Normal 5 3 3 3 2 6 2 4" xfId="32228" xr:uid="{4C6FD816-8414-4D59-B20B-A938D84BBB52}"/>
    <cellStyle name="Normal 5 3 3 3 2 6 3" xfId="11116" xr:uid="{82E4939C-6467-4C63-9B20-AD6FAF8DCAFE}"/>
    <cellStyle name="Normal 5 3 3 3 2 6 4" xfId="19564" xr:uid="{0458EB2A-D500-49C3-B5CB-3CB5E37E0DB5}"/>
    <cellStyle name="Normal 5 3 3 3 2 6 5" xfId="28011" xr:uid="{6FB39BB0-1D33-46CD-A854-7D35DC64C6BC}"/>
    <cellStyle name="Normal 5 3 3 3 2 7" xfId="4819" xr:uid="{00000000-0005-0000-0000-0000DA190000}"/>
    <cellStyle name="Normal 5 3 3 3 2 7 2" xfId="13269" xr:uid="{198E062F-D199-424A-B78D-3EC37609A9F8}"/>
    <cellStyle name="Normal 5 3 3 3 2 7 3" xfId="21716" xr:uid="{55A4C909-1B6F-4C8F-AFA3-068F82BA4E85}"/>
    <cellStyle name="Normal 5 3 3 3 2 7 4" xfId="30163" xr:uid="{0C27AE6C-E195-4326-8A29-ABCD43DFF9F4}"/>
    <cellStyle name="Normal 5 3 3 3 2 8" xfId="9051" xr:uid="{3B70A6E0-2524-443B-A030-7F3A274AAB6A}"/>
    <cellStyle name="Normal 5 3 3 3 2 9" xfId="17499" xr:uid="{C316A0D8-008C-4F86-96D9-E81328734AC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8CB0EC90-159B-42D0-AF44-F9508705E41B}"/>
    <cellStyle name="Normal 5 3 3 3 3 2 2 3" xfId="24273" xr:uid="{582E79EE-C85C-45F3-A2EE-4EC76C770787}"/>
    <cellStyle name="Normal 5 3 3 3 3 2 2 4" xfId="32720" xr:uid="{FE2C8C8D-2634-4AAF-8779-8A63FACD32ED}"/>
    <cellStyle name="Normal 5 3 3 3 3 2 3" xfId="11608" xr:uid="{3CF327DB-65C8-42D1-AD96-9B9E2A2A1219}"/>
    <cellStyle name="Normal 5 3 3 3 3 2 4" xfId="20056" xr:uid="{0C8B9AE3-A86E-46DA-BE51-E58C925E3713}"/>
    <cellStyle name="Normal 5 3 3 3 3 2 5" xfId="28503" xr:uid="{50BC96D3-3443-435E-B5C2-5A141C5D0315}"/>
    <cellStyle name="Normal 5 3 3 3 3 3" xfId="5231" xr:uid="{00000000-0005-0000-0000-0000DE190000}"/>
    <cellStyle name="Normal 5 3 3 3 3 3 2" xfId="13681" xr:uid="{D1E09E2A-8030-4531-8089-828EBCF9DB7C}"/>
    <cellStyle name="Normal 5 3 3 3 3 3 3" xfId="22128" xr:uid="{6B91236C-69FB-4A82-B6BC-468305CF1A7F}"/>
    <cellStyle name="Normal 5 3 3 3 3 3 4" xfId="30575" xr:uid="{EB52A6B2-8786-42AE-A199-BDF9A77435E2}"/>
    <cellStyle name="Normal 5 3 3 3 3 4" xfId="9463" xr:uid="{E7FE6F6B-234D-4EDD-B135-3AE9F6AF1D46}"/>
    <cellStyle name="Normal 5 3 3 3 3 5" xfId="17911" xr:uid="{49FC0D71-ABB0-41B1-BE39-2D8C79DEA603}"/>
    <cellStyle name="Normal 5 3 3 3 3 6" xfId="26358" xr:uid="{FFAD11C5-DBF8-4ED3-86D9-699CA65884E7}"/>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E60D7A45-861C-4FCE-8F5B-1A4558C8B624}"/>
    <cellStyle name="Normal 5 3 3 3 4 2 2 3" xfId="24686" xr:uid="{428B75D7-BA62-45E7-B781-E7AC7BBC6288}"/>
    <cellStyle name="Normal 5 3 3 3 4 2 2 4" xfId="33133" xr:uid="{2F84D3C1-9F77-4E3F-BA05-F5ED894926B7}"/>
    <cellStyle name="Normal 5 3 3 3 4 2 3" xfId="12021" xr:uid="{5231D7EF-0188-4C26-86C9-9AE9F6416970}"/>
    <cellStyle name="Normal 5 3 3 3 4 2 4" xfId="20469" xr:uid="{6C863B92-B2F9-48AE-A207-6DB01AFCF65E}"/>
    <cellStyle name="Normal 5 3 3 3 4 2 5" xfId="28916" xr:uid="{9AD7726D-0A2B-4E8A-A4C0-A56B66EAC177}"/>
    <cellStyle name="Normal 5 3 3 3 4 3" xfId="5644" xr:uid="{00000000-0005-0000-0000-0000E2190000}"/>
    <cellStyle name="Normal 5 3 3 3 4 3 2" xfId="14094" xr:uid="{26E23F4C-825E-41FB-AE0F-198DEAF86E07}"/>
    <cellStyle name="Normal 5 3 3 3 4 3 3" xfId="22541" xr:uid="{8D05FAB0-68AE-4CAD-B738-366AC021B263}"/>
    <cellStyle name="Normal 5 3 3 3 4 3 4" xfId="30988" xr:uid="{5D4DEFD7-2EAD-437D-B0DD-8886E75A0C40}"/>
    <cellStyle name="Normal 5 3 3 3 4 4" xfId="9876" xr:uid="{E8CA9F73-F629-43C4-AF36-985FD56CD965}"/>
    <cellStyle name="Normal 5 3 3 3 4 5" xfId="18324" xr:uid="{A8D5D1BB-8198-4EE0-9712-924552D06B77}"/>
    <cellStyle name="Normal 5 3 3 3 4 6" xfId="26771" xr:uid="{42D7394B-103A-424F-909C-C03D02692D92}"/>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B501788F-BA95-4DF4-B777-C16209D5097D}"/>
    <cellStyle name="Normal 5 3 3 3 5 2 2 3" xfId="25099" xr:uid="{1BF58E5D-401C-4DB8-BC7B-D27387243C67}"/>
    <cellStyle name="Normal 5 3 3 3 5 2 2 4" xfId="33546" xr:uid="{C954B021-03E7-4BC4-8DE5-B6226C827E5E}"/>
    <cellStyle name="Normal 5 3 3 3 5 2 3" xfId="12434" xr:uid="{8E0A3E73-33BE-43ED-B089-B778CB9F590F}"/>
    <cellStyle name="Normal 5 3 3 3 5 2 4" xfId="20882" xr:uid="{3472BAE0-3EE7-4A7B-B71B-321406DB4F7A}"/>
    <cellStyle name="Normal 5 3 3 3 5 2 5" xfId="29329" xr:uid="{4201F936-3A5F-488A-B998-73111E288960}"/>
    <cellStyle name="Normal 5 3 3 3 5 3" xfId="6057" xr:uid="{00000000-0005-0000-0000-0000E6190000}"/>
    <cellStyle name="Normal 5 3 3 3 5 3 2" xfId="14507" xr:uid="{BFD75AF3-EA1A-4D2B-8E3D-114B28421C34}"/>
    <cellStyle name="Normal 5 3 3 3 5 3 3" xfId="22954" xr:uid="{D2E148AE-622F-4DCA-8270-0B982F6ECC37}"/>
    <cellStyle name="Normal 5 3 3 3 5 3 4" xfId="31401" xr:uid="{85E0F658-4609-4D9B-8A21-27DA2CCD014B}"/>
    <cellStyle name="Normal 5 3 3 3 5 4" xfId="10289" xr:uid="{6748D933-036D-4318-8114-7120ED66FEC4}"/>
    <cellStyle name="Normal 5 3 3 3 5 5" xfId="18737" xr:uid="{0B1C9E29-F997-4B29-8C57-54EAEDB9E049}"/>
    <cellStyle name="Normal 5 3 3 3 5 6" xfId="27184" xr:uid="{019F714A-C7D2-4B63-81C9-731CB0DA503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06F3914E-8582-471D-BE4C-1F6F01643832}"/>
    <cellStyle name="Normal 5 3 3 3 6 2 2 3" xfId="25512" xr:uid="{01FAAC89-0AAF-4A60-914E-D2179BC826AA}"/>
    <cellStyle name="Normal 5 3 3 3 6 2 2 4" xfId="33959" xr:uid="{6424EB54-0242-4253-9094-628B44095C72}"/>
    <cellStyle name="Normal 5 3 3 3 6 2 3" xfId="12847" xr:uid="{0ED18B7D-D24B-4A4D-A7BE-04D817BCE0FB}"/>
    <cellStyle name="Normal 5 3 3 3 6 2 4" xfId="21295" xr:uid="{435BFF62-ADBB-4425-B18A-828653DCB1CA}"/>
    <cellStyle name="Normal 5 3 3 3 6 2 5" xfId="29742" xr:uid="{E5431CEB-98B4-41F2-958C-EC87ADCF1247}"/>
    <cellStyle name="Normal 5 3 3 3 6 3" xfId="6470" xr:uid="{00000000-0005-0000-0000-0000EA190000}"/>
    <cellStyle name="Normal 5 3 3 3 6 3 2" xfId="14920" xr:uid="{4B64DB16-A4DB-4EFB-A846-0AEFA011A1DA}"/>
    <cellStyle name="Normal 5 3 3 3 6 3 3" xfId="23367" xr:uid="{8D80DED7-3D49-48A9-AB51-434C4A023019}"/>
    <cellStyle name="Normal 5 3 3 3 6 3 4" xfId="31814" xr:uid="{CE32DCE3-E25C-4704-9CA5-4106A4DC3997}"/>
    <cellStyle name="Normal 5 3 3 3 6 4" xfId="10702" xr:uid="{68A102A8-7C16-446B-951F-267A120D51FE}"/>
    <cellStyle name="Normal 5 3 3 3 6 5" xfId="19150" xr:uid="{029B4C4D-B38E-48CD-B17F-0DBE3F47698B}"/>
    <cellStyle name="Normal 5 3 3 3 6 6" xfId="27597" xr:uid="{E36CF5D8-8301-458D-8129-349D57A2614A}"/>
    <cellStyle name="Normal 5 3 3 3 7" xfId="2600" xr:uid="{00000000-0005-0000-0000-0000EB190000}"/>
    <cellStyle name="Normal 5 3 3 3 7 2" xfId="6883" xr:uid="{00000000-0005-0000-0000-0000EC190000}"/>
    <cellStyle name="Normal 5 3 3 3 7 2 2" xfId="15333" xr:uid="{BECF49E9-2D5F-4304-A3AB-DE5E3E48958E}"/>
    <cellStyle name="Normal 5 3 3 3 7 2 3" xfId="23780" xr:uid="{342BE7A3-521C-4389-8D0B-072748FE9951}"/>
    <cellStyle name="Normal 5 3 3 3 7 2 4" xfId="32227" xr:uid="{0E94E044-2081-479A-B309-290FD69F7619}"/>
    <cellStyle name="Normal 5 3 3 3 7 3" xfId="11115" xr:uid="{C8CD62A9-49A4-4C1A-BDA6-39D2CBB5281B}"/>
    <cellStyle name="Normal 5 3 3 3 7 4" xfId="19563" xr:uid="{CC2FF94E-75F9-4251-92DD-0FF6F9704A6B}"/>
    <cellStyle name="Normal 5 3 3 3 7 5" xfId="28010" xr:uid="{D58D8B92-607C-4C90-AF11-927C157A0111}"/>
    <cellStyle name="Normal 5 3 3 3 8" xfId="4818" xr:uid="{00000000-0005-0000-0000-0000ED190000}"/>
    <cellStyle name="Normal 5 3 3 3 8 2" xfId="13268" xr:uid="{CF42F52B-97BF-480B-930A-16FE36C0A126}"/>
    <cellStyle name="Normal 5 3 3 3 8 3" xfId="21715" xr:uid="{2EA5AA71-973A-47F1-BCC9-01261671F70A}"/>
    <cellStyle name="Normal 5 3 3 3 8 4" xfId="30162" xr:uid="{1235DC61-0F9E-4267-8430-F6807E043F8B}"/>
    <cellStyle name="Normal 5 3 3 3 9" xfId="9050" xr:uid="{E6E0D495-4949-4858-B0D5-898A5614610B}"/>
    <cellStyle name="Normal 5 3 3 4" xfId="448" xr:uid="{00000000-0005-0000-0000-0000EE190000}"/>
    <cellStyle name="Normal 5 3 3 4 10" xfId="25947" xr:uid="{E6A6E963-3CAF-40E6-922E-5C0BCF37DE87}"/>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355AC518-74E3-4CC4-A1A6-D5BDC3694C87}"/>
    <cellStyle name="Normal 5 3 3 4 2 2 2 3" xfId="24275" xr:uid="{A347CDD2-22CA-4A1F-B89E-7F3D7BD0FCD5}"/>
    <cellStyle name="Normal 5 3 3 4 2 2 2 4" xfId="32722" xr:uid="{5D173B13-5047-4D47-864E-98948622D026}"/>
    <cellStyle name="Normal 5 3 3 4 2 2 3" xfId="11610" xr:uid="{49AA6888-32D3-4D9F-851A-9E939D4C35D2}"/>
    <cellStyle name="Normal 5 3 3 4 2 2 4" xfId="20058" xr:uid="{80BBDFCC-95D2-442C-A527-24FC1AD44A27}"/>
    <cellStyle name="Normal 5 3 3 4 2 2 5" xfId="28505" xr:uid="{ACE694BF-1981-4201-83DD-CAA68162C905}"/>
    <cellStyle name="Normal 5 3 3 4 2 3" xfId="5233" xr:uid="{00000000-0005-0000-0000-0000F2190000}"/>
    <cellStyle name="Normal 5 3 3 4 2 3 2" xfId="13683" xr:uid="{B9FA4AFF-5141-4421-80B0-512C2879BF90}"/>
    <cellStyle name="Normal 5 3 3 4 2 3 3" xfId="22130" xr:uid="{18D9D736-6B66-428C-9CE2-C8F2579EFAAC}"/>
    <cellStyle name="Normal 5 3 3 4 2 3 4" xfId="30577" xr:uid="{8754B91C-C4A3-4E57-8087-74AB8D1B198B}"/>
    <cellStyle name="Normal 5 3 3 4 2 4" xfId="9465" xr:uid="{0852069D-6C5B-438F-ADF9-2D7C313D4A89}"/>
    <cellStyle name="Normal 5 3 3 4 2 5" xfId="17913" xr:uid="{EB8DCDF4-EEDB-4E31-9744-2FB2A8F94AB5}"/>
    <cellStyle name="Normal 5 3 3 4 2 6" xfId="26360" xr:uid="{33D8FFCD-214B-4767-BE97-DCA235EEB4A6}"/>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B7B2AF54-84F3-476B-AD97-F58787500240}"/>
    <cellStyle name="Normal 5 3 3 4 3 2 2 3" xfId="24688" xr:uid="{C286CB1D-D730-4AC2-9DF9-83B00AFF6493}"/>
    <cellStyle name="Normal 5 3 3 4 3 2 2 4" xfId="33135" xr:uid="{F2A870E1-9475-4C73-A1E7-C4D716EDB88F}"/>
    <cellStyle name="Normal 5 3 3 4 3 2 3" xfId="12023" xr:uid="{DBB14EB0-E6ED-4561-A1ED-361B1BE48F50}"/>
    <cellStyle name="Normal 5 3 3 4 3 2 4" xfId="20471" xr:uid="{47BF9443-01DF-4206-A76B-A6F3F52D4306}"/>
    <cellStyle name="Normal 5 3 3 4 3 2 5" xfId="28918" xr:uid="{E249E01D-CBA7-4D52-A36A-4BBCCE75B177}"/>
    <cellStyle name="Normal 5 3 3 4 3 3" xfId="5646" xr:uid="{00000000-0005-0000-0000-0000F6190000}"/>
    <cellStyle name="Normal 5 3 3 4 3 3 2" xfId="14096" xr:uid="{5C3B149E-C71F-4895-9C30-261243D1BE85}"/>
    <cellStyle name="Normal 5 3 3 4 3 3 3" xfId="22543" xr:uid="{5A8C0164-16B7-4049-B448-4EA67F3C464C}"/>
    <cellStyle name="Normal 5 3 3 4 3 3 4" xfId="30990" xr:uid="{A28C88B7-7313-4D43-A5DA-9C74BD29FBF8}"/>
    <cellStyle name="Normal 5 3 3 4 3 4" xfId="9878" xr:uid="{89CF1465-BFA0-4FBB-B9F1-DE702C1A016D}"/>
    <cellStyle name="Normal 5 3 3 4 3 5" xfId="18326" xr:uid="{FE8673E3-586D-4306-A084-E2339768BB67}"/>
    <cellStyle name="Normal 5 3 3 4 3 6" xfId="26773" xr:uid="{6A8FED8C-ABBB-4EC3-9876-A95F5D03532D}"/>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16CE01FC-C511-4192-B651-8245F5468EE5}"/>
    <cellStyle name="Normal 5 3 3 4 4 2 2 3" xfId="25101" xr:uid="{277DD177-707A-470C-B667-932AB9A5EA16}"/>
    <cellStyle name="Normal 5 3 3 4 4 2 2 4" xfId="33548" xr:uid="{6E518DCD-8661-445A-9E1F-9CE84A8CD64C}"/>
    <cellStyle name="Normal 5 3 3 4 4 2 3" xfId="12436" xr:uid="{CAFC7ACF-0CCB-410C-938D-906E98E12895}"/>
    <cellStyle name="Normal 5 3 3 4 4 2 4" xfId="20884" xr:uid="{A7A914B2-57C3-4A8A-A50E-D9A636E7DC68}"/>
    <cellStyle name="Normal 5 3 3 4 4 2 5" xfId="29331" xr:uid="{6099D1B9-0842-48C2-B8B0-6549181C31EC}"/>
    <cellStyle name="Normal 5 3 3 4 4 3" xfId="6059" xr:uid="{00000000-0005-0000-0000-0000FA190000}"/>
    <cellStyle name="Normal 5 3 3 4 4 3 2" xfId="14509" xr:uid="{6A7C756B-DF6E-4031-AB3E-C08A14AB9DAC}"/>
    <cellStyle name="Normal 5 3 3 4 4 3 3" xfId="22956" xr:uid="{31F46DDA-D09C-4F9C-AD57-8E12E008492D}"/>
    <cellStyle name="Normal 5 3 3 4 4 3 4" xfId="31403" xr:uid="{A372D873-1BD7-4F5D-951A-03808D8C48C5}"/>
    <cellStyle name="Normal 5 3 3 4 4 4" xfId="10291" xr:uid="{E344685E-7C66-4780-BCA7-273D48F19008}"/>
    <cellStyle name="Normal 5 3 3 4 4 5" xfId="18739" xr:uid="{68F9A69F-002B-4E39-AB1B-9E8F0ABA152E}"/>
    <cellStyle name="Normal 5 3 3 4 4 6" xfId="27186" xr:uid="{722E3A8C-73F4-44FA-9CB0-6ED1B3CBFD34}"/>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5ABEE2AB-351B-4812-8DCA-21365E75AD60}"/>
    <cellStyle name="Normal 5 3 3 4 5 2 2 3" xfId="25514" xr:uid="{2AE450E1-A92E-4D44-9EA1-67C8EED4391D}"/>
    <cellStyle name="Normal 5 3 3 4 5 2 2 4" xfId="33961" xr:uid="{13610018-A90B-4D58-B19A-FB243E605277}"/>
    <cellStyle name="Normal 5 3 3 4 5 2 3" xfId="12849" xr:uid="{EB737652-BBE4-4D0A-833A-7958F794C078}"/>
    <cellStyle name="Normal 5 3 3 4 5 2 4" xfId="21297" xr:uid="{8EBC601B-FE1E-4FAE-95A8-9218F8A91CB8}"/>
    <cellStyle name="Normal 5 3 3 4 5 2 5" xfId="29744" xr:uid="{65678B43-7D9C-4FB9-873C-1A29813FB001}"/>
    <cellStyle name="Normal 5 3 3 4 5 3" xfId="6472" xr:uid="{00000000-0005-0000-0000-0000FE190000}"/>
    <cellStyle name="Normal 5 3 3 4 5 3 2" xfId="14922" xr:uid="{0605B3D9-103E-48B2-8170-40548C3ED135}"/>
    <cellStyle name="Normal 5 3 3 4 5 3 3" xfId="23369" xr:uid="{CA3FFFFD-ECBA-448C-BC25-5FE500C7B374}"/>
    <cellStyle name="Normal 5 3 3 4 5 3 4" xfId="31816" xr:uid="{7A665ADD-D2BB-4AFA-AF0E-7B87D7211B37}"/>
    <cellStyle name="Normal 5 3 3 4 5 4" xfId="10704" xr:uid="{638629E7-9EEB-4576-B4C8-050967CCEDE1}"/>
    <cellStyle name="Normal 5 3 3 4 5 5" xfId="19152" xr:uid="{DD5CCEB5-1487-452D-9621-D14FFDB172B9}"/>
    <cellStyle name="Normal 5 3 3 4 5 6" xfId="27599" xr:uid="{390B0D91-C16F-4803-A4CB-1519005A52C5}"/>
    <cellStyle name="Normal 5 3 3 4 6" xfId="2602" xr:uid="{00000000-0005-0000-0000-0000FF190000}"/>
    <cellStyle name="Normal 5 3 3 4 6 2" xfId="6885" xr:uid="{00000000-0005-0000-0000-0000001A0000}"/>
    <cellStyle name="Normal 5 3 3 4 6 2 2" xfId="15335" xr:uid="{C88DA508-3CA2-490D-BC7E-130AD0C95FE8}"/>
    <cellStyle name="Normal 5 3 3 4 6 2 3" xfId="23782" xr:uid="{F002799A-B19C-4476-BC5C-6F2785607F21}"/>
    <cellStyle name="Normal 5 3 3 4 6 2 4" xfId="32229" xr:uid="{65740562-E818-4D9C-B2F6-CBC997C1E7E6}"/>
    <cellStyle name="Normal 5 3 3 4 6 3" xfId="11117" xr:uid="{2EF58956-8EEA-47C6-A9A3-A8D4576CD48A}"/>
    <cellStyle name="Normal 5 3 3 4 6 4" xfId="19565" xr:uid="{CBD55E13-9843-4B1D-94C5-02E6E689C406}"/>
    <cellStyle name="Normal 5 3 3 4 6 5" xfId="28012" xr:uid="{A4E6879C-592B-4D22-B1A1-E3ADBEA00420}"/>
    <cellStyle name="Normal 5 3 3 4 7" xfId="4820" xr:uid="{00000000-0005-0000-0000-0000011A0000}"/>
    <cellStyle name="Normal 5 3 3 4 7 2" xfId="13270" xr:uid="{E46358C6-76F0-4EEB-A579-77165DDFD150}"/>
    <cellStyle name="Normal 5 3 3 4 7 3" xfId="21717" xr:uid="{22A2A3D1-1D1B-49FF-B497-A8B6D5B090CB}"/>
    <cellStyle name="Normal 5 3 3 4 7 4" xfId="30164" xr:uid="{F817ABCD-6C70-4E5C-9C40-64220FEE405B}"/>
    <cellStyle name="Normal 5 3 3 4 8" xfId="9052" xr:uid="{96EBB8DA-0390-42C6-A431-63AC838B0824}"/>
    <cellStyle name="Normal 5 3 3 4 9" xfId="17500" xr:uid="{DB4A5A1A-FB2C-433A-A401-59C95943FFC9}"/>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F78F35F7-F120-4F56-A68A-6A84C52B9893}"/>
    <cellStyle name="Normal 5 3 3 5 2 2 3" xfId="24268" xr:uid="{731E0C13-2B7F-4D9F-A85D-775174869CB2}"/>
    <cellStyle name="Normal 5 3 3 5 2 2 4" xfId="32715" xr:uid="{407F36AF-CDEF-4993-8569-624E4FAADF29}"/>
    <cellStyle name="Normal 5 3 3 5 2 3" xfId="11603" xr:uid="{3F12E9A5-136D-43C4-BDC9-1B824E39E9F1}"/>
    <cellStyle name="Normal 5 3 3 5 2 4" xfId="20051" xr:uid="{5EEBCB57-AFCF-4016-92A2-D5F1D16D2B32}"/>
    <cellStyle name="Normal 5 3 3 5 2 5" xfId="28498" xr:uid="{992C91E3-867D-47D7-99B9-8C9C45A03769}"/>
    <cellStyle name="Normal 5 3 3 5 3" xfId="5226" xr:uid="{00000000-0005-0000-0000-0000051A0000}"/>
    <cellStyle name="Normal 5 3 3 5 3 2" xfId="13676" xr:uid="{4F4F35B3-9877-49F6-A081-671343502D11}"/>
    <cellStyle name="Normal 5 3 3 5 3 3" xfId="22123" xr:uid="{BB519400-A23A-4BB0-86F3-7DD356391E95}"/>
    <cellStyle name="Normal 5 3 3 5 3 4" xfId="30570" xr:uid="{CCECC4B5-54D9-4D44-B833-AD1CE872608F}"/>
    <cellStyle name="Normal 5 3 3 5 4" xfId="9458" xr:uid="{8F737B8A-30DB-4BD7-8505-D7C9F5F08898}"/>
    <cellStyle name="Normal 5 3 3 5 5" xfId="17906" xr:uid="{31747204-54DE-4118-AF12-0C7810B16197}"/>
    <cellStyle name="Normal 5 3 3 5 6" xfId="26353" xr:uid="{D4839839-A570-4431-BA64-A6CAA12A25FE}"/>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213B4FD5-0EEF-4BF6-9332-0136B7E7EE0C}"/>
    <cellStyle name="Normal 5 3 3 6 2 2 3" xfId="24681" xr:uid="{F03140CE-5573-4D45-93AC-2AB4F984B605}"/>
    <cellStyle name="Normal 5 3 3 6 2 2 4" xfId="33128" xr:uid="{9FDA2A1A-BF14-49B8-806F-9F4F826C308A}"/>
    <cellStyle name="Normal 5 3 3 6 2 3" xfId="12016" xr:uid="{847C334C-5ECE-454B-B844-3DB0E8F6B27D}"/>
    <cellStyle name="Normal 5 3 3 6 2 4" xfId="20464" xr:uid="{14851C7B-6CBD-4014-8DFA-79F1928A1588}"/>
    <cellStyle name="Normal 5 3 3 6 2 5" xfId="28911" xr:uid="{2AB59C17-301E-4EB0-AAE9-3EFFC9998EE0}"/>
    <cellStyle name="Normal 5 3 3 6 3" xfId="5639" xr:uid="{00000000-0005-0000-0000-0000091A0000}"/>
    <cellStyle name="Normal 5 3 3 6 3 2" xfId="14089" xr:uid="{05F2C5D8-B318-49AF-87BC-9D5B06303A3C}"/>
    <cellStyle name="Normal 5 3 3 6 3 3" xfId="22536" xr:uid="{684AFD2D-392B-45E4-B1EB-14B7CB892013}"/>
    <cellStyle name="Normal 5 3 3 6 3 4" xfId="30983" xr:uid="{60227BDA-4CB2-431D-989C-B1E17E7CD8D6}"/>
    <cellStyle name="Normal 5 3 3 6 4" xfId="9871" xr:uid="{512ADDBB-F6EB-43C2-9C77-8C705AF15AA7}"/>
    <cellStyle name="Normal 5 3 3 6 5" xfId="18319" xr:uid="{0B95A5F5-E1E6-4D98-9F83-B0443494A136}"/>
    <cellStyle name="Normal 5 3 3 6 6" xfId="26766" xr:uid="{90F71293-0AC1-41F0-9022-EF725760E842}"/>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741E4EA1-75BC-4879-9172-189860B9E03E}"/>
    <cellStyle name="Normal 5 3 3 7 2 2 3" xfId="25094" xr:uid="{1B0538BF-F575-4A78-8004-DCCAC22E5E43}"/>
    <cellStyle name="Normal 5 3 3 7 2 2 4" xfId="33541" xr:uid="{1D3410D6-C04C-4335-8887-D04160B1DC19}"/>
    <cellStyle name="Normal 5 3 3 7 2 3" xfId="12429" xr:uid="{8BDFD653-2296-4B5E-89EE-4F0099465BA1}"/>
    <cellStyle name="Normal 5 3 3 7 2 4" xfId="20877" xr:uid="{DC3156AD-E8AA-48DE-8787-7E68E7328CFA}"/>
    <cellStyle name="Normal 5 3 3 7 2 5" xfId="29324" xr:uid="{9CC9CD36-0DCF-4EAC-8229-AB7FC506877F}"/>
    <cellStyle name="Normal 5 3 3 7 3" xfId="6052" xr:uid="{00000000-0005-0000-0000-00000D1A0000}"/>
    <cellStyle name="Normal 5 3 3 7 3 2" xfId="14502" xr:uid="{E39677CA-1FE3-4E7A-8A2D-825F6F41CC70}"/>
    <cellStyle name="Normal 5 3 3 7 3 3" xfId="22949" xr:uid="{DEB3B576-4C37-41D2-8A95-5D93DE0FF9DC}"/>
    <cellStyle name="Normal 5 3 3 7 3 4" xfId="31396" xr:uid="{3A6D8A2E-3F24-4034-81DB-08CE25E8EF7C}"/>
    <cellStyle name="Normal 5 3 3 7 4" xfId="10284" xr:uid="{E64561D8-EB52-420B-AE86-B63D59A31894}"/>
    <cellStyle name="Normal 5 3 3 7 5" xfId="18732" xr:uid="{1B6BC8F6-B748-4690-B796-BCCE8924611F}"/>
    <cellStyle name="Normal 5 3 3 7 6" xfId="27179" xr:uid="{45B14564-9FC5-4CCB-B8CA-92BF2B8EBD4C}"/>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F42A66AE-734E-4CAA-AE03-502D1229D525}"/>
    <cellStyle name="Normal 5 3 3 8 2 2 3" xfId="25507" xr:uid="{4937E0EE-F0A9-4FBC-9A4F-ECD3D263F6DE}"/>
    <cellStyle name="Normal 5 3 3 8 2 2 4" xfId="33954" xr:uid="{4A5D5B25-E005-47D4-8D22-8A44B8104E56}"/>
    <cellStyle name="Normal 5 3 3 8 2 3" xfId="12842" xr:uid="{D275C563-86C1-4950-BD6F-3B2652D4E7F4}"/>
    <cellStyle name="Normal 5 3 3 8 2 4" xfId="21290" xr:uid="{54BB8CED-52E5-4479-A87B-A5C98CAA1625}"/>
    <cellStyle name="Normal 5 3 3 8 2 5" xfId="29737" xr:uid="{5B89DDB1-D030-4CE9-BBAD-ED5F5F4D0BDD}"/>
    <cellStyle name="Normal 5 3 3 8 3" xfId="6465" xr:uid="{00000000-0005-0000-0000-0000111A0000}"/>
    <cellStyle name="Normal 5 3 3 8 3 2" xfId="14915" xr:uid="{B9A78D31-C127-4BFA-8CB9-9741B603E2FB}"/>
    <cellStyle name="Normal 5 3 3 8 3 3" xfId="23362" xr:uid="{65ADF2F9-8423-4D6A-B389-1BB26A5AEAD0}"/>
    <cellStyle name="Normal 5 3 3 8 3 4" xfId="31809" xr:uid="{0DE38A3B-C330-4DC2-B27A-52DFD92F2376}"/>
    <cellStyle name="Normal 5 3 3 8 4" xfId="10697" xr:uid="{C8C5F707-1FE9-45E3-B879-A78A2A17A944}"/>
    <cellStyle name="Normal 5 3 3 8 5" xfId="19145" xr:uid="{700860BF-9B62-4D34-85AF-53F1F6445CF0}"/>
    <cellStyle name="Normal 5 3 3 8 6" xfId="27592" xr:uid="{C9E595FB-4571-46EB-B3D1-84B9B99736B0}"/>
    <cellStyle name="Normal 5 3 3 9" xfId="2595" xr:uid="{00000000-0005-0000-0000-0000121A0000}"/>
    <cellStyle name="Normal 5 3 3 9 2" xfId="6878" xr:uid="{00000000-0005-0000-0000-0000131A0000}"/>
    <cellStyle name="Normal 5 3 3 9 2 2" xfId="15328" xr:uid="{9BC9A627-4645-4A3B-B726-69264D01BAE9}"/>
    <cellStyle name="Normal 5 3 3 9 2 3" xfId="23775" xr:uid="{DAEABEFE-FF81-49F7-90E6-044F42EFEAC3}"/>
    <cellStyle name="Normal 5 3 3 9 2 4" xfId="32222" xr:uid="{2D3A5BF0-D249-439C-9616-957800FAEC7E}"/>
    <cellStyle name="Normal 5 3 3 9 3" xfId="11110" xr:uid="{AA387BF2-22C1-4393-B42C-F6946F34EBB7}"/>
    <cellStyle name="Normal 5 3 3 9 4" xfId="19558" xr:uid="{66A2C9A2-1EE7-443F-8C2E-03472E239C1A}"/>
    <cellStyle name="Normal 5 3 3 9 5" xfId="28005" xr:uid="{EB1DE863-0437-4E51-B41E-4D0A4D9F01B1}"/>
    <cellStyle name="Normal 5 3 4" xfId="449" xr:uid="{00000000-0005-0000-0000-0000141A0000}"/>
    <cellStyle name="Normal 5 3 4 10" xfId="9053" xr:uid="{4E1C2235-2521-4FD4-A208-132EDF8A8170}"/>
    <cellStyle name="Normal 5 3 4 11" xfId="17501" xr:uid="{D62F8553-AA50-4357-8D74-74F02C202DBF}"/>
    <cellStyle name="Normal 5 3 4 12" xfId="25948" xr:uid="{1C488B60-19D1-494F-89AF-DADEB72462FF}"/>
    <cellStyle name="Normal 5 3 4 2" xfId="450" xr:uid="{00000000-0005-0000-0000-0000151A0000}"/>
    <cellStyle name="Normal 5 3 4 2 10" xfId="17502" xr:uid="{C127A493-F134-4331-9553-AF13C7D4A55E}"/>
    <cellStyle name="Normal 5 3 4 2 11" xfId="25949" xr:uid="{518E72D2-C8A4-4A1B-8E58-F0CAB02CE0C7}"/>
    <cellStyle name="Normal 5 3 4 2 2" xfId="451" xr:uid="{00000000-0005-0000-0000-0000161A0000}"/>
    <cellStyle name="Normal 5 3 4 2 2 10" xfId="25950" xr:uid="{92EE488B-EA94-436E-94E6-D335CD167F5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58E8CCDA-32C5-4110-9867-3B93FC041186}"/>
    <cellStyle name="Normal 5 3 4 2 2 2 2 2 3" xfId="24278" xr:uid="{14362EBA-EB83-4216-AE18-30BD77D44AC6}"/>
    <cellStyle name="Normal 5 3 4 2 2 2 2 2 4" xfId="32725" xr:uid="{2DD7627E-DB71-4597-BE6C-326E16B122B7}"/>
    <cellStyle name="Normal 5 3 4 2 2 2 2 3" xfId="11613" xr:uid="{4148F778-CFA7-4E08-9424-7A67E738A022}"/>
    <cellStyle name="Normal 5 3 4 2 2 2 2 4" xfId="20061" xr:uid="{99F02A17-9AB5-47D9-8BF9-33A8745F33F6}"/>
    <cellStyle name="Normal 5 3 4 2 2 2 2 5" xfId="28508" xr:uid="{70A8F86D-4101-4D94-957B-A291279760F2}"/>
    <cellStyle name="Normal 5 3 4 2 2 2 3" xfId="5236" xr:uid="{00000000-0005-0000-0000-00001A1A0000}"/>
    <cellStyle name="Normal 5 3 4 2 2 2 3 2" xfId="13686" xr:uid="{1FDC9276-3652-4FA3-BB39-735383903338}"/>
    <cellStyle name="Normal 5 3 4 2 2 2 3 3" xfId="22133" xr:uid="{FA6ECB2C-12C8-40D6-9291-12B04C4AF2DA}"/>
    <cellStyle name="Normal 5 3 4 2 2 2 3 4" xfId="30580" xr:uid="{15669766-9F00-4C97-B4C4-F8FF86941F89}"/>
    <cellStyle name="Normal 5 3 4 2 2 2 4" xfId="9468" xr:uid="{50440A17-8351-4441-8071-4E8514E0588E}"/>
    <cellStyle name="Normal 5 3 4 2 2 2 5" xfId="17916" xr:uid="{D00FE0CA-3D44-4FDF-9400-7A3261B9EBE0}"/>
    <cellStyle name="Normal 5 3 4 2 2 2 6" xfId="26363" xr:uid="{632D7E65-98C7-4400-98B4-D7245F94368A}"/>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79A4249B-A591-4F41-9651-36042E154C13}"/>
    <cellStyle name="Normal 5 3 4 2 2 3 2 2 3" xfId="24691" xr:uid="{BF794163-3AA3-45A3-9B23-540369A6927A}"/>
    <cellStyle name="Normal 5 3 4 2 2 3 2 2 4" xfId="33138" xr:uid="{1B128130-27F2-41AA-A12C-7F67F79026D9}"/>
    <cellStyle name="Normal 5 3 4 2 2 3 2 3" xfId="12026" xr:uid="{3B955D24-41D4-4C70-9221-C1C916A55107}"/>
    <cellStyle name="Normal 5 3 4 2 2 3 2 4" xfId="20474" xr:uid="{8BC806F5-FA63-48BE-9FF0-954563E194C0}"/>
    <cellStyle name="Normal 5 3 4 2 2 3 2 5" xfId="28921" xr:uid="{BB18F4C6-61F6-43DB-9EEB-DF70E8D29513}"/>
    <cellStyle name="Normal 5 3 4 2 2 3 3" xfId="5649" xr:uid="{00000000-0005-0000-0000-00001E1A0000}"/>
    <cellStyle name="Normal 5 3 4 2 2 3 3 2" xfId="14099" xr:uid="{4EE9F095-167F-4069-9EAD-82211DB6F84E}"/>
    <cellStyle name="Normal 5 3 4 2 2 3 3 3" xfId="22546" xr:uid="{015F5214-ACE9-4A5D-A916-D30391D3B7EA}"/>
    <cellStyle name="Normal 5 3 4 2 2 3 3 4" xfId="30993" xr:uid="{1D743562-F21D-4C1B-9928-5D9CD9EBC600}"/>
    <cellStyle name="Normal 5 3 4 2 2 3 4" xfId="9881" xr:uid="{822A6261-728D-4265-8778-9ADA9888F172}"/>
    <cellStyle name="Normal 5 3 4 2 2 3 5" xfId="18329" xr:uid="{887BE2DD-A8EB-4A46-96FA-359C51B71E73}"/>
    <cellStyle name="Normal 5 3 4 2 2 3 6" xfId="26776" xr:uid="{903C7F6F-710F-47FD-8A45-130B5C9C9C52}"/>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0C3A908A-8A41-4207-9CAB-50364A760609}"/>
    <cellStyle name="Normal 5 3 4 2 2 4 2 2 3" xfId="25104" xr:uid="{85D6DB62-B2F7-46C8-9F72-30243C5FEE0E}"/>
    <cellStyle name="Normal 5 3 4 2 2 4 2 2 4" xfId="33551" xr:uid="{A8D173FF-0D84-4DB1-927E-4AFEDDAD2E70}"/>
    <cellStyle name="Normal 5 3 4 2 2 4 2 3" xfId="12439" xr:uid="{B14E2E28-52D1-4D13-9264-73021CD4D807}"/>
    <cellStyle name="Normal 5 3 4 2 2 4 2 4" xfId="20887" xr:uid="{2DF98E84-CE82-41B3-82BE-90852FEF1932}"/>
    <cellStyle name="Normal 5 3 4 2 2 4 2 5" xfId="29334" xr:uid="{F3FE5130-A6C1-4ADC-8599-C5683AEFD274}"/>
    <cellStyle name="Normal 5 3 4 2 2 4 3" xfId="6062" xr:uid="{00000000-0005-0000-0000-0000221A0000}"/>
    <cellStyle name="Normal 5 3 4 2 2 4 3 2" xfId="14512" xr:uid="{3C3E6A90-964A-461F-8918-184550945FAB}"/>
    <cellStyle name="Normal 5 3 4 2 2 4 3 3" xfId="22959" xr:uid="{A297937C-5038-450D-8BA6-F7CFA97831F9}"/>
    <cellStyle name="Normal 5 3 4 2 2 4 3 4" xfId="31406" xr:uid="{29316925-331F-4E4F-BACE-904022AD0174}"/>
    <cellStyle name="Normal 5 3 4 2 2 4 4" xfId="10294" xr:uid="{80B8A5F5-C3F0-450F-8A3B-68532FE6443E}"/>
    <cellStyle name="Normal 5 3 4 2 2 4 5" xfId="18742" xr:uid="{635AA149-9C17-4F26-901F-9D0FFB4C1182}"/>
    <cellStyle name="Normal 5 3 4 2 2 4 6" xfId="27189" xr:uid="{D8C8B277-1B8C-4156-9011-36DD71526C58}"/>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92B3274D-A473-4F45-B9A0-F5737632CBB4}"/>
    <cellStyle name="Normal 5 3 4 2 2 5 2 2 3" xfId="25517" xr:uid="{737B078D-A229-47BD-B5EE-AC41334C53D4}"/>
    <cellStyle name="Normal 5 3 4 2 2 5 2 2 4" xfId="33964" xr:uid="{B1EDAC80-6C68-48B0-A50E-27FE3B709E79}"/>
    <cellStyle name="Normal 5 3 4 2 2 5 2 3" xfId="12852" xr:uid="{C77BFF78-4C33-415D-8870-4514535C898B}"/>
    <cellStyle name="Normal 5 3 4 2 2 5 2 4" xfId="21300" xr:uid="{6CB0E87D-81F7-4607-A0DC-83B27725FCC3}"/>
    <cellStyle name="Normal 5 3 4 2 2 5 2 5" xfId="29747" xr:uid="{E1A845BE-847A-4708-9B92-622840407778}"/>
    <cellStyle name="Normal 5 3 4 2 2 5 3" xfId="6475" xr:uid="{00000000-0005-0000-0000-0000261A0000}"/>
    <cellStyle name="Normal 5 3 4 2 2 5 3 2" xfId="14925" xr:uid="{A9ED1607-BF42-497A-A9B7-0B519D213776}"/>
    <cellStyle name="Normal 5 3 4 2 2 5 3 3" xfId="23372" xr:uid="{3669AE28-6441-4BE9-A47E-EC2E61C56FAA}"/>
    <cellStyle name="Normal 5 3 4 2 2 5 3 4" xfId="31819" xr:uid="{74E48D01-1DF2-446C-9E14-131AE691F1A6}"/>
    <cellStyle name="Normal 5 3 4 2 2 5 4" xfId="10707" xr:uid="{EAAC7350-7883-4684-9FE5-F120D52BDD30}"/>
    <cellStyle name="Normal 5 3 4 2 2 5 5" xfId="19155" xr:uid="{7702964B-98A8-4469-A427-A8F58FCBDCCB}"/>
    <cellStyle name="Normal 5 3 4 2 2 5 6" xfId="27602" xr:uid="{C6D11F85-A109-420A-8F4A-E40FE736598C}"/>
    <cellStyle name="Normal 5 3 4 2 2 6" xfId="2605" xr:uid="{00000000-0005-0000-0000-0000271A0000}"/>
    <cellStyle name="Normal 5 3 4 2 2 6 2" xfId="6888" xr:uid="{00000000-0005-0000-0000-0000281A0000}"/>
    <cellStyle name="Normal 5 3 4 2 2 6 2 2" xfId="15338" xr:uid="{6C86A668-3A72-4372-BE7A-E3350EA7C2AC}"/>
    <cellStyle name="Normal 5 3 4 2 2 6 2 3" xfId="23785" xr:uid="{C172C862-75B2-44F2-BB37-285238DBC477}"/>
    <cellStyle name="Normal 5 3 4 2 2 6 2 4" xfId="32232" xr:uid="{44B0E06E-0D1C-4673-A4C3-31E956320166}"/>
    <cellStyle name="Normal 5 3 4 2 2 6 3" xfId="11120" xr:uid="{C4B11F50-5272-40D0-8A1B-2C276B7B641A}"/>
    <cellStyle name="Normal 5 3 4 2 2 6 4" xfId="19568" xr:uid="{6DA1670F-78FF-4658-A65F-9216E39EBED5}"/>
    <cellStyle name="Normal 5 3 4 2 2 6 5" xfId="28015" xr:uid="{2B75A960-F23E-4487-9321-CD4B8A507181}"/>
    <cellStyle name="Normal 5 3 4 2 2 7" xfId="4823" xr:uid="{00000000-0005-0000-0000-0000291A0000}"/>
    <cellStyle name="Normal 5 3 4 2 2 7 2" xfId="13273" xr:uid="{354CF084-0426-4FB2-BB1C-BA6702D30FD0}"/>
    <cellStyle name="Normal 5 3 4 2 2 7 3" xfId="21720" xr:uid="{DBAA9EF9-0A3A-47E2-9926-42315FAB77E1}"/>
    <cellStyle name="Normal 5 3 4 2 2 7 4" xfId="30167" xr:uid="{B0B65EC8-21A6-425D-9444-5F27FE9B87CF}"/>
    <cellStyle name="Normal 5 3 4 2 2 8" xfId="9055" xr:uid="{9614521F-A4AF-40FB-856A-376EA2252179}"/>
    <cellStyle name="Normal 5 3 4 2 2 9" xfId="17503" xr:uid="{6EA88360-BE12-4D62-BCC0-3BC35591E600}"/>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B690CAAF-2ACF-4794-8A55-E4E2B5791AE6}"/>
    <cellStyle name="Normal 5 3 4 2 3 2 2 3" xfId="24277" xr:uid="{D65849F5-2DC8-49CC-9C0E-9AC2365A8217}"/>
    <cellStyle name="Normal 5 3 4 2 3 2 2 4" xfId="32724" xr:uid="{5A600571-FC35-4C58-B2FF-7AB28E9A4D36}"/>
    <cellStyle name="Normal 5 3 4 2 3 2 3" xfId="11612" xr:uid="{AF2CCAB0-F56D-46B5-9122-A119428076FF}"/>
    <cellStyle name="Normal 5 3 4 2 3 2 4" xfId="20060" xr:uid="{ED8C250F-0B4E-48E3-A8AA-C0FA676B4E5A}"/>
    <cellStyle name="Normal 5 3 4 2 3 2 5" xfId="28507" xr:uid="{1B671DAC-CD4F-498D-B18A-64A1F9017812}"/>
    <cellStyle name="Normal 5 3 4 2 3 3" xfId="5235" xr:uid="{00000000-0005-0000-0000-00002D1A0000}"/>
    <cellStyle name="Normal 5 3 4 2 3 3 2" xfId="13685" xr:uid="{2E56CC5A-E311-438F-BFC8-3BF1DBD6125F}"/>
    <cellStyle name="Normal 5 3 4 2 3 3 3" xfId="22132" xr:uid="{CE4D8205-A990-4E55-B204-C61803088969}"/>
    <cellStyle name="Normal 5 3 4 2 3 3 4" xfId="30579" xr:uid="{F40530DC-7BF1-4703-8DCB-1A946AE176BF}"/>
    <cellStyle name="Normal 5 3 4 2 3 4" xfId="9467" xr:uid="{A982BA55-E31A-4341-A7E6-E5B9B1316C62}"/>
    <cellStyle name="Normal 5 3 4 2 3 5" xfId="17915" xr:uid="{CEBBDCF7-334E-44DE-A651-0F241184D32C}"/>
    <cellStyle name="Normal 5 3 4 2 3 6" xfId="26362" xr:uid="{802159F3-4D83-436B-ACCA-9D298CD499DC}"/>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7A38E0C5-BFCD-409F-B779-F9B7C53EE44A}"/>
    <cellStyle name="Normal 5 3 4 2 4 2 2 3" xfId="24690" xr:uid="{4C65B376-00B3-4E13-A9B1-AA347A2CB446}"/>
    <cellStyle name="Normal 5 3 4 2 4 2 2 4" xfId="33137" xr:uid="{4E1412F2-5D3C-4694-BD9E-10AA9EE84060}"/>
    <cellStyle name="Normal 5 3 4 2 4 2 3" xfId="12025" xr:uid="{1AC44C16-E339-477A-BB59-79DFCD13E0F2}"/>
    <cellStyle name="Normal 5 3 4 2 4 2 4" xfId="20473" xr:uid="{45F2F226-1C47-4C41-974D-2BED38306D20}"/>
    <cellStyle name="Normal 5 3 4 2 4 2 5" xfId="28920" xr:uid="{925F72DC-97B7-4804-AFFB-56C1615EF33A}"/>
    <cellStyle name="Normal 5 3 4 2 4 3" xfId="5648" xr:uid="{00000000-0005-0000-0000-0000311A0000}"/>
    <cellStyle name="Normal 5 3 4 2 4 3 2" xfId="14098" xr:uid="{A158E6FE-DFDB-413A-B016-EEF521D13693}"/>
    <cellStyle name="Normal 5 3 4 2 4 3 3" xfId="22545" xr:uid="{851B9684-D86E-4E41-A8F6-52C4B1E984F4}"/>
    <cellStyle name="Normal 5 3 4 2 4 3 4" xfId="30992" xr:uid="{E3EEAE6C-BC2A-49A7-B5FF-92AD460E008F}"/>
    <cellStyle name="Normal 5 3 4 2 4 4" xfId="9880" xr:uid="{3ADC5FFD-B6EB-460E-B80F-DCC4EC5C7553}"/>
    <cellStyle name="Normal 5 3 4 2 4 5" xfId="18328" xr:uid="{2EBBE90E-C200-4936-8D5E-E4F9468754A7}"/>
    <cellStyle name="Normal 5 3 4 2 4 6" xfId="26775" xr:uid="{AFB2597E-1952-4151-A7E9-B890337A98AC}"/>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504665B0-60C5-4CF4-9874-87181AE2835C}"/>
    <cellStyle name="Normal 5 3 4 2 5 2 2 3" xfId="25103" xr:uid="{135314DE-DE79-49A9-B97E-AF109BEFC08A}"/>
    <cellStyle name="Normal 5 3 4 2 5 2 2 4" xfId="33550" xr:uid="{933DDD79-580A-4E95-A0FB-C9068D61448C}"/>
    <cellStyle name="Normal 5 3 4 2 5 2 3" xfId="12438" xr:uid="{B418ADDA-6B5A-4537-A043-910D55FAFC14}"/>
    <cellStyle name="Normal 5 3 4 2 5 2 4" xfId="20886" xr:uid="{00F6523B-42C6-4C7F-815D-937F0A416F93}"/>
    <cellStyle name="Normal 5 3 4 2 5 2 5" xfId="29333" xr:uid="{05553707-F8DC-4653-BA15-3F48398CBAC0}"/>
    <cellStyle name="Normal 5 3 4 2 5 3" xfId="6061" xr:uid="{00000000-0005-0000-0000-0000351A0000}"/>
    <cellStyle name="Normal 5 3 4 2 5 3 2" xfId="14511" xr:uid="{39FCB114-BD4F-43EF-98F7-71BBE523A7B4}"/>
    <cellStyle name="Normal 5 3 4 2 5 3 3" xfId="22958" xr:uid="{B7115F5C-EEF2-4B0E-8246-8D1340F09A9B}"/>
    <cellStyle name="Normal 5 3 4 2 5 3 4" xfId="31405" xr:uid="{023EC7BE-1C49-4957-8880-26F37D4E753E}"/>
    <cellStyle name="Normal 5 3 4 2 5 4" xfId="10293" xr:uid="{46B381A7-FD47-4D51-AFA5-AC67EF4081CC}"/>
    <cellStyle name="Normal 5 3 4 2 5 5" xfId="18741" xr:uid="{BDA0C29E-09F4-457C-857B-5FBF5D668E2E}"/>
    <cellStyle name="Normal 5 3 4 2 5 6" xfId="27188" xr:uid="{E9E647C4-4453-43F5-B60F-B7F041037AC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FC94A6B7-0C04-42A1-A7E2-61B145368EA9}"/>
    <cellStyle name="Normal 5 3 4 2 6 2 2 3" xfId="25516" xr:uid="{98E680ED-169C-4D27-B9D2-B30349D52AEC}"/>
    <cellStyle name="Normal 5 3 4 2 6 2 2 4" xfId="33963" xr:uid="{3563876C-07CB-4F9E-9ED2-907607E67EDB}"/>
    <cellStyle name="Normal 5 3 4 2 6 2 3" xfId="12851" xr:uid="{34C95E02-7093-46D3-A5DA-0AFA6CF0EBAA}"/>
    <cellStyle name="Normal 5 3 4 2 6 2 4" xfId="21299" xr:uid="{6060E2FE-88D5-4281-9F70-BE5762736F90}"/>
    <cellStyle name="Normal 5 3 4 2 6 2 5" xfId="29746" xr:uid="{136C087B-342F-451C-B6DB-681CEBCABF73}"/>
    <cellStyle name="Normal 5 3 4 2 6 3" xfId="6474" xr:uid="{00000000-0005-0000-0000-0000391A0000}"/>
    <cellStyle name="Normal 5 3 4 2 6 3 2" xfId="14924" xr:uid="{93D027C4-082A-497E-98A3-9BF1DEE1FAB1}"/>
    <cellStyle name="Normal 5 3 4 2 6 3 3" xfId="23371" xr:uid="{0ED4CE7E-B97C-4EA5-8981-F1C613DAC1E4}"/>
    <cellStyle name="Normal 5 3 4 2 6 3 4" xfId="31818" xr:uid="{8989033E-6985-4826-9A18-DD93B4FA3B78}"/>
    <cellStyle name="Normal 5 3 4 2 6 4" xfId="10706" xr:uid="{C25CC136-12E4-4B3C-A678-8546F6B03B7D}"/>
    <cellStyle name="Normal 5 3 4 2 6 5" xfId="19154" xr:uid="{BA83A676-2FAE-401A-98DD-FF2D4618A749}"/>
    <cellStyle name="Normal 5 3 4 2 6 6" xfId="27601" xr:uid="{7978B675-9017-481E-B8A1-3C64B911B764}"/>
    <cellStyle name="Normal 5 3 4 2 7" xfId="2604" xr:uid="{00000000-0005-0000-0000-00003A1A0000}"/>
    <cellStyle name="Normal 5 3 4 2 7 2" xfId="6887" xr:uid="{00000000-0005-0000-0000-00003B1A0000}"/>
    <cellStyle name="Normal 5 3 4 2 7 2 2" xfId="15337" xr:uid="{0B6EC74E-1100-4274-9F67-C5348D6DB4D0}"/>
    <cellStyle name="Normal 5 3 4 2 7 2 3" xfId="23784" xr:uid="{660EBB04-4123-44A7-BA49-F4C513F9BAF4}"/>
    <cellStyle name="Normal 5 3 4 2 7 2 4" xfId="32231" xr:uid="{CC423E67-ACA9-4E92-9AA5-35802372FB01}"/>
    <cellStyle name="Normal 5 3 4 2 7 3" xfId="11119" xr:uid="{78B5309A-EBB6-4BB4-B9C6-323A69A5A8D6}"/>
    <cellStyle name="Normal 5 3 4 2 7 4" xfId="19567" xr:uid="{93880923-E3DF-4FA4-8FAC-D53C03B0D6E8}"/>
    <cellStyle name="Normal 5 3 4 2 7 5" xfId="28014" xr:uid="{84FD5659-E658-4655-81D2-EE7609B8B439}"/>
    <cellStyle name="Normal 5 3 4 2 8" xfId="4822" xr:uid="{00000000-0005-0000-0000-00003C1A0000}"/>
    <cellStyle name="Normal 5 3 4 2 8 2" xfId="13272" xr:uid="{9C18C456-9586-4666-82BB-2D27B8C53250}"/>
    <cellStyle name="Normal 5 3 4 2 8 3" xfId="21719" xr:uid="{15058004-72C2-4FBA-B85B-D23CE3194A67}"/>
    <cellStyle name="Normal 5 3 4 2 8 4" xfId="30166" xr:uid="{C0D33AED-ADFB-48C8-834E-3A0FE8115A35}"/>
    <cellStyle name="Normal 5 3 4 2 9" xfId="9054" xr:uid="{8C41666F-677A-48A3-82D7-B563D4C175EB}"/>
    <cellStyle name="Normal 5 3 4 3" xfId="452" xr:uid="{00000000-0005-0000-0000-00003D1A0000}"/>
    <cellStyle name="Normal 5 3 4 3 10" xfId="25951" xr:uid="{73A0BC2B-85CA-4634-B6AE-9CAE8DF00829}"/>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7435FFAE-02CF-4CC9-9AC6-24916A4DE37A}"/>
    <cellStyle name="Normal 5 3 4 3 2 2 2 3" xfId="24279" xr:uid="{38962048-3473-4619-B508-1E80FF3241CC}"/>
    <cellStyle name="Normal 5 3 4 3 2 2 2 4" xfId="32726" xr:uid="{360B4599-FE0C-4813-93DB-CAD40F829359}"/>
    <cellStyle name="Normal 5 3 4 3 2 2 3" xfId="11614" xr:uid="{596CE404-F56F-4E5E-B158-98AFB2435A2B}"/>
    <cellStyle name="Normal 5 3 4 3 2 2 4" xfId="20062" xr:uid="{5E06FAE3-E89F-433E-AA27-4D92AAEC057F}"/>
    <cellStyle name="Normal 5 3 4 3 2 2 5" xfId="28509" xr:uid="{81B3CE84-FBC5-4E8F-948F-B5756C0AC224}"/>
    <cellStyle name="Normal 5 3 4 3 2 3" xfId="5237" xr:uid="{00000000-0005-0000-0000-0000411A0000}"/>
    <cellStyle name="Normal 5 3 4 3 2 3 2" xfId="13687" xr:uid="{7DC8C47A-2C19-40A3-AC76-FCFCB1B59E85}"/>
    <cellStyle name="Normal 5 3 4 3 2 3 3" xfId="22134" xr:uid="{34D65123-EB55-43F2-B509-1466BAA80A5D}"/>
    <cellStyle name="Normal 5 3 4 3 2 3 4" xfId="30581" xr:uid="{6F955FA9-0D5A-416F-91DE-B860BCDD4F44}"/>
    <cellStyle name="Normal 5 3 4 3 2 4" xfId="9469" xr:uid="{80E369B1-1742-4000-B650-BEEB4556676B}"/>
    <cellStyle name="Normal 5 3 4 3 2 5" xfId="17917" xr:uid="{8CC9F69E-7941-4FC8-85E4-14A49F0144D3}"/>
    <cellStyle name="Normal 5 3 4 3 2 6" xfId="26364" xr:uid="{707B35B8-1D1E-40D0-BF7F-11474C9C73C8}"/>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C5C33483-5BB4-454B-A179-A3E5DC3FD387}"/>
    <cellStyle name="Normal 5 3 4 3 3 2 2 3" xfId="24692" xr:uid="{9932368A-2271-4B0C-84E5-0C5524429C1E}"/>
    <cellStyle name="Normal 5 3 4 3 3 2 2 4" xfId="33139" xr:uid="{3BD512A3-850B-4462-B8C0-821535D48908}"/>
    <cellStyle name="Normal 5 3 4 3 3 2 3" xfId="12027" xr:uid="{156577FB-B90D-4BC2-9014-D478734E75BC}"/>
    <cellStyle name="Normal 5 3 4 3 3 2 4" xfId="20475" xr:uid="{08E148EA-5669-4DAD-88F9-382F25C38915}"/>
    <cellStyle name="Normal 5 3 4 3 3 2 5" xfId="28922" xr:uid="{BC078781-9CC5-4642-9ED3-D2C87A5BB523}"/>
    <cellStyle name="Normal 5 3 4 3 3 3" xfId="5650" xr:uid="{00000000-0005-0000-0000-0000451A0000}"/>
    <cellStyle name="Normal 5 3 4 3 3 3 2" xfId="14100" xr:uid="{48426B6A-D21E-4B40-9885-57E38898EDD8}"/>
    <cellStyle name="Normal 5 3 4 3 3 3 3" xfId="22547" xr:uid="{4483E596-273B-41D8-B557-252A89C42CD8}"/>
    <cellStyle name="Normal 5 3 4 3 3 3 4" xfId="30994" xr:uid="{CD286C3A-E33F-4691-96F1-914B8CB17E09}"/>
    <cellStyle name="Normal 5 3 4 3 3 4" xfId="9882" xr:uid="{58121931-F406-49AF-9EA3-7AC17B4B809A}"/>
    <cellStyle name="Normal 5 3 4 3 3 5" xfId="18330" xr:uid="{4BE629D7-9A16-4F14-907D-694A466561AD}"/>
    <cellStyle name="Normal 5 3 4 3 3 6" xfId="26777" xr:uid="{06FF763B-0C6F-435C-ADE0-DEA01F1B9662}"/>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8F81B9F6-24F0-40CE-BE8B-674A965FCB65}"/>
    <cellStyle name="Normal 5 3 4 3 4 2 2 3" xfId="25105" xr:uid="{BC425B2B-344E-42BD-A851-A94FD958247B}"/>
    <cellStyle name="Normal 5 3 4 3 4 2 2 4" xfId="33552" xr:uid="{3EB477F0-7122-4974-92F9-A6EF57403BC8}"/>
    <cellStyle name="Normal 5 3 4 3 4 2 3" xfId="12440" xr:uid="{C11E99CC-288F-4F64-BFE0-B679046F3642}"/>
    <cellStyle name="Normal 5 3 4 3 4 2 4" xfId="20888" xr:uid="{AF85606C-0931-4034-B5EE-530AC1FAD28F}"/>
    <cellStyle name="Normal 5 3 4 3 4 2 5" xfId="29335" xr:uid="{A122DAC6-3A69-4C79-8369-2EE9E222DA9C}"/>
    <cellStyle name="Normal 5 3 4 3 4 3" xfId="6063" xr:uid="{00000000-0005-0000-0000-0000491A0000}"/>
    <cellStyle name="Normal 5 3 4 3 4 3 2" xfId="14513" xr:uid="{32CD83D5-BA95-42EF-8471-31C93E5C4111}"/>
    <cellStyle name="Normal 5 3 4 3 4 3 3" xfId="22960" xr:uid="{035B0283-1F54-4970-82A0-A33CF8794FEA}"/>
    <cellStyle name="Normal 5 3 4 3 4 3 4" xfId="31407" xr:uid="{9EAD2135-0BB5-40BB-9FE9-A962C6AD8D4E}"/>
    <cellStyle name="Normal 5 3 4 3 4 4" xfId="10295" xr:uid="{3285D6C6-9E3B-4E63-B37C-3F9E5B64A00B}"/>
    <cellStyle name="Normal 5 3 4 3 4 5" xfId="18743" xr:uid="{962147B0-F9A0-4B39-A3CD-52F03AA159F1}"/>
    <cellStyle name="Normal 5 3 4 3 4 6" xfId="27190" xr:uid="{7C44A4A1-C98A-4ED1-AECF-3CF51360BAE8}"/>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4E483063-E4D0-46AC-8F58-A1008BAB1A7F}"/>
    <cellStyle name="Normal 5 3 4 3 5 2 2 3" xfId="25518" xr:uid="{50988121-39B8-4F22-97F6-43B6184B50F2}"/>
    <cellStyle name="Normal 5 3 4 3 5 2 2 4" xfId="33965" xr:uid="{395C6584-6EC5-47A9-944B-D786BAD2E998}"/>
    <cellStyle name="Normal 5 3 4 3 5 2 3" xfId="12853" xr:uid="{F3983C9F-0B9D-4665-B42C-E9B1DBE9150F}"/>
    <cellStyle name="Normal 5 3 4 3 5 2 4" xfId="21301" xr:uid="{625480CE-1413-4637-BB2B-C8D327DE6E63}"/>
    <cellStyle name="Normal 5 3 4 3 5 2 5" xfId="29748" xr:uid="{CEF5AA27-5FDA-4F52-B9AC-39C6200E714A}"/>
    <cellStyle name="Normal 5 3 4 3 5 3" xfId="6476" xr:uid="{00000000-0005-0000-0000-00004D1A0000}"/>
    <cellStyle name="Normal 5 3 4 3 5 3 2" xfId="14926" xr:uid="{54A3F0DB-83B5-47AD-861D-D4CE92990837}"/>
    <cellStyle name="Normal 5 3 4 3 5 3 3" xfId="23373" xr:uid="{704BCC5F-271E-44D6-A197-DADE9B0881B5}"/>
    <cellStyle name="Normal 5 3 4 3 5 3 4" xfId="31820" xr:uid="{16F3DCC1-7395-46B5-B1F9-7307A65E62D7}"/>
    <cellStyle name="Normal 5 3 4 3 5 4" xfId="10708" xr:uid="{3421662C-481B-4636-AFAC-A8A109686731}"/>
    <cellStyle name="Normal 5 3 4 3 5 5" xfId="19156" xr:uid="{17235EAB-5070-4CE8-B9C1-C4D3716B08B0}"/>
    <cellStyle name="Normal 5 3 4 3 5 6" xfId="27603" xr:uid="{A36AF2D7-34C5-49E0-9B26-B828DBA37CE8}"/>
    <cellStyle name="Normal 5 3 4 3 6" xfId="2606" xr:uid="{00000000-0005-0000-0000-00004E1A0000}"/>
    <cellStyle name="Normal 5 3 4 3 6 2" xfId="6889" xr:uid="{00000000-0005-0000-0000-00004F1A0000}"/>
    <cellStyle name="Normal 5 3 4 3 6 2 2" xfId="15339" xr:uid="{F09C92C2-B3AC-4146-953E-9BE3DB6E7753}"/>
    <cellStyle name="Normal 5 3 4 3 6 2 3" xfId="23786" xr:uid="{6F5812F7-12DB-4F54-BAEB-6DF1C0E1AC4C}"/>
    <cellStyle name="Normal 5 3 4 3 6 2 4" xfId="32233" xr:uid="{5D728276-1927-454C-8335-E13BFE7B32CF}"/>
    <cellStyle name="Normal 5 3 4 3 6 3" xfId="11121" xr:uid="{4C43391C-CCCA-440F-A661-E47F854C7E61}"/>
    <cellStyle name="Normal 5 3 4 3 6 4" xfId="19569" xr:uid="{18180310-AE66-4050-9B44-14F2D573E001}"/>
    <cellStyle name="Normal 5 3 4 3 6 5" xfId="28016" xr:uid="{1A887096-5021-4F2B-98E1-77D51FC93F49}"/>
    <cellStyle name="Normal 5 3 4 3 7" xfId="4824" xr:uid="{00000000-0005-0000-0000-0000501A0000}"/>
    <cellStyle name="Normal 5 3 4 3 7 2" xfId="13274" xr:uid="{DDD59E46-5636-4BC0-B7E1-07A1546D1376}"/>
    <cellStyle name="Normal 5 3 4 3 7 3" xfId="21721" xr:uid="{92264BD0-6817-4B27-A7B4-8868CD860BD4}"/>
    <cellStyle name="Normal 5 3 4 3 7 4" xfId="30168" xr:uid="{7B9190A2-7655-4D9C-B025-D55E7521BDBF}"/>
    <cellStyle name="Normal 5 3 4 3 8" xfId="9056" xr:uid="{0B018405-05FF-4444-8C76-1407DD2AE561}"/>
    <cellStyle name="Normal 5 3 4 3 9" xfId="17504" xr:uid="{AEE99A4D-44ED-41DD-82F7-74EF1489DA38}"/>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E46B04E5-59D6-45CA-8626-466FE0636F49}"/>
    <cellStyle name="Normal 5 3 4 4 2 2 3" xfId="24276" xr:uid="{20FCC258-6165-425F-A8BE-CD79C7127460}"/>
    <cellStyle name="Normal 5 3 4 4 2 2 4" xfId="32723" xr:uid="{30215DCA-61BD-42CA-99F0-DADD0C28641F}"/>
    <cellStyle name="Normal 5 3 4 4 2 3" xfId="11611" xr:uid="{00E195E8-9EE5-46BA-B260-56670878F53C}"/>
    <cellStyle name="Normal 5 3 4 4 2 4" xfId="20059" xr:uid="{84319368-7559-4FD5-B384-CCB8E7BF9FD2}"/>
    <cellStyle name="Normal 5 3 4 4 2 5" xfId="28506" xr:uid="{89E34C6B-70C7-4A0E-A49A-F3315ED31393}"/>
    <cellStyle name="Normal 5 3 4 4 3" xfId="5234" xr:uid="{00000000-0005-0000-0000-0000541A0000}"/>
    <cellStyle name="Normal 5 3 4 4 3 2" xfId="13684" xr:uid="{B24A379F-D755-484A-ABF2-4E96348252C8}"/>
    <cellStyle name="Normal 5 3 4 4 3 3" xfId="22131" xr:uid="{FC378C28-4B1C-4239-A04A-B2F3ED5782A1}"/>
    <cellStyle name="Normal 5 3 4 4 3 4" xfId="30578" xr:uid="{3D93B6BB-2B9D-4C2D-AF51-8D9436F5440D}"/>
    <cellStyle name="Normal 5 3 4 4 4" xfId="9466" xr:uid="{2B382078-1BCB-4151-A7A0-C7D54AA1F4F3}"/>
    <cellStyle name="Normal 5 3 4 4 5" xfId="17914" xr:uid="{496E3482-C18B-4968-80C9-B23BE10CA640}"/>
    <cellStyle name="Normal 5 3 4 4 6" xfId="26361" xr:uid="{76F434DD-D422-4F9A-BA23-6BF952686FAE}"/>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B8A01585-DB71-4A87-99BF-2207C2C96D40}"/>
    <cellStyle name="Normal 5 3 4 5 2 2 3" xfId="24689" xr:uid="{5A691649-10EF-4620-AF2F-BDA078A0D890}"/>
    <cellStyle name="Normal 5 3 4 5 2 2 4" xfId="33136" xr:uid="{581E9545-C056-4BAC-9867-29A5E7587A31}"/>
    <cellStyle name="Normal 5 3 4 5 2 3" xfId="12024" xr:uid="{6B002AA7-C902-4322-909C-92319606F08D}"/>
    <cellStyle name="Normal 5 3 4 5 2 4" xfId="20472" xr:uid="{BCB2E352-56D9-43F3-9C3E-31533F3D6B1E}"/>
    <cellStyle name="Normal 5 3 4 5 2 5" xfId="28919" xr:uid="{BF1A8B34-F3DB-4AB5-946D-B21AF99AFE29}"/>
    <cellStyle name="Normal 5 3 4 5 3" xfId="5647" xr:uid="{00000000-0005-0000-0000-0000581A0000}"/>
    <cellStyle name="Normal 5 3 4 5 3 2" xfId="14097" xr:uid="{2EC861B6-4563-434D-B014-40EF71900143}"/>
    <cellStyle name="Normal 5 3 4 5 3 3" xfId="22544" xr:uid="{6EA0C9A0-60B4-4998-98A3-409BC37E0C5A}"/>
    <cellStyle name="Normal 5 3 4 5 3 4" xfId="30991" xr:uid="{B833539C-AAB4-4BBF-AA75-284803067B81}"/>
    <cellStyle name="Normal 5 3 4 5 4" xfId="9879" xr:uid="{30E40DF2-8DC1-4359-993B-8171B7C44110}"/>
    <cellStyle name="Normal 5 3 4 5 5" xfId="18327" xr:uid="{5BAA244B-268D-416B-8FAC-58151D00589F}"/>
    <cellStyle name="Normal 5 3 4 5 6" xfId="26774" xr:uid="{FC737BE5-D005-4384-9433-5E0830338BD4}"/>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1947FE74-3CB0-467D-9E10-6291AC2AC4F5}"/>
    <cellStyle name="Normal 5 3 4 6 2 2 3" xfId="25102" xr:uid="{1095FE11-87B8-4800-B1D2-71E30536DF81}"/>
    <cellStyle name="Normal 5 3 4 6 2 2 4" xfId="33549" xr:uid="{DAECA179-8DEF-4B72-A7E0-2FFCE88907C5}"/>
    <cellStyle name="Normal 5 3 4 6 2 3" xfId="12437" xr:uid="{CFECF428-6EA3-46C3-A335-17F3BD4CACC1}"/>
    <cellStyle name="Normal 5 3 4 6 2 4" xfId="20885" xr:uid="{41F379FF-BC0B-426A-97A8-AB1073C2BF54}"/>
    <cellStyle name="Normal 5 3 4 6 2 5" xfId="29332" xr:uid="{5661F85E-61A9-43B7-80C2-23A6AD6BE4B0}"/>
    <cellStyle name="Normal 5 3 4 6 3" xfId="6060" xr:uid="{00000000-0005-0000-0000-00005C1A0000}"/>
    <cellStyle name="Normal 5 3 4 6 3 2" xfId="14510" xr:uid="{7AEF8FAD-471F-41BD-82BC-DA1E287C70B2}"/>
    <cellStyle name="Normal 5 3 4 6 3 3" xfId="22957" xr:uid="{2DFCC809-0C39-4343-917D-324D0858E8A4}"/>
    <cellStyle name="Normal 5 3 4 6 3 4" xfId="31404" xr:uid="{AB6669E5-085B-457A-A5D1-BC471D38DADB}"/>
    <cellStyle name="Normal 5 3 4 6 4" xfId="10292" xr:uid="{EBDAC98F-97C5-4369-91A7-8D58E1B76ECD}"/>
    <cellStyle name="Normal 5 3 4 6 5" xfId="18740" xr:uid="{C123FD3C-AA21-4647-97FB-C1F4E482F8AA}"/>
    <cellStyle name="Normal 5 3 4 6 6" xfId="27187" xr:uid="{9446C565-2217-4E22-BC54-ED78501AB1E2}"/>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C19B8392-1CE4-4495-9F31-E72C2C573D13}"/>
    <cellStyle name="Normal 5 3 4 7 2 2 3" xfId="25515" xr:uid="{12B53D93-A3C2-4D42-82E0-E8D541669D33}"/>
    <cellStyle name="Normal 5 3 4 7 2 2 4" xfId="33962" xr:uid="{24E43C18-7ECA-47B0-A752-8FDC93D26849}"/>
    <cellStyle name="Normal 5 3 4 7 2 3" xfId="12850" xr:uid="{C38F66F1-33F4-4CE9-B01F-6208E3AC40BC}"/>
    <cellStyle name="Normal 5 3 4 7 2 4" xfId="21298" xr:uid="{3477CE51-DB97-4023-85FD-E7C2AC3CAEDC}"/>
    <cellStyle name="Normal 5 3 4 7 2 5" xfId="29745" xr:uid="{443C2A11-CBFD-4A49-A273-DBDF2A42DAA0}"/>
    <cellStyle name="Normal 5 3 4 7 3" xfId="6473" xr:uid="{00000000-0005-0000-0000-0000601A0000}"/>
    <cellStyle name="Normal 5 3 4 7 3 2" xfId="14923" xr:uid="{45B37F06-2404-45C1-9A1E-F9D9AE98C093}"/>
    <cellStyle name="Normal 5 3 4 7 3 3" xfId="23370" xr:uid="{5BE865A6-96F8-4E66-8E33-EC82EEE3FF81}"/>
    <cellStyle name="Normal 5 3 4 7 3 4" xfId="31817" xr:uid="{2776CFC5-8BDC-4ADC-B070-70C5C24856B3}"/>
    <cellStyle name="Normal 5 3 4 7 4" xfId="10705" xr:uid="{0507FD70-9EE9-4F90-8B64-EDD24729910F}"/>
    <cellStyle name="Normal 5 3 4 7 5" xfId="19153" xr:uid="{F3E56302-86BD-4D56-9126-D5F9F3E289E8}"/>
    <cellStyle name="Normal 5 3 4 7 6" xfId="27600" xr:uid="{0DFDD9A9-0BFC-4562-896E-2DA53C667737}"/>
    <cellStyle name="Normal 5 3 4 8" xfId="2603" xr:uid="{00000000-0005-0000-0000-0000611A0000}"/>
    <cellStyle name="Normal 5 3 4 8 2" xfId="6886" xr:uid="{00000000-0005-0000-0000-0000621A0000}"/>
    <cellStyle name="Normal 5 3 4 8 2 2" xfId="15336" xr:uid="{53AE08CD-48B9-484C-9023-016752351971}"/>
    <cellStyle name="Normal 5 3 4 8 2 3" xfId="23783" xr:uid="{56583E39-5ACF-46FE-9A71-E8C4FB0DB49E}"/>
    <cellStyle name="Normal 5 3 4 8 2 4" xfId="32230" xr:uid="{1B4F5555-79C8-450F-A6C2-74D148F509DA}"/>
    <cellStyle name="Normal 5 3 4 8 3" xfId="11118" xr:uid="{FD898B80-F69B-46F1-890B-1D836A756F12}"/>
    <cellStyle name="Normal 5 3 4 8 4" xfId="19566" xr:uid="{F5E2AD94-7B78-40E4-A964-347C859EB48D}"/>
    <cellStyle name="Normal 5 3 4 8 5" xfId="28013" xr:uid="{A830984E-4BB0-47B6-9076-10C504D0BFBC}"/>
    <cellStyle name="Normal 5 3 4 9" xfId="4821" xr:uid="{00000000-0005-0000-0000-0000631A0000}"/>
    <cellStyle name="Normal 5 3 4 9 2" xfId="13271" xr:uid="{411D52B3-0CCE-4B49-B393-20F7A197545D}"/>
    <cellStyle name="Normal 5 3 4 9 3" xfId="21718" xr:uid="{2773D7E3-B16F-4785-A818-005AFD36D77D}"/>
    <cellStyle name="Normal 5 3 4 9 4" xfId="30165" xr:uid="{773AE909-EF7C-4B89-9ADD-A3A3933EB3FD}"/>
    <cellStyle name="Normal 5 3 5" xfId="453" xr:uid="{00000000-0005-0000-0000-0000641A0000}"/>
    <cellStyle name="Normal 5 3 5 10" xfId="17505" xr:uid="{49ACAD0D-CB6D-4EA6-902E-54060F6FF206}"/>
    <cellStyle name="Normal 5 3 5 11" xfId="25952" xr:uid="{0455A737-CAAE-468C-B332-A7C16D6E038E}"/>
    <cellStyle name="Normal 5 3 5 2" xfId="454" xr:uid="{00000000-0005-0000-0000-0000651A0000}"/>
    <cellStyle name="Normal 5 3 5 2 10" xfId="25953" xr:uid="{A1484C9B-788D-4081-BBEB-E45AF2D203A8}"/>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EEAC50FD-34D4-402A-B094-41E59555359C}"/>
    <cellStyle name="Normal 5 3 5 2 2 2 2 3" xfId="24281" xr:uid="{DE601B97-1BBD-415D-9090-9B9813711ECA}"/>
    <cellStyle name="Normal 5 3 5 2 2 2 2 4" xfId="32728" xr:uid="{2244C2D1-25D1-4A96-91A7-345AC631CCE9}"/>
    <cellStyle name="Normal 5 3 5 2 2 2 3" xfId="11616" xr:uid="{879C6BBF-3AFC-4E3A-A502-50BA56B4EE22}"/>
    <cellStyle name="Normal 5 3 5 2 2 2 4" xfId="20064" xr:uid="{5821501D-7CC9-48E9-9166-DF2FE1D9793B}"/>
    <cellStyle name="Normal 5 3 5 2 2 2 5" xfId="28511" xr:uid="{457B4B65-B414-4E56-AD1B-0B9A31D6E2EC}"/>
    <cellStyle name="Normal 5 3 5 2 2 3" xfId="5239" xr:uid="{00000000-0005-0000-0000-0000691A0000}"/>
    <cellStyle name="Normal 5 3 5 2 2 3 2" xfId="13689" xr:uid="{D68E92ED-98B7-4D4F-AF88-8BB8F65E8393}"/>
    <cellStyle name="Normal 5 3 5 2 2 3 3" xfId="22136" xr:uid="{8298077E-B539-4459-B479-EBA0B52FFE3E}"/>
    <cellStyle name="Normal 5 3 5 2 2 3 4" xfId="30583" xr:uid="{222FB3F5-EAE5-4C57-8168-8222ED1F7A76}"/>
    <cellStyle name="Normal 5 3 5 2 2 4" xfId="9471" xr:uid="{F4F041E9-A965-4DA2-9A56-A24AA25CE531}"/>
    <cellStyle name="Normal 5 3 5 2 2 5" xfId="17919" xr:uid="{F563AA63-F57E-4D62-892E-839B1A9BC245}"/>
    <cellStyle name="Normal 5 3 5 2 2 6" xfId="26366" xr:uid="{625A4119-0856-42DB-BFFF-4376D3338DBB}"/>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406FBB3C-80F8-4149-9DA9-A5445AE51797}"/>
    <cellStyle name="Normal 5 3 5 2 3 2 2 3" xfId="24694" xr:uid="{667A956E-BD23-4FED-B85F-288B4988C498}"/>
    <cellStyle name="Normal 5 3 5 2 3 2 2 4" xfId="33141" xr:uid="{7BB9C3F4-DD51-4A0F-BB32-648EBA8648B4}"/>
    <cellStyle name="Normal 5 3 5 2 3 2 3" xfId="12029" xr:uid="{DACE778A-D411-48A4-A8CD-44DB57C30872}"/>
    <cellStyle name="Normal 5 3 5 2 3 2 4" xfId="20477" xr:uid="{7BAD85FE-61A3-4330-9698-F99625B2793C}"/>
    <cellStyle name="Normal 5 3 5 2 3 2 5" xfId="28924" xr:uid="{71B5A5AE-55AA-4094-B742-C246BF8B86C4}"/>
    <cellStyle name="Normal 5 3 5 2 3 3" xfId="5652" xr:uid="{00000000-0005-0000-0000-00006D1A0000}"/>
    <cellStyle name="Normal 5 3 5 2 3 3 2" xfId="14102" xr:uid="{5880F8F2-1FB5-4514-8BB1-6C83C58C07B4}"/>
    <cellStyle name="Normal 5 3 5 2 3 3 3" xfId="22549" xr:uid="{C7301F5D-D397-40B9-A137-AC3DE1273FD8}"/>
    <cellStyle name="Normal 5 3 5 2 3 3 4" xfId="30996" xr:uid="{232CEDB0-B66F-4F96-8C1F-5DC5AB646F3F}"/>
    <cellStyle name="Normal 5 3 5 2 3 4" xfId="9884" xr:uid="{59EFB343-9927-4385-90D5-1CDD47FFDCF6}"/>
    <cellStyle name="Normal 5 3 5 2 3 5" xfId="18332" xr:uid="{0669C7FE-6C26-4D66-827B-DA823643161A}"/>
    <cellStyle name="Normal 5 3 5 2 3 6" xfId="26779" xr:uid="{6BF0B751-C435-4DEB-8AC9-49DD9D60FF98}"/>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F33FD1E0-AE94-48B2-9248-84B2BF2FC887}"/>
    <cellStyle name="Normal 5 3 5 2 4 2 2 3" xfId="25107" xr:uid="{2FB97928-7E09-42EF-8AC0-1523C4A738CA}"/>
    <cellStyle name="Normal 5 3 5 2 4 2 2 4" xfId="33554" xr:uid="{173CE7AB-B040-44F3-8AD1-1120E1D0D6FF}"/>
    <cellStyle name="Normal 5 3 5 2 4 2 3" xfId="12442" xr:uid="{F640898A-C52F-4486-8C51-A0D38D2BC69E}"/>
    <cellStyle name="Normal 5 3 5 2 4 2 4" xfId="20890" xr:uid="{D0397A10-C1CD-4F39-A666-5F7E4EE7C3EF}"/>
    <cellStyle name="Normal 5 3 5 2 4 2 5" xfId="29337" xr:uid="{E06EEF05-D751-4CBC-947D-A82C94A34567}"/>
    <cellStyle name="Normal 5 3 5 2 4 3" xfId="6065" xr:uid="{00000000-0005-0000-0000-0000711A0000}"/>
    <cellStyle name="Normal 5 3 5 2 4 3 2" xfId="14515" xr:uid="{664DC965-8FE3-4B84-B1F8-54735587669C}"/>
    <cellStyle name="Normal 5 3 5 2 4 3 3" xfId="22962" xr:uid="{AED219DF-18E7-4D15-AAC1-14F013975D64}"/>
    <cellStyle name="Normal 5 3 5 2 4 3 4" xfId="31409" xr:uid="{E36B297A-BC8D-4664-B1DE-97C44DC823F5}"/>
    <cellStyle name="Normal 5 3 5 2 4 4" xfId="10297" xr:uid="{E560A3D8-C9D7-47D3-96CE-91BF2A010AC7}"/>
    <cellStyle name="Normal 5 3 5 2 4 5" xfId="18745" xr:uid="{DE0113E4-5ABE-4CD5-8B70-72FE898B492B}"/>
    <cellStyle name="Normal 5 3 5 2 4 6" xfId="27192" xr:uid="{726076E5-0DF0-4354-AA97-5B1138995554}"/>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B1F13F62-7283-42A5-87CE-1C6A83E3A413}"/>
    <cellStyle name="Normal 5 3 5 2 5 2 2 3" xfId="25520" xr:uid="{E7FF5AF6-A347-4259-9776-BDB2192C739F}"/>
    <cellStyle name="Normal 5 3 5 2 5 2 2 4" xfId="33967" xr:uid="{7EAC70D7-676E-41B6-B8A1-BE39882A869B}"/>
    <cellStyle name="Normal 5 3 5 2 5 2 3" xfId="12855" xr:uid="{4A8386BC-BF4B-468B-ACD4-F2686917C87F}"/>
    <cellStyle name="Normal 5 3 5 2 5 2 4" xfId="21303" xr:uid="{BAADEACD-5DA0-48E8-9AA3-9BDECCB6B777}"/>
    <cellStyle name="Normal 5 3 5 2 5 2 5" xfId="29750" xr:uid="{184AC37D-B6C2-4767-80DB-D08903ACC4D4}"/>
    <cellStyle name="Normal 5 3 5 2 5 3" xfId="6478" xr:uid="{00000000-0005-0000-0000-0000751A0000}"/>
    <cellStyle name="Normal 5 3 5 2 5 3 2" xfId="14928" xr:uid="{A31E154C-81DE-4B8D-A1D2-774F27CEC343}"/>
    <cellStyle name="Normal 5 3 5 2 5 3 3" xfId="23375" xr:uid="{014BBB7B-2539-4ED3-824C-35DAC0AECFE2}"/>
    <cellStyle name="Normal 5 3 5 2 5 3 4" xfId="31822" xr:uid="{D63C77D5-A873-4775-85A1-D6D3B71C9664}"/>
    <cellStyle name="Normal 5 3 5 2 5 4" xfId="10710" xr:uid="{B708AE5C-7715-414E-897A-C01D5917D679}"/>
    <cellStyle name="Normal 5 3 5 2 5 5" xfId="19158" xr:uid="{76E5B6B7-7083-4691-B5D6-03FE7574E19A}"/>
    <cellStyle name="Normal 5 3 5 2 5 6" xfId="27605" xr:uid="{077FC4FC-33E5-4026-B0A8-2AF83D81D033}"/>
    <cellStyle name="Normal 5 3 5 2 6" xfId="2608" xr:uid="{00000000-0005-0000-0000-0000761A0000}"/>
    <cellStyle name="Normal 5 3 5 2 6 2" xfId="6891" xr:uid="{00000000-0005-0000-0000-0000771A0000}"/>
    <cellStyle name="Normal 5 3 5 2 6 2 2" xfId="15341" xr:uid="{91173C8B-ACF7-405D-9AAE-8101CF57858E}"/>
    <cellStyle name="Normal 5 3 5 2 6 2 3" xfId="23788" xr:uid="{22FCFE14-3774-4033-9557-0CEBC360C59B}"/>
    <cellStyle name="Normal 5 3 5 2 6 2 4" xfId="32235" xr:uid="{FF26AD99-9E91-4261-8A98-EC62DC1B33B5}"/>
    <cellStyle name="Normal 5 3 5 2 6 3" xfId="11123" xr:uid="{F3BF9DEA-158D-47A2-B13C-F304857582C1}"/>
    <cellStyle name="Normal 5 3 5 2 6 4" xfId="19571" xr:uid="{66F1E155-1C3D-44E0-AC16-304608C43CB8}"/>
    <cellStyle name="Normal 5 3 5 2 6 5" xfId="28018" xr:uid="{80F5CFB0-0319-41FC-9E58-12327C357DFE}"/>
    <cellStyle name="Normal 5 3 5 2 7" xfId="4826" xr:uid="{00000000-0005-0000-0000-0000781A0000}"/>
    <cellStyle name="Normal 5 3 5 2 7 2" xfId="13276" xr:uid="{3F0E6D82-61AF-491D-A6E0-EA64E0AB0E43}"/>
    <cellStyle name="Normal 5 3 5 2 7 3" xfId="21723" xr:uid="{4AA17717-F8C3-4810-91F0-78B2DDA85DB7}"/>
    <cellStyle name="Normal 5 3 5 2 7 4" xfId="30170" xr:uid="{B2916E56-CA87-49D9-88EF-511D94EC4538}"/>
    <cellStyle name="Normal 5 3 5 2 8" xfId="9058" xr:uid="{DB99BA25-55EB-44BE-877B-0E3B365008D4}"/>
    <cellStyle name="Normal 5 3 5 2 9" xfId="17506" xr:uid="{31FBEF3A-3E29-469F-ACED-0007C4BF94D6}"/>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66634ED5-36B0-4A57-BC77-F22E902995FD}"/>
    <cellStyle name="Normal 5 3 5 3 2 2 3" xfId="24280" xr:uid="{CCE4F9A7-8B2E-4537-8849-7EA56C544576}"/>
    <cellStyle name="Normal 5 3 5 3 2 2 4" xfId="32727" xr:uid="{AA334D50-1486-4C8C-80B1-01B1FCD26548}"/>
    <cellStyle name="Normal 5 3 5 3 2 3" xfId="11615" xr:uid="{83B6FBE0-3B50-4234-B254-13241854C25C}"/>
    <cellStyle name="Normal 5 3 5 3 2 4" xfId="20063" xr:uid="{8737784C-E3F0-472A-81E7-B36EA82DA702}"/>
    <cellStyle name="Normal 5 3 5 3 2 5" xfId="28510" xr:uid="{199EA4BF-439C-4392-9476-39F7294115B0}"/>
    <cellStyle name="Normal 5 3 5 3 3" xfId="5238" xr:uid="{00000000-0005-0000-0000-00007C1A0000}"/>
    <cellStyle name="Normal 5 3 5 3 3 2" xfId="13688" xr:uid="{EF434E75-12A3-4950-8A16-B4DA47C33894}"/>
    <cellStyle name="Normal 5 3 5 3 3 3" xfId="22135" xr:uid="{0320BC0E-C66C-4BE3-8589-6188953E0FEB}"/>
    <cellStyle name="Normal 5 3 5 3 3 4" xfId="30582" xr:uid="{50EEDF0C-A463-4AAB-9D25-087755E304BF}"/>
    <cellStyle name="Normal 5 3 5 3 4" xfId="9470" xr:uid="{2EC9A1C1-3386-4EB2-9840-101746E622CE}"/>
    <cellStyle name="Normal 5 3 5 3 5" xfId="17918" xr:uid="{44567F23-AE84-4C8B-BDD2-1F6256FE72ED}"/>
    <cellStyle name="Normal 5 3 5 3 6" xfId="26365" xr:uid="{9B76E910-32C7-4D6A-9CF8-7CCDC40348BF}"/>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A1435BFD-83D2-4A1F-ABBD-0BB438E1FEB8}"/>
    <cellStyle name="Normal 5 3 5 4 2 2 3" xfId="24693" xr:uid="{FE21FB97-8032-4E5C-BBF1-AEDFA2F6D745}"/>
    <cellStyle name="Normal 5 3 5 4 2 2 4" xfId="33140" xr:uid="{E75BD8E9-CF9D-4E7B-84D0-228A361CECF6}"/>
    <cellStyle name="Normal 5 3 5 4 2 3" xfId="12028" xr:uid="{BA7CC66C-F221-4889-AB63-472E3EB4FB9A}"/>
    <cellStyle name="Normal 5 3 5 4 2 4" xfId="20476" xr:uid="{2403C9B5-E050-4809-80C8-3048F7A07D05}"/>
    <cellStyle name="Normal 5 3 5 4 2 5" xfId="28923" xr:uid="{07BE68CD-188D-4812-A26A-5F8DD761DC80}"/>
    <cellStyle name="Normal 5 3 5 4 3" xfId="5651" xr:uid="{00000000-0005-0000-0000-0000801A0000}"/>
    <cellStyle name="Normal 5 3 5 4 3 2" xfId="14101" xr:uid="{990F3715-F96B-43A5-B706-C1899E909F4B}"/>
    <cellStyle name="Normal 5 3 5 4 3 3" xfId="22548" xr:uid="{4771F9CF-AAA4-45F0-844B-B7E84EDD0E03}"/>
    <cellStyle name="Normal 5 3 5 4 3 4" xfId="30995" xr:uid="{29CCA0FB-89CD-4FDB-A8C3-26AD993BDE11}"/>
    <cellStyle name="Normal 5 3 5 4 4" xfId="9883" xr:uid="{0AA5D834-8DD2-4089-935D-E3495E05D900}"/>
    <cellStyle name="Normal 5 3 5 4 5" xfId="18331" xr:uid="{D5DD32FE-DF05-486C-8752-652D77B14ACC}"/>
    <cellStyle name="Normal 5 3 5 4 6" xfId="26778" xr:uid="{CC69F09F-5F3C-4330-8CEE-55E9BFF0D681}"/>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C441FE38-7A70-4CD8-86B0-EFB1FEA111C4}"/>
    <cellStyle name="Normal 5 3 5 5 2 2 3" xfId="25106" xr:uid="{44E4D9DD-4AA8-47DE-98C5-CD699E5D15D9}"/>
    <cellStyle name="Normal 5 3 5 5 2 2 4" xfId="33553" xr:uid="{3AEC5FC1-B464-4D37-9650-AFAA15909AA4}"/>
    <cellStyle name="Normal 5 3 5 5 2 3" xfId="12441" xr:uid="{6F89FA3D-D2B4-4057-803D-18724BA8AEA2}"/>
    <cellStyle name="Normal 5 3 5 5 2 4" xfId="20889" xr:uid="{50D200EB-6118-40D5-9D9B-E8D97EA9BDF0}"/>
    <cellStyle name="Normal 5 3 5 5 2 5" xfId="29336" xr:uid="{BC006EC9-B4CB-47AF-A08E-3349887A59DC}"/>
    <cellStyle name="Normal 5 3 5 5 3" xfId="6064" xr:uid="{00000000-0005-0000-0000-0000841A0000}"/>
    <cellStyle name="Normal 5 3 5 5 3 2" xfId="14514" xr:uid="{85356FA2-EF8F-4149-A438-8A2EE3568636}"/>
    <cellStyle name="Normal 5 3 5 5 3 3" xfId="22961" xr:uid="{AEDD1E00-5876-40C3-B998-58BCA99F855D}"/>
    <cellStyle name="Normal 5 3 5 5 3 4" xfId="31408" xr:uid="{C6E7D13C-E617-4630-B824-5A8DFBDCA581}"/>
    <cellStyle name="Normal 5 3 5 5 4" xfId="10296" xr:uid="{ADCA76AB-8080-4407-851F-B218C9C6DE15}"/>
    <cellStyle name="Normal 5 3 5 5 5" xfId="18744" xr:uid="{2F44A0D9-1281-41D5-AC31-1B7086D22B67}"/>
    <cellStyle name="Normal 5 3 5 5 6" xfId="27191" xr:uid="{BE618456-0E2D-42E1-ADEF-16E38E5DDA40}"/>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BFC53EFF-736B-469E-AF94-DC7C62A5FB3B}"/>
    <cellStyle name="Normal 5 3 5 6 2 2 3" xfId="25519" xr:uid="{AC560E5C-8172-44BD-BFC7-6EFC33977A83}"/>
    <cellStyle name="Normal 5 3 5 6 2 2 4" xfId="33966" xr:uid="{2F3D1074-5735-4864-8864-3F5FC6313D02}"/>
    <cellStyle name="Normal 5 3 5 6 2 3" xfId="12854" xr:uid="{3C26B4C9-62CE-42D9-8624-FD166362F5A8}"/>
    <cellStyle name="Normal 5 3 5 6 2 4" xfId="21302" xr:uid="{04F9AE5B-389C-451D-9883-F8559A4D10BA}"/>
    <cellStyle name="Normal 5 3 5 6 2 5" xfId="29749" xr:uid="{2D831032-7EC7-4A4A-9F03-4655AE038DF6}"/>
    <cellStyle name="Normal 5 3 5 6 3" xfId="6477" xr:uid="{00000000-0005-0000-0000-0000881A0000}"/>
    <cellStyle name="Normal 5 3 5 6 3 2" xfId="14927" xr:uid="{2F6B9DC2-465D-4B59-81AE-713834540B2F}"/>
    <cellStyle name="Normal 5 3 5 6 3 3" xfId="23374" xr:uid="{53127B73-47E8-44C4-9EEE-2320DD340874}"/>
    <cellStyle name="Normal 5 3 5 6 3 4" xfId="31821" xr:uid="{9F5F72C2-924C-4690-901E-1C188A90FB08}"/>
    <cellStyle name="Normal 5 3 5 6 4" xfId="10709" xr:uid="{BB2B1E77-52C2-4E68-AA77-562A513FDBC7}"/>
    <cellStyle name="Normal 5 3 5 6 5" xfId="19157" xr:uid="{B9DA7F2E-2D9A-4D68-9653-6E2F979C13F7}"/>
    <cellStyle name="Normal 5 3 5 6 6" xfId="27604" xr:uid="{F25912BE-41E0-48DB-AE36-D8A1AFE02206}"/>
    <cellStyle name="Normal 5 3 5 7" xfId="2607" xr:uid="{00000000-0005-0000-0000-0000891A0000}"/>
    <cellStyle name="Normal 5 3 5 7 2" xfId="6890" xr:uid="{00000000-0005-0000-0000-00008A1A0000}"/>
    <cellStyle name="Normal 5 3 5 7 2 2" xfId="15340" xr:uid="{889073D5-6B20-47A6-8F66-9C45A75FAB17}"/>
    <cellStyle name="Normal 5 3 5 7 2 3" xfId="23787" xr:uid="{582EBA5D-9041-4444-8224-C2B9BFAA0769}"/>
    <cellStyle name="Normal 5 3 5 7 2 4" xfId="32234" xr:uid="{1797F097-8D70-4CEB-AF3A-9A0C10CFDBB3}"/>
    <cellStyle name="Normal 5 3 5 7 3" xfId="11122" xr:uid="{2F3EAEE5-7446-4705-8F23-D5BA75F0B10E}"/>
    <cellStyle name="Normal 5 3 5 7 4" xfId="19570" xr:uid="{C97EFC89-B0C8-42EB-A455-C446225B7BD3}"/>
    <cellStyle name="Normal 5 3 5 7 5" xfId="28017" xr:uid="{7D249C54-A3B6-4DD1-87EB-665853CB731D}"/>
    <cellStyle name="Normal 5 3 5 8" xfId="4825" xr:uid="{00000000-0005-0000-0000-00008B1A0000}"/>
    <cellStyle name="Normal 5 3 5 8 2" xfId="13275" xr:uid="{06BD2D04-1284-41F2-8EE4-BFC090ADEB98}"/>
    <cellStyle name="Normal 5 3 5 8 3" xfId="21722" xr:uid="{0636688E-42F7-4C06-971C-B1B1F21AE0E9}"/>
    <cellStyle name="Normal 5 3 5 8 4" xfId="30169" xr:uid="{9789D378-404F-4994-A040-724B1CEC40B5}"/>
    <cellStyle name="Normal 5 3 5 9" xfId="9057" xr:uid="{7BA82002-CB10-427E-B8EC-79FF2EE2C969}"/>
    <cellStyle name="Normal 5 3 6" xfId="455" xr:uid="{00000000-0005-0000-0000-00008C1A0000}"/>
    <cellStyle name="Normal 5 3 6 10" xfId="25954" xr:uid="{F6BE57B9-1DC4-4E69-86AC-F036302BACD9}"/>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EDA3E1BD-A112-4D5E-89B4-A87D53B4085E}"/>
    <cellStyle name="Normal 5 3 6 2 2 2 3" xfId="24282" xr:uid="{FA1B668F-BD0B-46B3-8F5C-85924BB6B62D}"/>
    <cellStyle name="Normal 5 3 6 2 2 2 4" xfId="32729" xr:uid="{893CBCB8-1947-433A-8587-3F49734A0550}"/>
    <cellStyle name="Normal 5 3 6 2 2 3" xfId="11617" xr:uid="{C8FDC37D-1263-419A-BFC2-6A4FE707D924}"/>
    <cellStyle name="Normal 5 3 6 2 2 4" xfId="20065" xr:uid="{1F0B165B-7401-4908-878A-87855F6A34F4}"/>
    <cellStyle name="Normal 5 3 6 2 2 5" xfId="28512" xr:uid="{322DE1BF-70B4-4B5F-995C-35C27EEE1C74}"/>
    <cellStyle name="Normal 5 3 6 2 3" xfId="5240" xr:uid="{00000000-0005-0000-0000-0000901A0000}"/>
    <cellStyle name="Normal 5 3 6 2 3 2" xfId="13690" xr:uid="{F308B077-17D6-4662-AD3E-830EE58F4604}"/>
    <cellStyle name="Normal 5 3 6 2 3 3" xfId="22137" xr:uid="{D47134C8-18EA-4E4B-ADDD-54CE1D5FA767}"/>
    <cellStyle name="Normal 5 3 6 2 3 4" xfId="30584" xr:uid="{F4009C62-39B5-4BC0-A872-725879B07621}"/>
    <cellStyle name="Normal 5 3 6 2 4" xfId="9472" xr:uid="{2FDBECBC-73BB-4914-8D43-D9C3BA5BEFBD}"/>
    <cellStyle name="Normal 5 3 6 2 5" xfId="17920" xr:uid="{06B80DB7-D6FD-4105-A535-3B1DEE2C5106}"/>
    <cellStyle name="Normal 5 3 6 2 6" xfId="26367" xr:uid="{222A44BF-65ED-4D9F-8D96-829B06F6A733}"/>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2046A950-6B5A-42E3-ADF1-6ED8560AD377}"/>
    <cellStyle name="Normal 5 3 6 3 2 2 3" xfId="24695" xr:uid="{ECD871BF-E95A-43F4-9DE1-3C34942698E1}"/>
    <cellStyle name="Normal 5 3 6 3 2 2 4" xfId="33142" xr:uid="{71B31D04-A691-416E-B6A5-761C7820FB79}"/>
    <cellStyle name="Normal 5 3 6 3 2 3" xfId="12030" xr:uid="{00BFE186-64AF-4656-875E-23DA0138B4F1}"/>
    <cellStyle name="Normal 5 3 6 3 2 4" xfId="20478" xr:uid="{05244EFB-1E0E-4816-A999-FFCC9A5E8215}"/>
    <cellStyle name="Normal 5 3 6 3 2 5" xfId="28925" xr:uid="{ABA3C778-0CFF-4F8F-83F9-8207B2C37890}"/>
    <cellStyle name="Normal 5 3 6 3 3" xfId="5653" xr:uid="{00000000-0005-0000-0000-0000941A0000}"/>
    <cellStyle name="Normal 5 3 6 3 3 2" xfId="14103" xr:uid="{763C229B-240B-4E8D-BD72-C0C6CCDAFB7E}"/>
    <cellStyle name="Normal 5 3 6 3 3 3" xfId="22550" xr:uid="{4F86CDA2-E386-4AB1-BA1D-C52BB0778BAF}"/>
    <cellStyle name="Normal 5 3 6 3 3 4" xfId="30997" xr:uid="{191C465C-D9D8-4C27-B6D4-4697612F839C}"/>
    <cellStyle name="Normal 5 3 6 3 4" xfId="9885" xr:uid="{4D3B06C5-D464-4A8B-A282-C94848B7E742}"/>
    <cellStyle name="Normal 5 3 6 3 5" xfId="18333" xr:uid="{E7C03823-7CB8-4A0A-8002-DE1537A246C1}"/>
    <cellStyle name="Normal 5 3 6 3 6" xfId="26780" xr:uid="{43CFA2C0-AC2C-4C26-82D8-23E325087C7D}"/>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7340AE69-7135-4530-BC55-B43CB38592E3}"/>
    <cellStyle name="Normal 5 3 6 4 2 2 3" xfId="25108" xr:uid="{56A881A9-B9D2-4275-8A4C-CD0FA72EFB1F}"/>
    <cellStyle name="Normal 5 3 6 4 2 2 4" xfId="33555" xr:uid="{9C4CAAC0-5D92-4EBA-A83F-007002C3B625}"/>
    <cellStyle name="Normal 5 3 6 4 2 3" xfId="12443" xr:uid="{70812B0F-CA44-4F6B-B1E7-18B201C7528F}"/>
    <cellStyle name="Normal 5 3 6 4 2 4" xfId="20891" xr:uid="{13BA6104-5E53-4DE7-AECD-D1D5479258F4}"/>
    <cellStyle name="Normal 5 3 6 4 2 5" xfId="29338" xr:uid="{86194A61-A41D-4C2A-8706-4AF6834BFD69}"/>
    <cellStyle name="Normal 5 3 6 4 3" xfId="6066" xr:uid="{00000000-0005-0000-0000-0000981A0000}"/>
    <cellStyle name="Normal 5 3 6 4 3 2" xfId="14516" xr:uid="{534480E3-0600-4DD4-A74B-AD12B1E99BAE}"/>
    <cellStyle name="Normal 5 3 6 4 3 3" xfId="22963" xr:uid="{A566CA9C-76FE-4333-A5A3-77CE7870F608}"/>
    <cellStyle name="Normal 5 3 6 4 3 4" xfId="31410" xr:uid="{99545300-ABF9-4FE0-8199-05B6AB59E1D4}"/>
    <cellStyle name="Normal 5 3 6 4 4" xfId="10298" xr:uid="{DF432BD5-2684-420C-A1BA-932AF62B64B7}"/>
    <cellStyle name="Normal 5 3 6 4 5" xfId="18746" xr:uid="{4C5A27D9-8BB2-49C0-A5FA-9F744906A234}"/>
    <cellStyle name="Normal 5 3 6 4 6" xfId="27193" xr:uid="{F679702A-0C0A-4A59-BC37-87DECEC9690A}"/>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688B8544-1983-49A3-B020-7D0AD8EB265F}"/>
    <cellStyle name="Normal 5 3 6 5 2 2 3" xfId="25521" xr:uid="{39F26D28-53A6-4F03-9E8E-137FCA33D26E}"/>
    <cellStyle name="Normal 5 3 6 5 2 2 4" xfId="33968" xr:uid="{A5D03992-497A-4D38-8531-DE8A07BDD4CC}"/>
    <cellStyle name="Normal 5 3 6 5 2 3" xfId="12856" xr:uid="{6BD997E4-7F12-4AC6-A3C5-38055B1EAAD9}"/>
    <cellStyle name="Normal 5 3 6 5 2 4" xfId="21304" xr:uid="{7FBA8CA4-9E2E-43C8-9276-626220372ADC}"/>
    <cellStyle name="Normal 5 3 6 5 2 5" xfId="29751" xr:uid="{1C61BAA5-36C2-4743-8107-7AD0E3181717}"/>
    <cellStyle name="Normal 5 3 6 5 3" xfId="6479" xr:uid="{00000000-0005-0000-0000-00009C1A0000}"/>
    <cellStyle name="Normal 5 3 6 5 3 2" xfId="14929" xr:uid="{329CD179-E0B2-436B-A812-45C295FF5CB9}"/>
    <cellStyle name="Normal 5 3 6 5 3 3" xfId="23376" xr:uid="{FBAD1F43-78F2-404C-93BE-3E77E6C29009}"/>
    <cellStyle name="Normal 5 3 6 5 3 4" xfId="31823" xr:uid="{7599BA76-BB12-44B1-9A89-92CEFACCD934}"/>
    <cellStyle name="Normal 5 3 6 5 4" xfId="10711" xr:uid="{779E3406-4C1B-4CA4-A956-39BF1AB9E21F}"/>
    <cellStyle name="Normal 5 3 6 5 5" xfId="19159" xr:uid="{C326D31D-30FC-436C-B48A-DAF043467C78}"/>
    <cellStyle name="Normal 5 3 6 5 6" xfId="27606" xr:uid="{6ED99871-B0BE-49BD-B5FD-AD14CA2DD78E}"/>
    <cellStyle name="Normal 5 3 6 6" xfId="2609" xr:uid="{00000000-0005-0000-0000-00009D1A0000}"/>
    <cellStyle name="Normal 5 3 6 6 2" xfId="6892" xr:uid="{00000000-0005-0000-0000-00009E1A0000}"/>
    <cellStyle name="Normal 5 3 6 6 2 2" xfId="15342" xr:uid="{9F314173-565A-4AFF-90E4-4EA46857FB65}"/>
    <cellStyle name="Normal 5 3 6 6 2 3" xfId="23789" xr:uid="{28C9A06E-3AC5-4B03-BFB5-68AE16F11C0E}"/>
    <cellStyle name="Normal 5 3 6 6 2 4" xfId="32236" xr:uid="{9B917C36-D20E-4F9E-8C9D-4397538FA870}"/>
    <cellStyle name="Normal 5 3 6 6 3" xfId="11124" xr:uid="{6934123A-6DD6-4950-B952-01D5D4E043CF}"/>
    <cellStyle name="Normal 5 3 6 6 4" xfId="19572" xr:uid="{A0C1B318-C59B-4C5A-95DA-C014705DFCEE}"/>
    <cellStyle name="Normal 5 3 6 6 5" xfId="28019" xr:uid="{762AE53F-A6B2-437A-9311-C48EB4A99491}"/>
    <cellStyle name="Normal 5 3 6 7" xfId="4827" xr:uid="{00000000-0005-0000-0000-00009F1A0000}"/>
    <cellStyle name="Normal 5 3 6 7 2" xfId="13277" xr:uid="{694FD240-3DAE-43DF-9292-DDE092432868}"/>
    <cellStyle name="Normal 5 3 6 7 3" xfId="21724" xr:uid="{742A38E4-6835-4BDA-908A-3C540E75590F}"/>
    <cellStyle name="Normal 5 3 6 7 4" xfId="30171" xr:uid="{CA446381-B698-47C1-9363-C52F095776A2}"/>
    <cellStyle name="Normal 5 3 6 8" xfId="9059" xr:uid="{632B2C82-0F89-487D-81B2-066330F9C458}"/>
    <cellStyle name="Normal 5 3 6 9" xfId="17507" xr:uid="{227E7FBD-EFF0-4458-88E4-83EB483C096B}"/>
    <cellStyle name="Normal 5 3 7" xfId="913" xr:uid="{00000000-0005-0000-0000-0000A01A0000}"/>
    <cellStyle name="Normal 5 3 7 2" xfId="3148" xr:uid="{00000000-0005-0000-0000-0000A11A0000}"/>
    <cellStyle name="Normal 5 3 7 2 2" xfId="7370" xr:uid="{00000000-0005-0000-0000-0000A21A0000}"/>
    <cellStyle name="Normal 5 3 7 2 2 2" xfId="15820" xr:uid="{0C783198-4DD7-45E1-AC48-5AF71DDB2952}"/>
    <cellStyle name="Normal 5 3 7 2 2 3" xfId="24267" xr:uid="{F1585FAC-8C64-4863-9DB3-1734E83D81CA}"/>
    <cellStyle name="Normal 5 3 7 2 2 4" xfId="32714" xr:uid="{3BE20DC5-C3F5-433E-B8A4-5171DB00A417}"/>
    <cellStyle name="Normal 5 3 7 2 3" xfId="11602" xr:uid="{23AA0226-7936-4C66-963E-CF3F2EDAC9F6}"/>
    <cellStyle name="Normal 5 3 7 2 4" xfId="20050" xr:uid="{B6EB3BF3-C56B-4B5A-83FC-6C03C738ACB4}"/>
    <cellStyle name="Normal 5 3 7 2 5" xfId="28497" xr:uid="{0BE6BED5-4F86-4828-AE3B-524F1E2C24B9}"/>
    <cellStyle name="Normal 5 3 7 3" xfId="5225" xr:uid="{00000000-0005-0000-0000-0000A31A0000}"/>
    <cellStyle name="Normal 5 3 7 3 2" xfId="13675" xr:uid="{D1A3B6C4-BD42-4BDD-9D9E-E81703B2DBDF}"/>
    <cellStyle name="Normal 5 3 7 3 3" xfId="22122" xr:uid="{BFDD1744-2ED6-4CF8-8A36-0D4DFB3799AD}"/>
    <cellStyle name="Normal 5 3 7 3 4" xfId="30569" xr:uid="{765CCAFE-AFA7-4936-99FE-AD066A77AE67}"/>
    <cellStyle name="Normal 5 3 7 4" xfId="9457" xr:uid="{72AD555D-B182-4C1B-8CDD-B448BC2E12AA}"/>
    <cellStyle name="Normal 5 3 7 5" xfId="17905" xr:uid="{5978624E-4804-4C3E-B3B3-EB7C0986F56D}"/>
    <cellStyle name="Normal 5 3 7 6" xfId="26352" xr:uid="{AE70801C-F5EE-4679-AEF7-6BC7DC83B9FC}"/>
    <cellStyle name="Normal 5 3 8" xfId="1331" xr:uid="{00000000-0005-0000-0000-0000A41A0000}"/>
    <cellStyle name="Normal 5 3 8 2" xfId="3561" xr:uid="{00000000-0005-0000-0000-0000A51A0000}"/>
    <cellStyle name="Normal 5 3 8 2 2" xfId="7783" xr:uid="{00000000-0005-0000-0000-0000A61A0000}"/>
    <cellStyle name="Normal 5 3 8 2 2 2" xfId="16233" xr:uid="{3010EC5D-D360-4AA1-B769-2BE0D0DBD26F}"/>
    <cellStyle name="Normal 5 3 8 2 2 3" xfId="24680" xr:uid="{59AED37F-02DC-447E-80E6-09B292602F2E}"/>
    <cellStyle name="Normal 5 3 8 2 2 4" xfId="33127" xr:uid="{C0EDFB76-23F5-4081-B7DE-9A21269F4571}"/>
    <cellStyle name="Normal 5 3 8 2 3" xfId="12015" xr:uid="{6DE3D226-53E8-42CD-8ECF-8E8E0760C43D}"/>
    <cellStyle name="Normal 5 3 8 2 4" xfId="20463" xr:uid="{091E4439-CB96-4123-99AB-0873C65CCA24}"/>
    <cellStyle name="Normal 5 3 8 2 5" xfId="28910" xr:uid="{958800EE-FDE4-46BF-B047-2474F653080E}"/>
    <cellStyle name="Normal 5 3 8 3" xfId="5638" xr:uid="{00000000-0005-0000-0000-0000A71A0000}"/>
    <cellStyle name="Normal 5 3 8 3 2" xfId="14088" xr:uid="{83DC3F38-C303-46DE-99BB-7A110268B11C}"/>
    <cellStyle name="Normal 5 3 8 3 3" xfId="22535" xr:uid="{FA9FCC60-37C8-45B5-909D-567B1ED15A20}"/>
    <cellStyle name="Normal 5 3 8 3 4" xfId="30982" xr:uid="{D62C8ECE-8C34-48C3-B4FC-9184B84A0FB1}"/>
    <cellStyle name="Normal 5 3 8 4" xfId="9870" xr:uid="{494D2B61-089B-4F7D-B79C-0E5F34B12DDD}"/>
    <cellStyle name="Normal 5 3 8 5" xfId="18318" xr:uid="{E0FBE74E-B8CF-45F7-8B12-EA645FDEE852}"/>
    <cellStyle name="Normal 5 3 8 6" xfId="26765" xr:uid="{14B0487D-4553-4E36-A0E4-EA1EC7414B7A}"/>
    <cellStyle name="Normal 5 3 9" xfId="1744" xr:uid="{00000000-0005-0000-0000-0000A81A0000}"/>
    <cellStyle name="Normal 5 3 9 2" xfId="3974" xr:uid="{00000000-0005-0000-0000-0000A91A0000}"/>
    <cellStyle name="Normal 5 3 9 2 2" xfId="8196" xr:uid="{00000000-0005-0000-0000-0000AA1A0000}"/>
    <cellStyle name="Normal 5 3 9 2 2 2" xfId="16646" xr:uid="{0FD180D5-B440-4D83-91AA-CE06AE322246}"/>
    <cellStyle name="Normal 5 3 9 2 2 3" xfId="25093" xr:uid="{CC34C1ED-D517-43D5-86EB-CFE03ABDB5B0}"/>
    <cellStyle name="Normal 5 3 9 2 2 4" xfId="33540" xr:uid="{D16860A6-1D6F-4AF9-A749-5342B22B3CA4}"/>
    <cellStyle name="Normal 5 3 9 2 3" xfId="12428" xr:uid="{BEB032C2-A8A1-4BDC-B764-8310B2A3370C}"/>
    <cellStyle name="Normal 5 3 9 2 4" xfId="20876" xr:uid="{595CC6CF-D715-4976-A373-D45E054C8F78}"/>
    <cellStyle name="Normal 5 3 9 2 5" xfId="29323" xr:uid="{A1A8590F-67FE-4970-ADE5-C50119603935}"/>
    <cellStyle name="Normal 5 3 9 3" xfId="6051" xr:uid="{00000000-0005-0000-0000-0000AB1A0000}"/>
    <cellStyle name="Normal 5 3 9 3 2" xfId="14501" xr:uid="{EA7A9782-2334-4EA4-A4D5-18C2772C5C19}"/>
    <cellStyle name="Normal 5 3 9 3 3" xfId="22948" xr:uid="{E58D97DE-99B9-450A-9628-4E56F1AF3CA4}"/>
    <cellStyle name="Normal 5 3 9 3 4" xfId="31395" xr:uid="{0AC40593-6A3D-47F8-A9B7-0FB2F6664B40}"/>
    <cellStyle name="Normal 5 3 9 4" xfId="10283" xr:uid="{078A87C8-87B0-4123-955C-63CFC0ECA33A}"/>
    <cellStyle name="Normal 5 3 9 5" xfId="18731" xr:uid="{2CD8808D-6068-4416-82E8-F515E5986F4B}"/>
    <cellStyle name="Normal 5 3 9 6" xfId="27178" xr:uid="{0FDC7D8E-B5EF-40F0-8F7E-8455EBBE83C3}"/>
    <cellStyle name="Normal 5 4" xfId="456" xr:uid="{00000000-0005-0000-0000-0000AC1A0000}"/>
    <cellStyle name="Normal 5 4 10" xfId="4828" xr:uid="{00000000-0005-0000-0000-0000AD1A0000}"/>
    <cellStyle name="Normal 5 4 10 2" xfId="13278" xr:uid="{F123501E-B191-422B-9F89-B3A3D664CCBA}"/>
    <cellStyle name="Normal 5 4 10 3" xfId="21725" xr:uid="{28B260B2-DA37-41F0-9BCF-F84522BA476A}"/>
    <cellStyle name="Normal 5 4 10 4" xfId="30172" xr:uid="{6E418AD4-DD6F-4B63-9775-5B5D43DB5D05}"/>
    <cellStyle name="Normal 5 4 11" xfId="9060" xr:uid="{8628EE9F-F3C3-4348-8A63-34BF13BC971A}"/>
    <cellStyle name="Normal 5 4 12" xfId="17508" xr:uid="{9DB73840-FEB1-4062-B46D-E1118DD62093}"/>
    <cellStyle name="Normal 5 4 13" xfId="25955" xr:uid="{13E637C2-5BD8-4D82-BB90-384430C0DDE8}"/>
    <cellStyle name="Normal 5 4 2" xfId="457" xr:uid="{00000000-0005-0000-0000-0000AE1A0000}"/>
    <cellStyle name="Normal 5 4 2 10" xfId="9061" xr:uid="{19A1F579-6B86-4CAD-AD22-B9955D0A39D2}"/>
    <cellStyle name="Normal 5 4 2 11" xfId="17509" xr:uid="{85392E8B-BEED-4C22-8991-210D97FEA772}"/>
    <cellStyle name="Normal 5 4 2 12" xfId="25956" xr:uid="{C8C98E50-FB47-4470-A35C-0B3562FFD1B8}"/>
    <cellStyle name="Normal 5 4 2 2" xfId="458" xr:uid="{00000000-0005-0000-0000-0000AF1A0000}"/>
    <cellStyle name="Normal 5 4 2 2 10" xfId="17510" xr:uid="{37DF45EB-EBA7-48A4-8F71-DCF8DE9AFDCD}"/>
    <cellStyle name="Normal 5 4 2 2 11" xfId="25957" xr:uid="{A8833905-A3F8-4F39-9C6E-E6FDA380B46B}"/>
    <cellStyle name="Normal 5 4 2 2 2" xfId="459" xr:uid="{00000000-0005-0000-0000-0000B01A0000}"/>
    <cellStyle name="Normal 5 4 2 2 2 10" xfId="25958" xr:uid="{C4F8DD71-092B-457E-8AEA-E92864E888B4}"/>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9053D074-3F12-4EF0-A055-F704EFB642ED}"/>
    <cellStyle name="Normal 5 4 2 2 2 2 2 2 3" xfId="24286" xr:uid="{55AABBC3-CFD1-4314-A204-8C98BF1A1620}"/>
    <cellStyle name="Normal 5 4 2 2 2 2 2 2 4" xfId="32733" xr:uid="{04123CDC-4BE2-460C-83B5-58C493BA7FE0}"/>
    <cellStyle name="Normal 5 4 2 2 2 2 2 3" xfId="11621" xr:uid="{FC1BF32D-1E3C-4AC1-AD0B-05D7746C1872}"/>
    <cellStyle name="Normal 5 4 2 2 2 2 2 4" xfId="20069" xr:uid="{32CE3F38-DC4F-4B60-B5AE-40D569F3F7E1}"/>
    <cellStyle name="Normal 5 4 2 2 2 2 2 5" xfId="28516" xr:uid="{281A65E8-783B-4BD2-9997-6C13AB863E0C}"/>
    <cellStyle name="Normal 5 4 2 2 2 2 3" xfId="5244" xr:uid="{00000000-0005-0000-0000-0000B41A0000}"/>
    <cellStyle name="Normal 5 4 2 2 2 2 3 2" xfId="13694" xr:uid="{1B309B33-784D-479B-8BBF-1AA2DBE5E3C6}"/>
    <cellStyle name="Normal 5 4 2 2 2 2 3 3" xfId="22141" xr:uid="{8095AC91-52F0-449E-9AE8-A6EF37BF97F3}"/>
    <cellStyle name="Normal 5 4 2 2 2 2 3 4" xfId="30588" xr:uid="{098FB67A-A04A-4285-AF73-46A126B53C67}"/>
    <cellStyle name="Normal 5 4 2 2 2 2 4" xfId="9476" xr:uid="{16F0FC42-3630-4D34-B061-341DD3DA6A4E}"/>
    <cellStyle name="Normal 5 4 2 2 2 2 5" xfId="17924" xr:uid="{A406847C-1C19-45AF-8661-C1C6F6F3385D}"/>
    <cellStyle name="Normal 5 4 2 2 2 2 6" xfId="26371" xr:uid="{7CAAB051-18FB-48BC-9F94-D9108DFB567D}"/>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2C22BFB9-DEEF-4FBD-973B-8F2FDC1AD7F4}"/>
    <cellStyle name="Normal 5 4 2 2 2 3 2 2 3" xfId="24699" xr:uid="{D16DCF45-D3B9-4C9E-8049-C3C74DA162AD}"/>
    <cellStyle name="Normal 5 4 2 2 2 3 2 2 4" xfId="33146" xr:uid="{ABF6679C-8DED-4E9D-9B30-AE020A791B37}"/>
    <cellStyle name="Normal 5 4 2 2 2 3 2 3" xfId="12034" xr:uid="{37049F2F-FAD5-4BF6-BF0F-6B1FACF61449}"/>
    <cellStyle name="Normal 5 4 2 2 2 3 2 4" xfId="20482" xr:uid="{C66275B8-0728-4E10-A81C-BAD8F08C70C0}"/>
    <cellStyle name="Normal 5 4 2 2 2 3 2 5" xfId="28929" xr:uid="{77AEE6C2-FD10-4669-9C7B-3482376AB853}"/>
    <cellStyle name="Normal 5 4 2 2 2 3 3" xfId="5657" xr:uid="{00000000-0005-0000-0000-0000B81A0000}"/>
    <cellStyle name="Normal 5 4 2 2 2 3 3 2" xfId="14107" xr:uid="{FB134B2D-014B-40F6-8843-745FF2985320}"/>
    <cellStyle name="Normal 5 4 2 2 2 3 3 3" xfId="22554" xr:uid="{B20953CC-E178-42A8-B9A2-9B0C4A1B6C77}"/>
    <cellStyle name="Normal 5 4 2 2 2 3 3 4" xfId="31001" xr:uid="{A428B1B8-8800-4CE7-AEF9-B219D51CE317}"/>
    <cellStyle name="Normal 5 4 2 2 2 3 4" xfId="9889" xr:uid="{28677388-F72A-4F5D-BF86-0D3546692504}"/>
    <cellStyle name="Normal 5 4 2 2 2 3 5" xfId="18337" xr:uid="{6CD1B3AE-6C3F-49EB-804F-9A22D041B9DF}"/>
    <cellStyle name="Normal 5 4 2 2 2 3 6" xfId="26784" xr:uid="{72F41B65-9B2C-4635-AA78-7067D4C65FC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F1A4E9A2-609F-40C3-8A44-030213442A74}"/>
    <cellStyle name="Normal 5 4 2 2 2 4 2 2 3" xfId="25112" xr:uid="{652E01FD-A70E-4B5D-B824-EC6EDE584FDD}"/>
    <cellStyle name="Normal 5 4 2 2 2 4 2 2 4" xfId="33559" xr:uid="{45750249-3049-40A2-A8EF-DEFF438FA783}"/>
    <cellStyle name="Normal 5 4 2 2 2 4 2 3" xfId="12447" xr:uid="{32759041-9655-4ADF-8694-038628DF4B92}"/>
    <cellStyle name="Normal 5 4 2 2 2 4 2 4" xfId="20895" xr:uid="{7C2FBA74-F7DD-449A-96F9-A5975CC06856}"/>
    <cellStyle name="Normal 5 4 2 2 2 4 2 5" xfId="29342" xr:uid="{CE53BEA4-DE18-405C-B1C7-1AB26557ACCD}"/>
    <cellStyle name="Normal 5 4 2 2 2 4 3" xfId="6070" xr:uid="{00000000-0005-0000-0000-0000BC1A0000}"/>
    <cellStyle name="Normal 5 4 2 2 2 4 3 2" xfId="14520" xr:uid="{A9B6778B-2FDF-4746-9E1B-87C1B159C30B}"/>
    <cellStyle name="Normal 5 4 2 2 2 4 3 3" xfId="22967" xr:uid="{7A88FCBA-645B-401A-824E-6CC12727F65C}"/>
    <cellStyle name="Normal 5 4 2 2 2 4 3 4" xfId="31414" xr:uid="{A24F2C2C-B69E-4D7C-A046-2B4C357E92EC}"/>
    <cellStyle name="Normal 5 4 2 2 2 4 4" xfId="10302" xr:uid="{E443F0F8-54A8-4FA5-A872-8D5E811BACA1}"/>
    <cellStyle name="Normal 5 4 2 2 2 4 5" xfId="18750" xr:uid="{8F6B48C5-8B5B-4D75-BB25-64089B9F1F7A}"/>
    <cellStyle name="Normal 5 4 2 2 2 4 6" xfId="27197" xr:uid="{896DFBFA-8A1E-4E36-A0C1-EE7398E5FDD4}"/>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EF5E986E-7681-40BA-B44B-7726BA635EF0}"/>
    <cellStyle name="Normal 5 4 2 2 2 5 2 2 3" xfId="25525" xr:uid="{EB26BB42-1645-455B-9982-00DB4CAA1E95}"/>
    <cellStyle name="Normal 5 4 2 2 2 5 2 2 4" xfId="33972" xr:uid="{A3B9536B-F858-4CE4-BE5F-4D770799CA24}"/>
    <cellStyle name="Normal 5 4 2 2 2 5 2 3" xfId="12860" xr:uid="{8F1523EE-8437-4D10-86F8-79D5A3389AF9}"/>
    <cellStyle name="Normal 5 4 2 2 2 5 2 4" xfId="21308" xr:uid="{25B3730C-53FA-43A8-B1AF-DDBB976366C0}"/>
    <cellStyle name="Normal 5 4 2 2 2 5 2 5" xfId="29755" xr:uid="{744A19FC-0050-40B5-9122-FA6F90B3D15F}"/>
    <cellStyle name="Normal 5 4 2 2 2 5 3" xfId="6483" xr:uid="{00000000-0005-0000-0000-0000C01A0000}"/>
    <cellStyle name="Normal 5 4 2 2 2 5 3 2" xfId="14933" xr:uid="{63AFDFD5-7D7F-483A-87B7-1C73CE5BB1EC}"/>
    <cellStyle name="Normal 5 4 2 2 2 5 3 3" xfId="23380" xr:uid="{EC44B17D-C76D-40AB-8FDF-7412A6D93405}"/>
    <cellStyle name="Normal 5 4 2 2 2 5 3 4" xfId="31827" xr:uid="{C3557F03-4CA5-48C5-A8F6-1BB7A207CAAA}"/>
    <cellStyle name="Normal 5 4 2 2 2 5 4" xfId="10715" xr:uid="{42259C2A-F4D7-4B02-93F9-7F6C1F96A4AE}"/>
    <cellStyle name="Normal 5 4 2 2 2 5 5" xfId="19163" xr:uid="{B5D0A348-B7F2-4CB5-BCEA-8287186E919E}"/>
    <cellStyle name="Normal 5 4 2 2 2 5 6" xfId="27610" xr:uid="{DD66B4EE-8B59-43B1-B184-1404BC48EAF0}"/>
    <cellStyle name="Normal 5 4 2 2 2 6" xfId="2613" xr:uid="{00000000-0005-0000-0000-0000C11A0000}"/>
    <cellStyle name="Normal 5 4 2 2 2 6 2" xfId="6896" xr:uid="{00000000-0005-0000-0000-0000C21A0000}"/>
    <cellStyle name="Normal 5 4 2 2 2 6 2 2" xfId="15346" xr:uid="{65C767CD-647A-40C9-A70C-2BC221D7C620}"/>
    <cellStyle name="Normal 5 4 2 2 2 6 2 3" xfId="23793" xr:uid="{8DD69E7D-D16C-4E02-946E-28F340992710}"/>
    <cellStyle name="Normal 5 4 2 2 2 6 2 4" xfId="32240" xr:uid="{1026152F-B41D-4CE0-A195-A04688CBA188}"/>
    <cellStyle name="Normal 5 4 2 2 2 6 3" xfId="11128" xr:uid="{A558EDBD-4C63-4544-B581-87452D4A9795}"/>
    <cellStyle name="Normal 5 4 2 2 2 6 4" xfId="19576" xr:uid="{6721C121-F8E4-4437-B98C-D0E8CB0B7111}"/>
    <cellStyle name="Normal 5 4 2 2 2 6 5" xfId="28023" xr:uid="{9E10BC66-E66A-4F45-8DED-B23678245145}"/>
    <cellStyle name="Normal 5 4 2 2 2 7" xfId="4831" xr:uid="{00000000-0005-0000-0000-0000C31A0000}"/>
    <cellStyle name="Normal 5 4 2 2 2 7 2" xfId="13281" xr:uid="{716FAC00-B7B8-4311-9CF9-22ADC72CB268}"/>
    <cellStyle name="Normal 5 4 2 2 2 7 3" xfId="21728" xr:uid="{E2173F00-AE91-479E-B3B1-254C758FAA97}"/>
    <cellStyle name="Normal 5 4 2 2 2 7 4" xfId="30175" xr:uid="{3DB79A8D-6D08-4CBB-83A1-C3D5565C5C2C}"/>
    <cellStyle name="Normal 5 4 2 2 2 8" xfId="9063" xr:uid="{BAF58CBF-6C0B-43C7-90EA-CC941BFA38AB}"/>
    <cellStyle name="Normal 5 4 2 2 2 9" xfId="17511" xr:uid="{EDF30C08-7CE8-411E-B40D-0CC21FF0EC20}"/>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AEB4A4BD-321E-4AA9-AECE-18F7EEB82580}"/>
    <cellStyle name="Normal 5 4 2 2 3 2 2 3" xfId="24285" xr:uid="{7173CB9C-E444-4B1C-A58C-C6883E668AFE}"/>
    <cellStyle name="Normal 5 4 2 2 3 2 2 4" xfId="32732" xr:uid="{E70ADBF1-D795-41DC-B537-716B26745B26}"/>
    <cellStyle name="Normal 5 4 2 2 3 2 3" xfId="11620" xr:uid="{DCDD3F9B-BE66-48F4-99CB-E4F06FEA57DD}"/>
    <cellStyle name="Normal 5 4 2 2 3 2 4" xfId="20068" xr:uid="{B6EC959D-5C50-44DD-B487-66F648111720}"/>
    <cellStyle name="Normal 5 4 2 2 3 2 5" xfId="28515" xr:uid="{842010EF-A66D-4A47-97B7-B1F19F196BBD}"/>
    <cellStyle name="Normal 5 4 2 2 3 3" xfId="5243" xr:uid="{00000000-0005-0000-0000-0000C71A0000}"/>
    <cellStyle name="Normal 5 4 2 2 3 3 2" xfId="13693" xr:uid="{EF7EE27E-F75E-484E-8EFB-BE608629F9A5}"/>
    <cellStyle name="Normal 5 4 2 2 3 3 3" xfId="22140" xr:uid="{EF14C297-6BC7-48E0-8377-605F0D35A248}"/>
    <cellStyle name="Normal 5 4 2 2 3 3 4" xfId="30587" xr:uid="{2338035F-8E83-4FB0-AC1A-22AEA73159D3}"/>
    <cellStyle name="Normal 5 4 2 2 3 4" xfId="9475" xr:uid="{6748E67F-BC9E-4AD0-8DBA-F00219E89693}"/>
    <cellStyle name="Normal 5 4 2 2 3 5" xfId="17923" xr:uid="{AFB6A276-4C7D-4C89-AEFC-FB792A13BE48}"/>
    <cellStyle name="Normal 5 4 2 2 3 6" xfId="26370" xr:uid="{76DA210E-AE60-4D00-87DF-B259E2FCCB3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2F487E42-4B56-4E8F-87C1-D0941E10CF68}"/>
    <cellStyle name="Normal 5 4 2 2 4 2 2 3" xfId="24698" xr:uid="{6240CBD1-3DA3-4FB4-ACE3-2A22999F1956}"/>
    <cellStyle name="Normal 5 4 2 2 4 2 2 4" xfId="33145" xr:uid="{0AD3E955-7CCD-4D5C-82EF-648F65C38501}"/>
    <cellStyle name="Normal 5 4 2 2 4 2 3" xfId="12033" xr:uid="{B8FF0639-DF13-42BE-A881-99E76AD64F5A}"/>
    <cellStyle name="Normal 5 4 2 2 4 2 4" xfId="20481" xr:uid="{089CEB3D-428A-4816-B120-FF76EDDC26E4}"/>
    <cellStyle name="Normal 5 4 2 2 4 2 5" xfId="28928" xr:uid="{40148BFB-0317-45F8-9022-D289F3C59912}"/>
    <cellStyle name="Normal 5 4 2 2 4 3" xfId="5656" xr:uid="{00000000-0005-0000-0000-0000CB1A0000}"/>
    <cellStyle name="Normal 5 4 2 2 4 3 2" xfId="14106" xr:uid="{6313F670-A254-47C0-AAA0-4E2FB0EA944B}"/>
    <cellStyle name="Normal 5 4 2 2 4 3 3" xfId="22553" xr:uid="{98163D60-A94F-43A6-BB7B-D816C98FE89D}"/>
    <cellStyle name="Normal 5 4 2 2 4 3 4" xfId="31000" xr:uid="{0177DEBE-B4FB-416B-9DF3-77DFA481F0A7}"/>
    <cellStyle name="Normal 5 4 2 2 4 4" xfId="9888" xr:uid="{86B6788B-A11C-4063-BC7C-AE665406B51D}"/>
    <cellStyle name="Normal 5 4 2 2 4 5" xfId="18336" xr:uid="{BFB4DFCC-C683-4FAE-ADEE-BB67FF29C605}"/>
    <cellStyle name="Normal 5 4 2 2 4 6" xfId="26783" xr:uid="{AF2C6D18-107D-46D2-BBAC-2C37D650323B}"/>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631062E9-2984-4039-86E0-C1E9EBD4C182}"/>
    <cellStyle name="Normal 5 4 2 2 5 2 2 3" xfId="25111" xr:uid="{532EA452-72FF-4D2C-A21A-4FBA78A1EA10}"/>
    <cellStyle name="Normal 5 4 2 2 5 2 2 4" xfId="33558" xr:uid="{AB12788A-581C-4726-9F60-7EEC1FCAB081}"/>
    <cellStyle name="Normal 5 4 2 2 5 2 3" xfId="12446" xr:uid="{6AA03CA6-0F35-448C-9C91-92A3CB3858ED}"/>
    <cellStyle name="Normal 5 4 2 2 5 2 4" xfId="20894" xr:uid="{E61FCE05-B6A8-4DD1-8D6D-37B4AE492CC5}"/>
    <cellStyle name="Normal 5 4 2 2 5 2 5" xfId="29341" xr:uid="{D1ADF5C0-35F1-4DD4-92EB-BD6B3C78D56A}"/>
    <cellStyle name="Normal 5 4 2 2 5 3" xfId="6069" xr:uid="{00000000-0005-0000-0000-0000CF1A0000}"/>
    <cellStyle name="Normal 5 4 2 2 5 3 2" xfId="14519" xr:uid="{CDD774E1-87D2-4BD8-B0E5-C68C03BB95EC}"/>
    <cellStyle name="Normal 5 4 2 2 5 3 3" xfId="22966" xr:uid="{415F7548-8C44-4A48-A41F-91A866615E1F}"/>
    <cellStyle name="Normal 5 4 2 2 5 3 4" xfId="31413" xr:uid="{21A4FC9C-7DD0-4893-BCA6-A2D131466E47}"/>
    <cellStyle name="Normal 5 4 2 2 5 4" xfId="10301" xr:uid="{068DF281-6E0B-407D-97F6-ED62B395F188}"/>
    <cellStyle name="Normal 5 4 2 2 5 5" xfId="18749" xr:uid="{830578E9-996A-483B-9434-F26D34FF9977}"/>
    <cellStyle name="Normal 5 4 2 2 5 6" xfId="27196" xr:uid="{33DE13B2-0ADD-48E4-8696-673ED40B41F9}"/>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09633DD7-F1C0-4947-BF27-9FF197245230}"/>
    <cellStyle name="Normal 5 4 2 2 6 2 2 3" xfId="25524" xr:uid="{4C2B0101-95BC-4257-ACAE-098D4BBB612C}"/>
    <cellStyle name="Normal 5 4 2 2 6 2 2 4" xfId="33971" xr:uid="{BB5420C8-E959-47FB-872E-62DB243B7959}"/>
    <cellStyle name="Normal 5 4 2 2 6 2 3" xfId="12859" xr:uid="{4C2F14BA-B555-4C98-BDAB-E64DCD826375}"/>
    <cellStyle name="Normal 5 4 2 2 6 2 4" xfId="21307" xr:uid="{9674C4F6-4605-4184-B93E-2317DC40DC70}"/>
    <cellStyle name="Normal 5 4 2 2 6 2 5" xfId="29754" xr:uid="{46BD30AE-11C9-49C2-BAA0-D3B120AC414F}"/>
    <cellStyle name="Normal 5 4 2 2 6 3" xfId="6482" xr:uid="{00000000-0005-0000-0000-0000D31A0000}"/>
    <cellStyle name="Normal 5 4 2 2 6 3 2" xfId="14932" xr:uid="{78C6C79A-9468-495D-BC0B-5B512C91FCDE}"/>
    <cellStyle name="Normal 5 4 2 2 6 3 3" xfId="23379" xr:uid="{40FCBA2F-4FEF-4798-94A9-98FF211558F8}"/>
    <cellStyle name="Normal 5 4 2 2 6 3 4" xfId="31826" xr:uid="{6B031EE6-8B51-43E2-8400-A9CAF0357467}"/>
    <cellStyle name="Normal 5 4 2 2 6 4" xfId="10714" xr:uid="{07D7E4F2-93D3-4A8C-A2C4-B9822A1BCDA3}"/>
    <cellStyle name="Normal 5 4 2 2 6 5" xfId="19162" xr:uid="{EDC76F29-18FD-4BBA-99DD-A985543C5E2F}"/>
    <cellStyle name="Normal 5 4 2 2 6 6" xfId="27609" xr:uid="{5F7DD0AF-54E9-4C4F-A6F7-6EB3BB475FF5}"/>
    <cellStyle name="Normal 5 4 2 2 7" xfId="2612" xr:uid="{00000000-0005-0000-0000-0000D41A0000}"/>
    <cellStyle name="Normal 5 4 2 2 7 2" xfId="6895" xr:uid="{00000000-0005-0000-0000-0000D51A0000}"/>
    <cellStyle name="Normal 5 4 2 2 7 2 2" xfId="15345" xr:uid="{1A4C9242-E3EB-41FD-B3A8-5E02DCF026E5}"/>
    <cellStyle name="Normal 5 4 2 2 7 2 3" xfId="23792" xr:uid="{EF072155-8090-4800-9DF3-5F2BD975799D}"/>
    <cellStyle name="Normal 5 4 2 2 7 2 4" xfId="32239" xr:uid="{185EF812-7C7F-44E4-A074-DD24A6E14699}"/>
    <cellStyle name="Normal 5 4 2 2 7 3" xfId="11127" xr:uid="{57A239D9-7E10-4D3E-9C43-E42BD1EAF73E}"/>
    <cellStyle name="Normal 5 4 2 2 7 4" xfId="19575" xr:uid="{2886096A-6481-44DC-9418-7640C5410ED7}"/>
    <cellStyle name="Normal 5 4 2 2 7 5" xfId="28022" xr:uid="{7CD55A9F-8F6C-4800-B68C-5D86DF8B492E}"/>
    <cellStyle name="Normal 5 4 2 2 8" xfId="4830" xr:uid="{00000000-0005-0000-0000-0000D61A0000}"/>
    <cellStyle name="Normal 5 4 2 2 8 2" xfId="13280" xr:uid="{6CA30E6F-9620-4D1B-8202-5BD1BA1CDB23}"/>
    <cellStyle name="Normal 5 4 2 2 8 3" xfId="21727" xr:uid="{3C10B148-D1DF-4EFE-9EAD-F56235D5D8D2}"/>
    <cellStyle name="Normal 5 4 2 2 8 4" xfId="30174" xr:uid="{25D58E39-0D1D-4D26-8D29-C3A40F8E78CC}"/>
    <cellStyle name="Normal 5 4 2 2 9" xfId="9062" xr:uid="{AA2E330D-D731-40D6-8F43-0AF474EDA8EE}"/>
    <cellStyle name="Normal 5 4 2 3" xfId="460" xr:uid="{00000000-0005-0000-0000-0000D71A0000}"/>
    <cellStyle name="Normal 5 4 2 3 10" xfId="25959" xr:uid="{0C10DE08-E134-4B9B-953F-DAE56C0AA65F}"/>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783DD04C-FFF1-42E5-93BB-F26351850EA3}"/>
    <cellStyle name="Normal 5 4 2 3 2 2 2 3" xfId="24287" xr:uid="{B2BF3602-F6F3-4038-A215-742AE69D0CD7}"/>
    <cellStyle name="Normal 5 4 2 3 2 2 2 4" xfId="32734" xr:uid="{297E1C96-8663-4018-B665-47CAF3731A11}"/>
    <cellStyle name="Normal 5 4 2 3 2 2 3" xfId="11622" xr:uid="{A167F8DE-CA54-4091-A351-02CF7BD6495C}"/>
    <cellStyle name="Normal 5 4 2 3 2 2 4" xfId="20070" xr:uid="{F63558D1-4D1C-4925-A4B6-0DF2D1D2FB3A}"/>
    <cellStyle name="Normal 5 4 2 3 2 2 5" xfId="28517" xr:uid="{65109055-DD2B-40A3-9B71-C112676D4DC3}"/>
    <cellStyle name="Normal 5 4 2 3 2 3" xfId="5245" xr:uid="{00000000-0005-0000-0000-0000DB1A0000}"/>
    <cellStyle name="Normal 5 4 2 3 2 3 2" xfId="13695" xr:uid="{8A9EA07E-5252-4323-80AA-D472B7C4760C}"/>
    <cellStyle name="Normal 5 4 2 3 2 3 3" xfId="22142" xr:uid="{5D9E535F-E53A-4950-8852-9A115402E938}"/>
    <cellStyle name="Normal 5 4 2 3 2 3 4" xfId="30589" xr:uid="{50BB51E7-4418-4C43-855A-FD2B15063C66}"/>
    <cellStyle name="Normal 5 4 2 3 2 4" xfId="9477" xr:uid="{7A91BBC3-9A8F-4781-A414-0F2535993F45}"/>
    <cellStyle name="Normal 5 4 2 3 2 5" xfId="17925" xr:uid="{8D5A190C-07A2-4C29-8FA2-A6872B18E31F}"/>
    <cellStyle name="Normal 5 4 2 3 2 6" xfId="26372" xr:uid="{C9BDAD8C-60BF-4A2A-A654-D828586612F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0AB194E4-2DA3-4D0B-B3FC-16C4001E06D7}"/>
    <cellStyle name="Normal 5 4 2 3 3 2 2 3" xfId="24700" xr:uid="{9B3578B5-E367-4B6A-8BE1-BE604BD59BC0}"/>
    <cellStyle name="Normal 5 4 2 3 3 2 2 4" xfId="33147" xr:uid="{5721836F-5AF8-4A8E-B0DA-67DA761FFB2E}"/>
    <cellStyle name="Normal 5 4 2 3 3 2 3" xfId="12035" xr:uid="{320633FE-6704-49E3-8749-EB41D8F29C39}"/>
    <cellStyle name="Normal 5 4 2 3 3 2 4" xfId="20483" xr:uid="{C1FE725F-9675-4376-A3EB-7094D9E9E9E4}"/>
    <cellStyle name="Normal 5 4 2 3 3 2 5" xfId="28930" xr:uid="{9F9AA3BA-6E7C-4841-A89C-88A2983C1778}"/>
    <cellStyle name="Normal 5 4 2 3 3 3" xfId="5658" xr:uid="{00000000-0005-0000-0000-0000DF1A0000}"/>
    <cellStyle name="Normal 5 4 2 3 3 3 2" xfId="14108" xr:uid="{300EB0A9-AD51-49F0-891E-2B2A7EEC2E65}"/>
    <cellStyle name="Normal 5 4 2 3 3 3 3" xfId="22555" xr:uid="{CD252DBC-1668-403E-A99E-9EF11542F233}"/>
    <cellStyle name="Normal 5 4 2 3 3 3 4" xfId="31002" xr:uid="{1F092E5F-90BE-4397-B7CC-75ED938E50E1}"/>
    <cellStyle name="Normal 5 4 2 3 3 4" xfId="9890" xr:uid="{528BF0C7-4AD8-4282-B222-8B2D157A83C6}"/>
    <cellStyle name="Normal 5 4 2 3 3 5" xfId="18338" xr:uid="{E50987A6-D340-4D62-B7C9-705533157CB2}"/>
    <cellStyle name="Normal 5 4 2 3 3 6" xfId="26785" xr:uid="{5DD5DDF6-99FA-4D00-97DD-DD7FD5764E6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E6B29CE3-71D5-4101-A7DE-1C1CA9AC83F6}"/>
    <cellStyle name="Normal 5 4 2 3 4 2 2 3" xfId="25113" xr:uid="{7883AAD1-98B9-4206-9EFB-1D1367765748}"/>
    <cellStyle name="Normal 5 4 2 3 4 2 2 4" xfId="33560" xr:uid="{1A4ED954-D401-44CD-B526-2BBF828F651C}"/>
    <cellStyle name="Normal 5 4 2 3 4 2 3" xfId="12448" xr:uid="{512AEA37-8F1C-469C-89E4-5D5325791029}"/>
    <cellStyle name="Normal 5 4 2 3 4 2 4" xfId="20896" xr:uid="{94292FA7-7F1B-43F1-95C1-9C81A180F3E4}"/>
    <cellStyle name="Normal 5 4 2 3 4 2 5" xfId="29343" xr:uid="{A180EFC6-B7DD-4F03-BC02-E7E0946E404D}"/>
    <cellStyle name="Normal 5 4 2 3 4 3" xfId="6071" xr:uid="{00000000-0005-0000-0000-0000E31A0000}"/>
    <cellStyle name="Normal 5 4 2 3 4 3 2" xfId="14521" xr:uid="{D2BF78C0-AB26-4FE5-8D6D-ABE2E3371194}"/>
    <cellStyle name="Normal 5 4 2 3 4 3 3" xfId="22968" xr:uid="{74DCDD2E-74A4-4FC1-90F7-D40A449B58B5}"/>
    <cellStyle name="Normal 5 4 2 3 4 3 4" xfId="31415" xr:uid="{41F816AD-FBCC-45FA-B6B7-79418BDDA570}"/>
    <cellStyle name="Normal 5 4 2 3 4 4" xfId="10303" xr:uid="{25561CEB-5FBE-4ADC-A39B-BAC158E48051}"/>
    <cellStyle name="Normal 5 4 2 3 4 5" xfId="18751" xr:uid="{D73A8F29-0C0C-43AE-9D40-382A5333DC2A}"/>
    <cellStyle name="Normal 5 4 2 3 4 6" xfId="27198" xr:uid="{D85304BA-63A2-4EC3-95C7-584BC3DC6657}"/>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A17B7AF5-8BFA-4AAC-A6E4-2CB75A4189A4}"/>
    <cellStyle name="Normal 5 4 2 3 5 2 2 3" xfId="25526" xr:uid="{AB7D4755-E13B-455C-A753-540931A35B81}"/>
    <cellStyle name="Normal 5 4 2 3 5 2 2 4" xfId="33973" xr:uid="{F849C3B1-5B7D-49EE-A5D0-EF538BAE25F6}"/>
    <cellStyle name="Normal 5 4 2 3 5 2 3" xfId="12861" xr:uid="{4E1A2C85-6BB4-416F-9C8D-19BCA372FBE3}"/>
    <cellStyle name="Normal 5 4 2 3 5 2 4" xfId="21309" xr:uid="{9046AD57-DBAB-4966-B0B0-5F0A7D86AB56}"/>
    <cellStyle name="Normal 5 4 2 3 5 2 5" xfId="29756" xr:uid="{FB5D8E8F-5783-4EE4-B767-91FDBDB4EDB0}"/>
    <cellStyle name="Normal 5 4 2 3 5 3" xfId="6484" xr:uid="{00000000-0005-0000-0000-0000E71A0000}"/>
    <cellStyle name="Normal 5 4 2 3 5 3 2" xfId="14934" xr:uid="{BB49CE8F-CF52-4A11-A468-48392401BDB0}"/>
    <cellStyle name="Normal 5 4 2 3 5 3 3" xfId="23381" xr:uid="{9DCF3C76-1C60-4DF5-8636-AD148E615317}"/>
    <cellStyle name="Normal 5 4 2 3 5 3 4" xfId="31828" xr:uid="{167C88F9-F180-4210-9199-D961A8A28016}"/>
    <cellStyle name="Normal 5 4 2 3 5 4" xfId="10716" xr:uid="{968AF4FE-FAF9-4FCE-ABD7-6579C9E7FFE7}"/>
    <cellStyle name="Normal 5 4 2 3 5 5" xfId="19164" xr:uid="{24D1599A-BECB-491D-8ADE-93DF7BAE76FE}"/>
    <cellStyle name="Normal 5 4 2 3 5 6" xfId="27611" xr:uid="{17E8150B-AAFF-4A20-BF15-089E93445D5F}"/>
    <cellStyle name="Normal 5 4 2 3 6" xfId="2614" xr:uid="{00000000-0005-0000-0000-0000E81A0000}"/>
    <cellStyle name="Normal 5 4 2 3 6 2" xfId="6897" xr:uid="{00000000-0005-0000-0000-0000E91A0000}"/>
    <cellStyle name="Normal 5 4 2 3 6 2 2" xfId="15347" xr:uid="{2BCEF0BB-06B0-494F-A8D0-722358BFB41F}"/>
    <cellStyle name="Normal 5 4 2 3 6 2 3" xfId="23794" xr:uid="{8ADA6C06-C3BB-437C-A090-B90D3F153002}"/>
    <cellStyle name="Normal 5 4 2 3 6 2 4" xfId="32241" xr:uid="{0D8649CC-A866-4AA6-8D1F-A35669164A69}"/>
    <cellStyle name="Normal 5 4 2 3 6 3" xfId="11129" xr:uid="{5221C37B-BE9B-4173-971E-CE6E6F9EF740}"/>
    <cellStyle name="Normal 5 4 2 3 6 4" xfId="19577" xr:uid="{6FC5370F-7D7D-4243-A3F3-249DCAFE204C}"/>
    <cellStyle name="Normal 5 4 2 3 6 5" xfId="28024" xr:uid="{1C7E319C-CE96-42BC-A0E2-53301D864490}"/>
    <cellStyle name="Normal 5 4 2 3 7" xfId="4832" xr:uid="{00000000-0005-0000-0000-0000EA1A0000}"/>
    <cellStyle name="Normal 5 4 2 3 7 2" xfId="13282" xr:uid="{F210ABE3-AF74-4638-8300-C35993631BE1}"/>
    <cellStyle name="Normal 5 4 2 3 7 3" xfId="21729" xr:uid="{3E922A71-1D16-43B1-A007-E1CD531425FB}"/>
    <cellStyle name="Normal 5 4 2 3 7 4" xfId="30176" xr:uid="{94147ACC-311F-48B0-8730-07D0B6EAE6B8}"/>
    <cellStyle name="Normal 5 4 2 3 8" xfId="9064" xr:uid="{67731DB8-F91D-44AE-8031-A570A0338FDF}"/>
    <cellStyle name="Normal 5 4 2 3 9" xfId="17512" xr:uid="{AAC316BE-F308-47C1-A4CD-72F44B0F98BA}"/>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3A31E564-A8EA-4C87-84F8-F16572B3DEF1}"/>
    <cellStyle name="Normal 5 4 2 4 2 2 3" xfId="24284" xr:uid="{24454F6D-AB92-431C-BF64-5A045502E4E6}"/>
    <cellStyle name="Normal 5 4 2 4 2 2 4" xfId="32731" xr:uid="{8DB39138-097E-4245-B452-C4BA4DCC0F9C}"/>
    <cellStyle name="Normal 5 4 2 4 2 3" xfId="11619" xr:uid="{19340104-DAAD-457E-8CA8-E018D3184B13}"/>
    <cellStyle name="Normal 5 4 2 4 2 4" xfId="20067" xr:uid="{02A9E591-53F1-4013-B995-9EF03A89BB0B}"/>
    <cellStyle name="Normal 5 4 2 4 2 5" xfId="28514" xr:uid="{C63C8E0B-98BF-4ECA-8D77-40653DAF1057}"/>
    <cellStyle name="Normal 5 4 2 4 3" xfId="5242" xr:uid="{00000000-0005-0000-0000-0000EE1A0000}"/>
    <cellStyle name="Normal 5 4 2 4 3 2" xfId="13692" xr:uid="{97F4BB48-79C7-4745-A463-B8A25A224CFF}"/>
    <cellStyle name="Normal 5 4 2 4 3 3" xfId="22139" xr:uid="{2BF68E73-C2F9-4FCF-B873-5FDE51E6B88B}"/>
    <cellStyle name="Normal 5 4 2 4 3 4" xfId="30586" xr:uid="{62B9549B-5645-4DE2-B6E1-DFC0BB6DD759}"/>
    <cellStyle name="Normal 5 4 2 4 4" xfId="9474" xr:uid="{86F89A13-597B-4C4E-9ED1-265374CF359A}"/>
    <cellStyle name="Normal 5 4 2 4 5" xfId="17922" xr:uid="{06800676-D428-4FD8-8A63-A6478D26293F}"/>
    <cellStyle name="Normal 5 4 2 4 6" xfId="26369" xr:uid="{FA918C9B-A3D8-46E6-85A1-EBDED77F7473}"/>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86A044B0-2C82-464F-95E3-67CC1C6A29F5}"/>
    <cellStyle name="Normal 5 4 2 5 2 2 3" xfId="24697" xr:uid="{2A12FB6D-2200-4A14-89B1-61310E637103}"/>
    <cellStyle name="Normal 5 4 2 5 2 2 4" xfId="33144" xr:uid="{72B83ADE-F0AB-4380-9E82-61C16CF67A1B}"/>
    <cellStyle name="Normal 5 4 2 5 2 3" xfId="12032" xr:uid="{CCCA3742-1B66-4F58-8F9F-CA45D6EDF405}"/>
    <cellStyle name="Normal 5 4 2 5 2 4" xfId="20480" xr:uid="{F2A21EEF-1E4C-4B9B-8428-3784A6A9205F}"/>
    <cellStyle name="Normal 5 4 2 5 2 5" xfId="28927" xr:uid="{B27EC7C2-C0C2-48FC-A0EC-3B9BF89BB252}"/>
    <cellStyle name="Normal 5 4 2 5 3" xfId="5655" xr:uid="{00000000-0005-0000-0000-0000F21A0000}"/>
    <cellStyle name="Normal 5 4 2 5 3 2" xfId="14105" xr:uid="{2E3C6936-79F0-424B-9136-84CD7572E1E6}"/>
    <cellStyle name="Normal 5 4 2 5 3 3" xfId="22552" xr:uid="{61975C5A-3870-4168-AB17-59E50A1ABA03}"/>
    <cellStyle name="Normal 5 4 2 5 3 4" xfId="30999" xr:uid="{2F676FBD-1AEE-4B01-A0C2-922760EEFC99}"/>
    <cellStyle name="Normal 5 4 2 5 4" xfId="9887" xr:uid="{DDD3CF8C-9142-444A-BE09-D8D85311A2F4}"/>
    <cellStyle name="Normal 5 4 2 5 5" xfId="18335" xr:uid="{A51E5306-1E60-46A7-A782-319B168FA1CB}"/>
    <cellStyle name="Normal 5 4 2 5 6" xfId="26782" xr:uid="{406A3EA7-C35E-4320-9C5B-B073F2301DAA}"/>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4D6AEFB8-18B8-4D54-BD21-714262DBCB90}"/>
    <cellStyle name="Normal 5 4 2 6 2 2 3" xfId="25110" xr:uid="{6E263E9A-E26E-4400-834C-80335F31DFB6}"/>
    <cellStyle name="Normal 5 4 2 6 2 2 4" xfId="33557" xr:uid="{8CD00124-D9B1-4766-AE50-4F287FF17855}"/>
    <cellStyle name="Normal 5 4 2 6 2 3" xfId="12445" xr:uid="{FFA6C69F-2338-4DF2-8704-712192E01EC3}"/>
    <cellStyle name="Normal 5 4 2 6 2 4" xfId="20893" xr:uid="{816E88F4-D3BD-438A-A94F-C9B2754C9588}"/>
    <cellStyle name="Normal 5 4 2 6 2 5" xfId="29340" xr:uid="{2B5D92F6-7221-4319-9748-200F0908018B}"/>
    <cellStyle name="Normal 5 4 2 6 3" xfId="6068" xr:uid="{00000000-0005-0000-0000-0000F61A0000}"/>
    <cellStyle name="Normal 5 4 2 6 3 2" xfId="14518" xr:uid="{5EA4CD22-7E7D-42DA-8F4F-EAA82956B50E}"/>
    <cellStyle name="Normal 5 4 2 6 3 3" xfId="22965" xr:uid="{67692E14-A34B-42A6-AAB2-C928B712CA0C}"/>
    <cellStyle name="Normal 5 4 2 6 3 4" xfId="31412" xr:uid="{19673592-13D4-4499-BBBC-6E38566BE7D8}"/>
    <cellStyle name="Normal 5 4 2 6 4" xfId="10300" xr:uid="{23633DE0-9DE9-4DAB-BABF-B765D85AC50A}"/>
    <cellStyle name="Normal 5 4 2 6 5" xfId="18748" xr:uid="{FFB8E682-BB85-45B5-895D-EC4DEB896559}"/>
    <cellStyle name="Normal 5 4 2 6 6" xfId="27195" xr:uid="{DB71C8BE-98EE-46DB-AB9D-FF886605C859}"/>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E2448F0D-E895-486F-B83B-B8BC8870AD46}"/>
    <cellStyle name="Normal 5 4 2 7 2 2 3" xfId="25523" xr:uid="{E043CA6D-0690-4143-A0C7-F6D30B213394}"/>
    <cellStyle name="Normal 5 4 2 7 2 2 4" xfId="33970" xr:uid="{EFDC92F0-6701-45C9-A372-48574D765675}"/>
    <cellStyle name="Normal 5 4 2 7 2 3" xfId="12858" xr:uid="{A8A0097D-0AA2-4578-8BB0-FD0DACFA558C}"/>
    <cellStyle name="Normal 5 4 2 7 2 4" xfId="21306" xr:uid="{C7510F75-E923-4633-AADA-6E36D4172769}"/>
    <cellStyle name="Normal 5 4 2 7 2 5" xfId="29753" xr:uid="{BBF782DF-D81E-4782-812C-27E02F87BBFE}"/>
    <cellStyle name="Normal 5 4 2 7 3" xfId="6481" xr:uid="{00000000-0005-0000-0000-0000FA1A0000}"/>
    <cellStyle name="Normal 5 4 2 7 3 2" xfId="14931" xr:uid="{8438EAB7-6E17-4828-95EE-5CC36D3CD3E9}"/>
    <cellStyle name="Normal 5 4 2 7 3 3" xfId="23378" xr:uid="{EC61340F-38E8-4896-87DB-5D5545F9C54E}"/>
    <cellStyle name="Normal 5 4 2 7 3 4" xfId="31825" xr:uid="{CF01FE2D-E78C-4759-A0B5-96F7203108F8}"/>
    <cellStyle name="Normal 5 4 2 7 4" xfId="10713" xr:uid="{2073F911-95DA-44A5-BA11-9673C9D87F33}"/>
    <cellStyle name="Normal 5 4 2 7 5" xfId="19161" xr:uid="{A8366FD6-2F94-48AE-8E18-0E6B89333A39}"/>
    <cellStyle name="Normal 5 4 2 7 6" xfId="27608" xr:uid="{2EA19331-CFA6-4FAE-A735-5B4D5309C168}"/>
    <cellStyle name="Normal 5 4 2 8" xfId="2611" xr:uid="{00000000-0005-0000-0000-0000FB1A0000}"/>
    <cellStyle name="Normal 5 4 2 8 2" xfId="6894" xr:uid="{00000000-0005-0000-0000-0000FC1A0000}"/>
    <cellStyle name="Normal 5 4 2 8 2 2" xfId="15344" xr:uid="{F85A1B56-C227-410C-804C-326715BB1581}"/>
    <cellStyle name="Normal 5 4 2 8 2 3" xfId="23791" xr:uid="{82DC7364-356D-4A91-A205-4EF16C161E47}"/>
    <cellStyle name="Normal 5 4 2 8 2 4" xfId="32238" xr:uid="{5DD88F9E-450E-4A96-AB6C-0E1DC095C44C}"/>
    <cellStyle name="Normal 5 4 2 8 3" xfId="11126" xr:uid="{96656EFB-69FD-407F-9F55-C19D4E66B400}"/>
    <cellStyle name="Normal 5 4 2 8 4" xfId="19574" xr:uid="{0BCEAC09-3128-40C6-8CA2-6D9409505949}"/>
    <cellStyle name="Normal 5 4 2 8 5" xfId="28021" xr:uid="{31A44454-C789-4F1A-85AB-B73C08E5E789}"/>
    <cellStyle name="Normal 5 4 2 9" xfId="4829" xr:uid="{00000000-0005-0000-0000-0000FD1A0000}"/>
    <cellStyle name="Normal 5 4 2 9 2" xfId="13279" xr:uid="{7DA10698-DBC6-479C-B03A-BCECEC8E6E1F}"/>
    <cellStyle name="Normal 5 4 2 9 3" xfId="21726" xr:uid="{76BC3FFB-FB39-48F3-B961-9449BB456333}"/>
    <cellStyle name="Normal 5 4 2 9 4" xfId="30173" xr:uid="{1BF364C7-2E7C-42A4-B6D1-C22AF4BE7088}"/>
    <cellStyle name="Normal 5 4 3" xfId="461" xr:uid="{00000000-0005-0000-0000-0000FE1A0000}"/>
    <cellStyle name="Normal 5 4 3 10" xfId="17513" xr:uid="{EDA75179-9FAC-4AA4-AF78-A5045DE5B80F}"/>
    <cellStyle name="Normal 5 4 3 11" xfId="25960" xr:uid="{8DEECA1E-1FAE-4D77-9A20-97DFF9B5507E}"/>
    <cellStyle name="Normal 5 4 3 2" xfId="462" xr:uid="{00000000-0005-0000-0000-0000FF1A0000}"/>
    <cellStyle name="Normal 5 4 3 2 10" xfId="25961" xr:uid="{91B2311E-1097-4FD6-B15E-407E962948C5}"/>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A99152F5-8860-4C50-8701-888F358B599A}"/>
    <cellStyle name="Normal 5 4 3 2 2 2 2 3" xfId="24289" xr:uid="{B20B1AE9-4C64-495D-A760-93D3E8121558}"/>
    <cellStyle name="Normal 5 4 3 2 2 2 2 4" xfId="32736" xr:uid="{3AEDBCEA-FFBE-47F7-B613-BEE13F3E8A0B}"/>
    <cellStyle name="Normal 5 4 3 2 2 2 3" xfId="11624" xr:uid="{522C72BA-11CF-405F-8FD4-F05B33542C2A}"/>
    <cellStyle name="Normal 5 4 3 2 2 2 4" xfId="20072" xr:uid="{57D8BD90-4C31-4A4F-AA0C-50B1F00DE3E3}"/>
    <cellStyle name="Normal 5 4 3 2 2 2 5" xfId="28519" xr:uid="{FAEDAA56-A466-4625-9959-A38E062860EC}"/>
    <cellStyle name="Normal 5 4 3 2 2 3" xfId="5247" xr:uid="{00000000-0005-0000-0000-0000031B0000}"/>
    <cellStyle name="Normal 5 4 3 2 2 3 2" xfId="13697" xr:uid="{7C397E0D-97B4-43A1-90A8-9CB4CF429669}"/>
    <cellStyle name="Normal 5 4 3 2 2 3 3" xfId="22144" xr:uid="{58525C24-A0D9-40CF-9D8C-68E6B3B8ED68}"/>
    <cellStyle name="Normal 5 4 3 2 2 3 4" xfId="30591" xr:uid="{4E81EDFD-E782-4AE2-A4A5-82720478812F}"/>
    <cellStyle name="Normal 5 4 3 2 2 4" xfId="9479" xr:uid="{F46BE3CB-B48C-464B-B8C8-97E85DDB065F}"/>
    <cellStyle name="Normal 5 4 3 2 2 5" xfId="17927" xr:uid="{0B52954E-6CCA-4AE8-A5FE-A96884711BFA}"/>
    <cellStyle name="Normal 5 4 3 2 2 6" xfId="26374" xr:uid="{7715E0C0-5CD7-4A87-B243-2905A8E5F77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5554EDB7-F649-4F0C-A088-47040C1B6CDE}"/>
    <cellStyle name="Normal 5 4 3 2 3 2 2 3" xfId="24702" xr:uid="{50A4416F-7904-40F7-BE2B-4D1A6AC08A66}"/>
    <cellStyle name="Normal 5 4 3 2 3 2 2 4" xfId="33149" xr:uid="{E1041480-9576-4A20-9ADC-43F977223FAC}"/>
    <cellStyle name="Normal 5 4 3 2 3 2 3" xfId="12037" xr:uid="{2E5821AA-141F-4CDF-B769-E46A594689BD}"/>
    <cellStyle name="Normal 5 4 3 2 3 2 4" xfId="20485" xr:uid="{0FE58E66-8C66-45D3-8A34-3E9314C4C006}"/>
    <cellStyle name="Normal 5 4 3 2 3 2 5" xfId="28932" xr:uid="{0F5F008E-1528-4BAC-BDA9-4AEFDF45D295}"/>
    <cellStyle name="Normal 5 4 3 2 3 3" xfId="5660" xr:uid="{00000000-0005-0000-0000-0000071B0000}"/>
    <cellStyle name="Normal 5 4 3 2 3 3 2" xfId="14110" xr:uid="{B2356894-1F66-4901-9039-0F240CA039F2}"/>
    <cellStyle name="Normal 5 4 3 2 3 3 3" xfId="22557" xr:uid="{90B77ACB-1E98-4EFA-995C-9E996F8962AA}"/>
    <cellStyle name="Normal 5 4 3 2 3 3 4" xfId="31004" xr:uid="{189FEDD2-C45A-42EE-8392-C3F020B110C6}"/>
    <cellStyle name="Normal 5 4 3 2 3 4" xfId="9892" xr:uid="{474206C5-3025-473A-BCE5-398B3A0660F7}"/>
    <cellStyle name="Normal 5 4 3 2 3 5" xfId="18340" xr:uid="{DC23402F-BBBC-483A-B75E-722C62EC4132}"/>
    <cellStyle name="Normal 5 4 3 2 3 6" xfId="26787" xr:uid="{14163536-B406-4800-8DC9-73245F287A9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1695D1EF-FFC5-4848-84C4-2B2FF8C328F6}"/>
    <cellStyle name="Normal 5 4 3 2 4 2 2 3" xfId="25115" xr:uid="{619DE61A-167E-4AF4-A69C-859C132C27AD}"/>
    <cellStyle name="Normal 5 4 3 2 4 2 2 4" xfId="33562" xr:uid="{5EA67787-C311-406C-A837-07A197CDAD35}"/>
    <cellStyle name="Normal 5 4 3 2 4 2 3" xfId="12450" xr:uid="{009BC542-0E74-4C74-A749-6914F0E4C1AD}"/>
    <cellStyle name="Normal 5 4 3 2 4 2 4" xfId="20898" xr:uid="{242F3C3E-0875-490D-B745-F7C30EEDCBF6}"/>
    <cellStyle name="Normal 5 4 3 2 4 2 5" xfId="29345" xr:uid="{5F3069E8-3675-465F-9B68-DE3B6F065B52}"/>
    <cellStyle name="Normal 5 4 3 2 4 3" xfId="6073" xr:uid="{00000000-0005-0000-0000-00000B1B0000}"/>
    <cellStyle name="Normal 5 4 3 2 4 3 2" xfId="14523" xr:uid="{4E3BF43E-785B-4B3D-A010-9911769683E5}"/>
    <cellStyle name="Normal 5 4 3 2 4 3 3" xfId="22970" xr:uid="{A1ADFB8F-B4E2-4E90-A9B9-93022EEA03F3}"/>
    <cellStyle name="Normal 5 4 3 2 4 3 4" xfId="31417" xr:uid="{E3CA2C3D-B03E-4A29-A68C-B61D3848F37B}"/>
    <cellStyle name="Normal 5 4 3 2 4 4" xfId="10305" xr:uid="{2DAF7822-A3B0-4534-8FE8-5245B35A58A7}"/>
    <cellStyle name="Normal 5 4 3 2 4 5" xfId="18753" xr:uid="{F798B523-62AB-4B15-A879-C443C2B2745E}"/>
    <cellStyle name="Normal 5 4 3 2 4 6" xfId="27200" xr:uid="{21747C9B-C7A1-43FB-8941-5F87E8E5A4F3}"/>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60336883-05E7-4D10-A103-239003DB4EF7}"/>
    <cellStyle name="Normal 5 4 3 2 5 2 2 3" xfId="25528" xr:uid="{5AE1651F-699C-4EDC-9472-7170090E4ED9}"/>
    <cellStyle name="Normal 5 4 3 2 5 2 2 4" xfId="33975" xr:uid="{4B6B5CF3-6FB2-4C7B-8967-B7984F82483E}"/>
    <cellStyle name="Normal 5 4 3 2 5 2 3" xfId="12863" xr:uid="{C9F846AC-C912-49A3-A496-E13164592C45}"/>
    <cellStyle name="Normal 5 4 3 2 5 2 4" xfId="21311" xr:uid="{F9CAE780-4347-4B24-8F82-8A295467BDEC}"/>
    <cellStyle name="Normal 5 4 3 2 5 2 5" xfId="29758" xr:uid="{04D3E3F5-67B0-475F-8FCA-CA208FB6E5FD}"/>
    <cellStyle name="Normal 5 4 3 2 5 3" xfId="6486" xr:uid="{00000000-0005-0000-0000-00000F1B0000}"/>
    <cellStyle name="Normal 5 4 3 2 5 3 2" xfId="14936" xr:uid="{FF69FC0E-0EA6-465C-BA2A-45C531E65AA7}"/>
    <cellStyle name="Normal 5 4 3 2 5 3 3" xfId="23383" xr:uid="{D26EAE39-F318-4EAB-90B2-0C986DCC3AEF}"/>
    <cellStyle name="Normal 5 4 3 2 5 3 4" xfId="31830" xr:uid="{9CF77ADB-A590-4E66-A003-C6E88CD0536B}"/>
    <cellStyle name="Normal 5 4 3 2 5 4" xfId="10718" xr:uid="{7281395F-9020-4F45-AAD2-198DA630B893}"/>
    <cellStyle name="Normal 5 4 3 2 5 5" xfId="19166" xr:uid="{2799CEC9-1B31-49B3-B202-CFB682833D2B}"/>
    <cellStyle name="Normal 5 4 3 2 5 6" xfId="27613" xr:uid="{8FDBBD65-1339-4A82-BEF3-BFE0F190BDAE}"/>
    <cellStyle name="Normal 5 4 3 2 6" xfId="2616" xr:uid="{00000000-0005-0000-0000-0000101B0000}"/>
    <cellStyle name="Normal 5 4 3 2 6 2" xfId="6899" xr:uid="{00000000-0005-0000-0000-0000111B0000}"/>
    <cellStyle name="Normal 5 4 3 2 6 2 2" xfId="15349" xr:uid="{05765190-0202-4293-B41C-34E28EC51672}"/>
    <cellStyle name="Normal 5 4 3 2 6 2 3" xfId="23796" xr:uid="{FEEA4D56-FF03-474C-AEC8-E23A3677057A}"/>
    <cellStyle name="Normal 5 4 3 2 6 2 4" xfId="32243" xr:uid="{A07376F1-2B07-4AA3-A3D3-C6B1895628F3}"/>
    <cellStyle name="Normal 5 4 3 2 6 3" xfId="11131" xr:uid="{DC5F311A-D11B-43AB-9221-3CBCC7CAE4D0}"/>
    <cellStyle name="Normal 5 4 3 2 6 4" xfId="19579" xr:uid="{FDA25D7B-D152-49AC-A488-68BD9579CE91}"/>
    <cellStyle name="Normal 5 4 3 2 6 5" xfId="28026" xr:uid="{99804039-7D95-4AC1-A236-D67963D58904}"/>
    <cellStyle name="Normal 5 4 3 2 7" xfId="4834" xr:uid="{00000000-0005-0000-0000-0000121B0000}"/>
    <cellStyle name="Normal 5 4 3 2 7 2" xfId="13284" xr:uid="{60C95A49-4A6C-4591-A7CC-613A1AA3613A}"/>
    <cellStyle name="Normal 5 4 3 2 7 3" xfId="21731" xr:uid="{0346933E-87E9-4CB9-B6D4-C98CC1A34739}"/>
    <cellStyle name="Normal 5 4 3 2 7 4" xfId="30178" xr:uid="{79D67170-4F04-413F-BB27-B3579869E097}"/>
    <cellStyle name="Normal 5 4 3 2 8" xfId="9066" xr:uid="{87EC5DCD-1C61-454C-B1E6-E9C592A05572}"/>
    <cellStyle name="Normal 5 4 3 2 9" xfId="17514" xr:uid="{3675FECD-B88E-4B7E-82F7-D1AC9056FD30}"/>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1E45F957-A4F3-4691-8A97-5830B056CE07}"/>
    <cellStyle name="Normal 5 4 3 3 2 2 3" xfId="24288" xr:uid="{B8036BC5-BB7E-4514-9583-349863F37037}"/>
    <cellStyle name="Normal 5 4 3 3 2 2 4" xfId="32735" xr:uid="{952791A0-8A8D-4CBB-8DFD-FD3B46B2E2E0}"/>
    <cellStyle name="Normal 5 4 3 3 2 3" xfId="11623" xr:uid="{B0CE4A6B-5BB7-45AF-8041-B6F99A31F328}"/>
    <cellStyle name="Normal 5 4 3 3 2 4" xfId="20071" xr:uid="{D9E44357-4F84-4E19-A7E5-E849CE007C23}"/>
    <cellStyle name="Normal 5 4 3 3 2 5" xfId="28518" xr:uid="{F02310CB-48F4-4FCE-930C-73F14A4D4384}"/>
    <cellStyle name="Normal 5 4 3 3 3" xfId="5246" xr:uid="{00000000-0005-0000-0000-0000161B0000}"/>
    <cellStyle name="Normal 5 4 3 3 3 2" xfId="13696" xr:uid="{3A85724E-A2A5-4931-8B0D-9491D20ECF79}"/>
    <cellStyle name="Normal 5 4 3 3 3 3" xfId="22143" xr:uid="{9F730883-B38B-42EB-925B-AD6C9C75CF88}"/>
    <cellStyle name="Normal 5 4 3 3 3 4" xfId="30590" xr:uid="{BDE09026-C867-4228-B69D-ED22938CDA77}"/>
    <cellStyle name="Normal 5 4 3 3 4" xfId="9478" xr:uid="{FFC4FCC3-0F8E-4DBE-A057-FA4BDA6108BD}"/>
    <cellStyle name="Normal 5 4 3 3 5" xfId="17926" xr:uid="{012DD977-EFCD-4AD7-8F97-65A5054C1244}"/>
    <cellStyle name="Normal 5 4 3 3 6" xfId="26373" xr:uid="{2FC1EFE2-B34C-4B95-B71C-46CD94E23A73}"/>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DE0A2AC2-99E6-4157-BBC0-657DDF81B94B}"/>
    <cellStyle name="Normal 5 4 3 4 2 2 3" xfId="24701" xr:uid="{DB1F15DB-FA64-4796-8E75-865848D3C72F}"/>
    <cellStyle name="Normal 5 4 3 4 2 2 4" xfId="33148" xr:uid="{7BB7B021-8534-494D-BE3D-81F8CF768F73}"/>
    <cellStyle name="Normal 5 4 3 4 2 3" xfId="12036" xr:uid="{C5CC0486-6EBC-4894-857A-D0751285EDB3}"/>
    <cellStyle name="Normal 5 4 3 4 2 4" xfId="20484" xr:uid="{CF6CD886-A325-434D-9F0E-5927E732B313}"/>
    <cellStyle name="Normal 5 4 3 4 2 5" xfId="28931" xr:uid="{EE271795-0038-4BFF-B1BE-18F462875F6E}"/>
    <cellStyle name="Normal 5 4 3 4 3" xfId="5659" xr:uid="{00000000-0005-0000-0000-00001A1B0000}"/>
    <cellStyle name="Normal 5 4 3 4 3 2" xfId="14109" xr:uid="{7318F9CB-6982-42A6-B77A-3EC0F54F2781}"/>
    <cellStyle name="Normal 5 4 3 4 3 3" xfId="22556" xr:uid="{C5101DBC-45AD-4CE0-905C-80041322BD8C}"/>
    <cellStyle name="Normal 5 4 3 4 3 4" xfId="31003" xr:uid="{3466E472-FB15-425D-B1F5-6E75DBB194B8}"/>
    <cellStyle name="Normal 5 4 3 4 4" xfId="9891" xr:uid="{4F0D24EB-7109-4990-A158-AEBEAC3049D2}"/>
    <cellStyle name="Normal 5 4 3 4 5" xfId="18339" xr:uid="{B76723E7-B7C6-4802-A9AC-4FECEEE9C91F}"/>
    <cellStyle name="Normal 5 4 3 4 6" xfId="26786" xr:uid="{8BB19EBE-4EDD-443C-835B-40EA2121CC7A}"/>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C8CEAF74-979E-4C62-B91A-A6B7C93166D7}"/>
    <cellStyle name="Normal 5 4 3 5 2 2 3" xfId="25114" xr:uid="{B88501EC-EADB-4AAA-A176-7A4E15C30BD9}"/>
    <cellStyle name="Normal 5 4 3 5 2 2 4" xfId="33561" xr:uid="{94DCA94B-4201-4542-9AC9-DA1A2E0B2791}"/>
    <cellStyle name="Normal 5 4 3 5 2 3" xfId="12449" xr:uid="{AA2CC26F-CFE6-4A5D-86BD-EC83D80B3CB8}"/>
    <cellStyle name="Normal 5 4 3 5 2 4" xfId="20897" xr:uid="{6BB95562-3374-4043-B69C-142878D6724C}"/>
    <cellStyle name="Normal 5 4 3 5 2 5" xfId="29344" xr:uid="{7AD0CADF-233B-4086-BFB8-E7E0547D75A5}"/>
    <cellStyle name="Normal 5 4 3 5 3" xfId="6072" xr:uid="{00000000-0005-0000-0000-00001E1B0000}"/>
    <cellStyle name="Normal 5 4 3 5 3 2" xfId="14522" xr:uid="{537B4E8F-24FA-4F49-A7D6-27E0E999F1AD}"/>
    <cellStyle name="Normal 5 4 3 5 3 3" xfId="22969" xr:uid="{2210116F-5E54-4190-A09D-DE6C0FF18E9C}"/>
    <cellStyle name="Normal 5 4 3 5 3 4" xfId="31416" xr:uid="{AC90CA12-475D-4C19-B558-4A2276CFD952}"/>
    <cellStyle name="Normal 5 4 3 5 4" xfId="10304" xr:uid="{CDC271B4-759A-46D2-B4E1-FD7DA6CC97F4}"/>
    <cellStyle name="Normal 5 4 3 5 5" xfId="18752" xr:uid="{6B9569BA-AF39-414D-B8A6-9EE3AB4F9810}"/>
    <cellStyle name="Normal 5 4 3 5 6" xfId="27199" xr:uid="{6555AE19-A97F-4DFF-82E5-A6026D664E9F}"/>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C28C2EE9-A1E6-4087-88B6-99C9900468BF}"/>
    <cellStyle name="Normal 5 4 3 6 2 2 3" xfId="25527" xr:uid="{A1007DAB-6698-460D-890E-A721A2DEF1F3}"/>
    <cellStyle name="Normal 5 4 3 6 2 2 4" xfId="33974" xr:uid="{E1A55BEE-A8DA-452E-BB7E-9769975B9E6F}"/>
    <cellStyle name="Normal 5 4 3 6 2 3" xfId="12862" xr:uid="{8225D7B7-4224-430C-8017-2B8FEDDEDB65}"/>
    <cellStyle name="Normal 5 4 3 6 2 4" xfId="21310" xr:uid="{044D0E5A-0A05-4A9B-AE2A-9254A2A1E3CD}"/>
    <cellStyle name="Normal 5 4 3 6 2 5" xfId="29757" xr:uid="{5BCB1BF6-45B7-4AE9-9CE9-8EB68F3AAEF8}"/>
    <cellStyle name="Normal 5 4 3 6 3" xfId="6485" xr:uid="{00000000-0005-0000-0000-0000221B0000}"/>
    <cellStyle name="Normal 5 4 3 6 3 2" xfId="14935" xr:uid="{1D030841-B199-4685-827B-0CD9847B102F}"/>
    <cellStyle name="Normal 5 4 3 6 3 3" xfId="23382" xr:uid="{581109CA-0629-449F-99A4-6ABB486637F3}"/>
    <cellStyle name="Normal 5 4 3 6 3 4" xfId="31829" xr:uid="{FB80EB3C-7EAE-47F0-9CD5-72586F9510EB}"/>
    <cellStyle name="Normal 5 4 3 6 4" xfId="10717" xr:uid="{C28321C2-1007-422C-9FF8-E14A290E08FE}"/>
    <cellStyle name="Normal 5 4 3 6 5" xfId="19165" xr:uid="{AE8790BE-4B4C-464C-8F8A-ADD7A8DD966A}"/>
    <cellStyle name="Normal 5 4 3 6 6" xfId="27612" xr:uid="{210C8E8D-291F-48E9-8220-395FC003CF44}"/>
    <cellStyle name="Normal 5 4 3 7" xfId="2615" xr:uid="{00000000-0005-0000-0000-0000231B0000}"/>
    <cellStyle name="Normal 5 4 3 7 2" xfId="6898" xr:uid="{00000000-0005-0000-0000-0000241B0000}"/>
    <cellStyle name="Normal 5 4 3 7 2 2" xfId="15348" xr:uid="{E161CCCB-CA31-4A13-BFA5-2EDC0BE5C883}"/>
    <cellStyle name="Normal 5 4 3 7 2 3" xfId="23795" xr:uid="{B4DA922A-2623-4402-B09D-59430420EA5B}"/>
    <cellStyle name="Normal 5 4 3 7 2 4" xfId="32242" xr:uid="{988AEB30-94EF-4EC8-BB85-9D053A252303}"/>
    <cellStyle name="Normal 5 4 3 7 3" xfId="11130" xr:uid="{C8C89287-6EF5-4A54-A599-B106818F05F6}"/>
    <cellStyle name="Normal 5 4 3 7 4" xfId="19578" xr:uid="{F1F8E3C6-92CE-4508-9C90-E83B66A86B1C}"/>
    <cellStyle name="Normal 5 4 3 7 5" xfId="28025" xr:uid="{236AD1D5-6BEE-4D1B-B0C0-4E67E34EB897}"/>
    <cellStyle name="Normal 5 4 3 8" xfId="4833" xr:uid="{00000000-0005-0000-0000-0000251B0000}"/>
    <cellStyle name="Normal 5 4 3 8 2" xfId="13283" xr:uid="{F5FF2329-C49B-4407-998A-D28559F0B9FF}"/>
    <cellStyle name="Normal 5 4 3 8 3" xfId="21730" xr:uid="{4479C432-431E-4F7E-9BA3-512665985AE3}"/>
    <cellStyle name="Normal 5 4 3 8 4" xfId="30177" xr:uid="{5AE86A5C-2970-4C9A-87F3-140C1CD9C9D5}"/>
    <cellStyle name="Normal 5 4 3 9" xfId="9065" xr:uid="{A66C0599-EE96-4596-A2EE-7B9D7D33FD9C}"/>
    <cellStyle name="Normal 5 4 4" xfId="463" xr:uid="{00000000-0005-0000-0000-0000261B0000}"/>
    <cellStyle name="Normal 5 4 4 10" xfId="25962" xr:uid="{474FF807-DEE9-4B16-9C83-E19FD99C5AA7}"/>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5AFEE3F9-021C-45DF-AA5D-9B0159E391B9}"/>
    <cellStyle name="Normal 5 4 4 2 2 2 3" xfId="24290" xr:uid="{BA8A80E9-6157-4110-9A60-7E4BE068C789}"/>
    <cellStyle name="Normal 5 4 4 2 2 2 4" xfId="32737" xr:uid="{585471B2-F34D-4681-AF58-9C2013D6563E}"/>
    <cellStyle name="Normal 5 4 4 2 2 3" xfId="11625" xr:uid="{30ABF5C3-249B-44A1-BE63-9FFB035C6CC0}"/>
    <cellStyle name="Normal 5 4 4 2 2 4" xfId="20073" xr:uid="{280C8168-2EF6-4E69-A26F-41C916272FEA}"/>
    <cellStyle name="Normal 5 4 4 2 2 5" xfId="28520" xr:uid="{F20ADF54-DE76-4ED0-8E37-02AA7D8A7BA3}"/>
    <cellStyle name="Normal 5 4 4 2 3" xfId="5248" xr:uid="{00000000-0005-0000-0000-00002A1B0000}"/>
    <cellStyle name="Normal 5 4 4 2 3 2" xfId="13698" xr:uid="{18ECE839-73C0-4359-B2E3-1685DB26458A}"/>
    <cellStyle name="Normal 5 4 4 2 3 3" xfId="22145" xr:uid="{C49B829B-E10E-43FF-B442-B262C826741D}"/>
    <cellStyle name="Normal 5 4 4 2 3 4" xfId="30592" xr:uid="{432F6997-6E5D-4926-B2B6-D52752234301}"/>
    <cellStyle name="Normal 5 4 4 2 4" xfId="9480" xr:uid="{F7178A4E-434C-42DC-BC65-30AF599E76D2}"/>
    <cellStyle name="Normal 5 4 4 2 5" xfId="17928" xr:uid="{38EBE164-FB6C-474F-B88C-261C271999B4}"/>
    <cellStyle name="Normal 5 4 4 2 6" xfId="26375" xr:uid="{66D9C093-6E2A-4025-B40E-D18E121C0F74}"/>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DF47AB2E-04DF-4966-83B3-0FE525FAAD5D}"/>
    <cellStyle name="Normal 5 4 4 3 2 2 3" xfId="24703" xr:uid="{69B8B3BE-6E5B-43EA-8BF3-ED3EED128636}"/>
    <cellStyle name="Normal 5 4 4 3 2 2 4" xfId="33150" xr:uid="{9E07A1A3-0A80-4656-8576-BB4EFC1E2BD5}"/>
    <cellStyle name="Normal 5 4 4 3 2 3" xfId="12038" xr:uid="{68B69B6A-7AB9-4DDA-9F2B-55BBFA93D151}"/>
    <cellStyle name="Normal 5 4 4 3 2 4" xfId="20486" xr:uid="{B4715C73-0797-477B-9239-2893FD6C7258}"/>
    <cellStyle name="Normal 5 4 4 3 2 5" xfId="28933" xr:uid="{B1F96DD3-CE6B-4844-80BE-6A26069D828D}"/>
    <cellStyle name="Normal 5 4 4 3 3" xfId="5661" xr:uid="{00000000-0005-0000-0000-00002E1B0000}"/>
    <cellStyle name="Normal 5 4 4 3 3 2" xfId="14111" xr:uid="{8809F7A0-ADA9-4F02-9C07-CFAA1E5EDA03}"/>
    <cellStyle name="Normal 5 4 4 3 3 3" xfId="22558" xr:uid="{2E76F6C4-16A5-4B49-8AB6-FD7CD64A878A}"/>
    <cellStyle name="Normal 5 4 4 3 3 4" xfId="31005" xr:uid="{94070499-AB0A-471C-8961-96AB3BCB5545}"/>
    <cellStyle name="Normal 5 4 4 3 4" xfId="9893" xr:uid="{E621F843-2437-4461-AE3A-CCAA8EE43FC3}"/>
    <cellStyle name="Normal 5 4 4 3 5" xfId="18341" xr:uid="{DCC4B732-8DBF-4CF6-BA48-E451665DF489}"/>
    <cellStyle name="Normal 5 4 4 3 6" xfId="26788" xr:uid="{E1B084D3-F3DC-4054-AB66-AFF7E94E8F2E}"/>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465704F0-A705-44D7-B049-520D53958840}"/>
    <cellStyle name="Normal 5 4 4 4 2 2 3" xfId="25116" xr:uid="{AE976906-9743-42A7-87BB-79ED0BF45B73}"/>
    <cellStyle name="Normal 5 4 4 4 2 2 4" xfId="33563" xr:uid="{C9C5267D-3AA3-4509-BD2A-F00719002FA5}"/>
    <cellStyle name="Normal 5 4 4 4 2 3" xfId="12451" xr:uid="{A23D2528-4F0F-4483-89F8-B15F7FC418C2}"/>
    <cellStyle name="Normal 5 4 4 4 2 4" xfId="20899" xr:uid="{383E1460-8648-4556-AA2B-05A92E2ACDDE}"/>
    <cellStyle name="Normal 5 4 4 4 2 5" xfId="29346" xr:uid="{6C57375D-AB2A-469C-98C0-06922C71EA1D}"/>
    <cellStyle name="Normal 5 4 4 4 3" xfId="6074" xr:uid="{00000000-0005-0000-0000-0000321B0000}"/>
    <cellStyle name="Normal 5 4 4 4 3 2" xfId="14524" xr:uid="{5CCF0E23-2D47-46B6-8E1D-BD8BEE3B2C0A}"/>
    <cellStyle name="Normal 5 4 4 4 3 3" xfId="22971" xr:uid="{608F044F-F392-4078-82EF-DE94870AD0F0}"/>
    <cellStyle name="Normal 5 4 4 4 3 4" xfId="31418" xr:uid="{EA5A42FF-0C83-44BB-B832-2134D36DFD94}"/>
    <cellStyle name="Normal 5 4 4 4 4" xfId="10306" xr:uid="{4FD7BDA0-EDEC-4466-B61D-D64D13079580}"/>
    <cellStyle name="Normal 5 4 4 4 5" xfId="18754" xr:uid="{53325F3A-2276-442D-B702-4C824C36B54A}"/>
    <cellStyle name="Normal 5 4 4 4 6" xfId="27201" xr:uid="{62536E96-BD87-436C-9AB3-C590C2BB6695}"/>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34BF2DE-4E79-4EBD-BB8F-B5503FD830DA}"/>
    <cellStyle name="Normal 5 4 4 5 2 2 3" xfId="25529" xr:uid="{0B71F581-53ED-4FC7-A4F0-FE57E700CEA3}"/>
    <cellStyle name="Normal 5 4 4 5 2 2 4" xfId="33976" xr:uid="{20CE60A8-D9D1-49DD-97A3-8C7C47446171}"/>
    <cellStyle name="Normal 5 4 4 5 2 3" xfId="12864" xr:uid="{562C974C-635F-484A-A3BD-5FA6F47F72CD}"/>
    <cellStyle name="Normal 5 4 4 5 2 4" xfId="21312" xr:uid="{5E674443-07C8-44F1-8C31-0C561FA07B25}"/>
    <cellStyle name="Normal 5 4 4 5 2 5" xfId="29759" xr:uid="{4BFB6395-E075-4FAB-9003-BB3EBE604383}"/>
    <cellStyle name="Normal 5 4 4 5 3" xfId="6487" xr:uid="{00000000-0005-0000-0000-0000361B0000}"/>
    <cellStyle name="Normal 5 4 4 5 3 2" xfId="14937" xr:uid="{2ABC5E94-5794-419D-9548-8158FE5DECD8}"/>
    <cellStyle name="Normal 5 4 4 5 3 3" xfId="23384" xr:uid="{DFC4AD7C-8D77-491B-AD61-ADD574728EFB}"/>
    <cellStyle name="Normal 5 4 4 5 3 4" xfId="31831" xr:uid="{56ED1B21-01EC-4270-93D1-BA71FF6706E9}"/>
    <cellStyle name="Normal 5 4 4 5 4" xfId="10719" xr:uid="{202A1963-AB7E-48DD-9F7E-E5C560E25933}"/>
    <cellStyle name="Normal 5 4 4 5 5" xfId="19167" xr:uid="{F9A73664-39A6-4E63-877F-2FF4E9B01D55}"/>
    <cellStyle name="Normal 5 4 4 5 6" xfId="27614" xr:uid="{8DE27878-1DBC-47A1-AF5F-9A948BD0F06A}"/>
    <cellStyle name="Normal 5 4 4 6" xfId="2617" xr:uid="{00000000-0005-0000-0000-0000371B0000}"/>
    <cellStyle name="Normal 5 4 4 6 2" xfId="6900" xr:uid="{00000000-0005-0000-0000-0000381B0000}"/>
    <cellStyle name="Normal 5 4 4 6 2 2" xfId="15350" xr:uid="{D1135DAB-33B5-418C-9E70-2A3F2AF02F87}"/>
    <cellStyle name="Normal 5 4 4 6 2 3" xfId="23797" xr:uid="{324298B4-3F0C-4887-A8EE-9B87C2742BAF}"/>
    <cellStyle name="Normal 5 4 4 6 2 4" xfId="32244" xr:uid="{82521716-FE0B-4D34-83FB-AEC3DC2F41B0}"/>
    <cellStyle name="Normal 5 4 4 6 3" xfId="11132" xr:uid="{1592C3DE-D312-4231-B96C-EA27271624D3}"/>
    <cellStyle name="Normal 5 4 4 6 4" xfId="19580" xr:uid="{50D912B7-91CC-43A5-A9EC-DB98FE05AB84}"/>
    <cellStyle name="Normal 5 4 4 6 5" xfId="28027" xr:uid="{4158615F-C02A-4751-AC43-D6D849137CA1}"/>
    <cellStyle name="Normal 5 4 4 7" xfId="4835" xr:uid="{00000000-0005-0000-0000-0000391B0000}"/>
    <cellStyle name="Normal 5 4 4 7 2" xfId="13285" xr:uid="{1A663EAF-AF92-4CD5-9ACE-9B09F35CA000}"/>
    <cellStyle name="Normal 5 4 4 7 3" xfId="21732" xr:uid="{5D130647-B1CB-4933-AAE1-60AAFDB245F3}"/>
    <cellStyle name="Normal 5 4 4 7 4" xfId="30179" xr:uid="{3A10DBF3-6358-4173-9A66-FADBAFE9CACC}"/>
    <cellStyle name="Normal 5 4 4 8" xfId="9067" xr:uid="{2607A77C-B408-449A-A136-16891203C2D7}"/>
    <cellStyle name="Normal 5 4 4 9" xfId="17515" xr:uid="{599773B4-4601-4C1B-BA1A-DF460450F796}"/>
    <cellStyle name="Normal 5 4 5" xfId="930" xr:uid="{00000000-0005-0000-0000-00003A1B0000}"/>
    <cellStyle name="Normal 5 4 5 2" xfId="3164" xr:uid="{00000000-0005-0000-0000-00003B1B0000}"/>
    <cellStyle name="Normal 5 4 5 2 2" xfId="7386" xr:uid="{00000000-0005-0000-0000-00003C1B0000}"/>
    <cellStyle name="Normal 5 4 5 2 2 2" xfId="15836" xr:uid="{1E06876E-2CD1-4BEB-9F8E-470400EEF967}"/>
    <cellStyle name="Normal 5 4 5 2 2 3" xfId="24283" xr:uid="{216F7570-EF9B-4AF3-BCE3-D59F0D6EA01A}"/>
    <cellStyle name="Normal 5 4 5 2 2 4" xfId="32730" xr:uid="{AEAAFFE7-559D-45D7-A378-2DDBE1623161}"/>
    <cellStyle name="Normal 5 4 5 2 3" xfId="11618" xr:uid="{B7D67CDF-233A-4F26-A156-89E61971C1BF}"/>
    <cellStyle name="Normal 5 4 5 2 4" xfId="20066" xr:uid="{1D13E6CD-BF31-4CE6-A7C5-39C21B89D653}"/>
    <cellStyle name="Normal 5 4 5 2 5" xfId="28513" xr:uid="{FDB7837A-8463-4B40-878B-678A41181C9A}"/>
    <cellStyle name="Normal 5 4 5 3" xfId="5241" xr:uid="{00000000-0005-0000-0000-00003D1B0000}"/>
    <cellStyle name="Normal 5 4 5 3 2" xfId="13691" xr:uid="{43DB9A21-799A-48C2-AB67-CA6E7DB6D0EF}"/>
    <cellStyle name="Normal 5 4 5 3 3" xfId="22138" xr:uid="{3C65B1F5-FDED-471B-93E6-B1A29A3FA84A}"/>
    <cellStyle name="Normal 5 4 5 3 4" xfId="30585" xr:uid="{896A1FA4-4050-46BC-965B-3724D12ECA4A}"/>
    <cellStyle name="Normal 5 4 5 4" xfId="9473" xr:uid="{A92CB7E7-0164-4ECB-8616-37C5A40D997E}"/>
    <cellStyle name="Normal 5 4 5 5" xfId="17921" xr:uid="{A6DA2234-A7B7-4809-B7DC-DED084E0E363}"/>
    <cellStyle name="Normal 5 4 5 6" xfId="26368" xr:uid="{982F0B50-B0B7-48A1-8960-62E4AE7DFE0F}"/>
    <cellStyle name="Normal 5 4 6" xfId="1347" xr:uid="{00000000-0005-0000-0000-00003E1B0000}"/>
    <cellStyle name="Normal 5 4 6 2" xfId="3577" xr:uid="{00000000-0005-0000-0000-00003F1B0000}"/>
    <cellStyle name="Normal 5 4 6 2 2" xfId="7799" xr:uid="{00000000-0005-0000-0000-0000401B0000}"/>
    <cellStyle name="Normal 5 4 6 2 2 2" xfId="16249" xr:uid="{E0286992-5F32-49A8-A447-871E89B0B2A6}"/>
    <cellStyle name="Normal 5 4 6 2 2 3" xfId="24696" xr:uid="{21D99410-C126-4E93-AD60-A80F5C9D1049}"/>
    <cellStyle name="Normal 5 4 6 2 2 4" xfId="33143" xr:uid="{F381598E-018C-42AC-A94C-C507338CB48A}"/>
    <cellStyle name="Normal 5 4 6 2 3" xfId="12031" xr:uid="{7BFC6D28-1E8A-4BB8-952F-B41068E70426}"/>
    <cellStyle name="Normal 5 4 6 2 4" xfId="20479" xr:uid="{2A0D7A3E-71F1-4FDC-AC7B-A5C7CAEE976F}"/>
    <cellStyle name="Normal 5 4 6 2 5" xfId="28926" xr:uid="{D8C06791-AD9B-4C1B-97AB-A3CD2568D1D7}"/>
    <cellStyle name="Normal 5 4 6 3" xfId="5654" xr:uid="{00000000-0005-0000-0000-0000411B0000}"/>
    <cellStyle name="Normal 5 4 6 3 2" xfId="14104" xr:uid="{CBFCCB23-0C85-44B3-8594-58FE504902CE}"/>
    <cellStyle name="Normal 5 4 6 3 3" xfId="22551" xr:uid="{985A6DCE-A185-43D5-A37C-649B9E6D3BE6}"/>
    <cellStyle name="Normal 5 4 6 3 4" xfId="30998" xr:uid="{A6FF40C5-B8D2-45EB-98B6-64FCF973BDA8}"/>
    <cellStyle name="Normal 5 4 6 4" xfId="9886" xr:uid="{3188C66F-6940-4BD6-A21B-E9ADC593DB01}"/>
    <cellStyle name="Normal 5 4 6 5" xfId="18334" xr:uid="{CBB13857-6D2B-40FF-94B0-399981D5283F}"/>
    <cellStyle name="Normal 5 4 6 6" xfId="26781" xr:uid="{202CCEA7-FB4C-42F4-A50F-3793796DA425}"/>
    <cellStyle name="Normal 5 4 7" xfId="1760" xr:uid="{00000000-0005-0000-0000-0000421B0000}"/>
    <cellStyle name="Normal 5 4 7 2" xfId="3990" xr:uid="{00000000-0005-0000-0000-0000431B0000}"/>
    <cellStyle name="Normal 5 4 7 2 2" xfId="8212" xr:uid="{00000000-0005-0000-0000-0000441B0000}"/>
    <cellStyle name="Normal 5 4 7 2 2 2" xfId="16662" xr:uid="{546B027E-D837-45DB-9001-D9060BC3C369}"/>
    <cellStyle name="Normal 5 4 7 2 2 3" xfId="25109" xr:uid="{58ADF9CA-EE33-4BDD-9374-3E7CFBEB2C31}"/>
    <cellStyle name="Normal 5 4 7 2 2 4" xfId="33556" xr:uid="{DD1F434A-A2F7-4EF6-B244-993ADE98D8C7}"/>
    <cellStyle name="Normal 5 4 7 2 3" xfId="12444" xr:uid="{05146E9C-B8BD-42FB-9F15-81408529E957}"/>
    <cellStyle name="Normal 5 4 7 2 4" xfId="20892" xr:uid="{C4E962EB-DFB9-427F-AB32-FA15851508B9}"/>
    <cellStyle name="Normal 5 4 7 2 5" xfId="29339" xr:uid="{3EAC4F68-3650-4602-876F-530516171839}"/>
    <cellStyle name="Normal 5 4 7 3" xfId="6067" xr:uid="{00000000-0005-0000-0000-0000451B0000}"/>
    <cellStyle name="Normal 5 4 7 3 2" xfId="14517" xr:uid="{E41695AE-6B42-422A-9DE9-94AECEF604F3}"/>
    <cellStyle name="Normal 5 4 7 3 3" xfId="22964" xr:uid="{C4FDE4CF-CDF2-485B-BBF5-CF1BE1E66AD5}"/>
    <cellStyle name="Normal 5 4 7 3 4" xfId="31411" xr:uid="{767ED10E-1668-49F6-89C9-C4EAF754924B}"/>
    <cellStyle name="Normal 5 4 7 4" xfId="10299" xr:uid="{99EC544E-967D-43D5-BD24-61A9A61FFC5B}"/>
    <cellStyle name="Normal 5 4 7 5" xfId="18747" xr:uid="{4A8866A7-7EE8-49D0-9581-E355A6379B7B}"/>
    <cellStyle name="Normal 5 4 7 6" xfId="27194" xr:uid="{590DFAD6-516A-4D46-89A5-6AD5234F04D1}"/>
    <cellStyle name="Normal 5 4 8" xfId="2174" xr:uid="{00000000-0005-0000-0000-0000461B0000}"/>
    <cellStyle name="Normal 5 4 8 2" xfId="4403" xr:uid="{00000000-0005-0000-0000-0000471B0000}"/>
    <cellStyle name="Normal 5 4 8 2 2" xfId="8625" xr:uid="{00000000-0005-0000-0000-0000481B0000}"/>
    <cellStyle name="Normal 5 4 8 2 2 2" xfId="17075" xr:uid="{0B9F062C-E281-4E10-A47D-3C29BB8440ED}"/>
    <cellStyle name="Normal 5 4 8 2 2 3" xfId="25522" xr:uid="{75BEB34F-89CC-4B0A-ACE3-5391B7845A04}"/>
    <cellStyle name="Normal 5 4 8 2 2 4" xfId="33969" xr:uid="{76C24BAA-D295-4592-848E-B7BAA5FDB5D0}"/>
    <cellStyle name="Normal 5 4 8 2 3" xfId="12857" xr:uid="{1E4265AE-2C30-46AD-B7EF-9CEEA73F8EDD}"/>
    <cellStyle name="Normal 5 4 8 2 4" xfId="21305" xr:uid="{FC579A82-1576-48A1-B96B-BF68610FA66B}"/>
    <cellStyle name="Normal 5 4 8 2 5" xfId="29752" xr:uid="{C3891869-7A34-4BB1-A3E8-B1AE40D82BA7}"/>
    <cellStyle name="Normal 5 4 8 3" xfId="6480" xr:uid="{00000000-0005-0000-0000-0000491B0000}"/>
    <cellStyle name="Normal 5 4 8 3 2" xfId="14930" xr:uid="{B1CA9C80-D512-4756-A87B-303150D05D6F}"/>
    <cellStyle name="Normal 5 4 8 3 3" xfId="23377" xr:uid="{4278F8F2-F907-4B14-829F-C16405A565AF}"/>
    <cellStyle name="Normal 5 4 8 3 4" xfId="31824" xr:uid="{33CAFCBB-207C-4C01-AAD9-C1F277F5F0EA}"/>
    <cellStyle name="Normal 5 4 8 4" xfId="10712" xr:uid="{95BF8B72-2956-447D-9FF6-20F8EDD4C5CF}"/>
    <cellStyle name="Normal 5 4 8 5" xfId="19160" xr:uid="{E7E518B8-7DAF-4844-B181-208191B532BC}"/>
    <cellStyle name="Normal 5 4 8 6" xfId="27607" xr:uid="{4C91F2EC-8197-4992-A76E-9593F320B6BD}"/>
    <cellStyle name="Normal 5 4 9" xfId="2610" xr:uid="{00000000-0005-0000-0000-00004A1B0000}"/>
    <cellStyle name="Normal 5 4 9 2" xfId="6893" xr:uid="{00000000-0005-0000-0000-00004B1B0000}"/>
    <cellStyle name="Normal 5 4 9 2 2" xfId="15343" xr:uid="{081F76EF-2F47-46E2-8BB4-019354B706FB}"/>
    <cellStyle name="Normal 5 4 9 2 3" xfId="23790" xr:uid="{45695279-013A-4640-994A-74D4EEEBE578}"/>
    <cellStyle name="Normal 5 4 9 2 4" xfId="32237" xr:uid="{DD5F9201-E047-49FB-8D48-2EC74B4C47B7}"/>
    <cellStyle name="Normal 5 4 9 3" xfId="11125" xr:uid="{6F6FD83B-732C-4BEA-BBF3-57954C3EEA9F}"/>
    <cellStyle name="Normal 5 4 9 4" xfId="19573" xr:uid="{5DD0E130-0FEF-4DA4-BC04-277BE6642488}"/>
    <cellStyle name="Normal 5 4 9 5" xfId="28020" xr:uid="{F3135BE1-84B9-406C-809E-91B7F9305C5B}"/>
    <cellStyle name="Normal 5 5" xfId="464" xr:uid="{00000000-0005-0000-0000-00004C1B0000}"/>
    <cellStyle name="Normal 5 5 10" xfId="9068" xr:uid="{78B754DF-B0A8-4235-9BD3-4A38404090E7}"/>
    <cellStyle name="Normal 5 5 11" xfId="17516" xr:uid="{C7203273-62A5-4330-A5DA-5EBE61AC706F}"/>
    <cellStyle name="Normal 5 5 12" xfId="25963" xr:uid="{2FE33294-BAE7-44F7-91A9-E3204012B486}"/>
    <cellStyle name="Normal 5 5 2" xfId="465" xr:uid="{00000000-0005-0000-0000-00004D1B0000}"/>
    <cellStyle name="Normal 5 5 2 10" xfId="17517" xr:uid="{C567EB98-141D-4185-9831-37241086E783}"/>
    <cellStyle name="Normal 5 5 2 11" xfId="25964" xr:uid="{BB822341-BE9E-41DB-B3C6-06EBB117035C}"/>
    <cellStyle name="Normal 5 5 2 2" xfId="466" xr:uid="{00000000-0005-0000-0000-00004E1B0000}"/>
    <cellStyle name="Normal 5 5 2 2 10" xfId="25965" xr:uid="{1068FE40-9302-4600-8657-674EC006D627}"/>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E4086CD-E5A8-4478-95B3-336E59D4ED7C}"/>
    <cellStyle name="Normal 5 5 2 2 2 2 2 3" xfId="24293" xr:uid="{608D0D53-654E-4732-BE71-DFE5C63DA6AB}"/>
    <cellStyle name="Normal 5 5 2 2 2 2 2 4" xfId="32740" xr:uid="{E9BDBF20-46A7-4A3B-BF8D-F6DB3B9C97B8}"/>
    <cellStyle name="Normal 5 5 2 2 2 2 3" xfId="11628" xr:uid="{D5384AA1-2DB2-4C78-AFE8-DD619F0FBC1B}"/>
    <cellStyle name="Normal 5 5 2 2 2 2 4" xfId="20076" xr:uid="{68857B42-B1C8-4BE0-A750-948E1DB6FE3A}"/>
    <cellStyle name="Normal 5 5 2 2 2 2 5" xfId="28523" xr:uid="{B8E28976-9875-4BAB-9C0A-F90E0C6405D3}"/>
    <cellStyle name="Normal 5 5 2 2 2 3" xfId="5251" xr:uid="{00000000-0005-0000-0000-0000521B0000}"/>
    <cellStyle name="Normal 5 5 2 2 2 3 2" xfId="13701" xr:uid="{54B70D1A-0E0F-4B4C-95BA-0C51A42296BA}"/>
    <cellStyle name="Normal 5 5 2 2 2 3 3" xfId="22148" xr:uid="{587178B1-5C48-4A12-ACAB-FE91282CF236}"/>
    <cellStyle name="Normal 5 5 2 2 2 3 4" xfId="30595" xr:uid="{A53AF92F-F14A-4509-87C5-464EEB63A9DA}"/>
    <cellStyle name="Normal 5 5 2 2 2 4" xfId="9483" xr:uid="{139DB00B-9E3D-459C-A05F-43D98BEE4641}"/>
    <cellStyle name="Normal 5 5 2 2 2 5" xfId="17931" xr:uid="{1F371D0D-E978-44C3-844D-ED49C78F5977}"/>
    <cellStyle name="Normal 5 5 2 2 2 6" xfId="26378" xr:uid="{D3CC5817-EFC2-4FD2-B9DC-B259579E3B63}"/>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AC640CEE-89D4-4E03-B574-449C61A12839}"/>
    <cellStyle name="Normal 5 5 2 2 3 2 2 3" xfId="24706" xr:uid="{A689B365-F585-4E65-91AA-57F723224B9E}"/>
    <cellStyle name="Normal 5 5 2 2 3 2 2 4" xfId="33153" xr:uid="{FFF5C527-D2C9-4290-9C8D-8E5FD5A84533}"/>
    <cellStyle name="Normal 5 5 2 2 3 2 3" xfId="12041" xr:uid="{CBA128EF-5827-4ABF-9698-A9C264067085}"/>
    <cellStyle name="Normal 5 5 2 2 3 2 4" xfId="20489" xr:uid="{710D4729-F611-42F4-985F-A82A0901E527}"/>
    <cellStyle name="Normal 5 5 2 2 3 2 5" xfId="28936" xr:uid="{3D9A1400-5697-4A0C-80B9-84673051129B}"/>
    <cellStyle name="Normal 5 5 2 2 3 3" xfId="5664" xr:uid="{00000000-0005-0000-0000-0000561B0000}"/>
    <cellStyle name="Normal 5 5 2 2 3 3 2" xfId="14114" xr:uid="{B615E760-3BE0-46BC-8E6A-20B9F8A4F746}"/>
    <cellStyle name="Normal 5 5 2 2 3 3 3" xfId="22561" xr:uid="{377F2B52-22BB-42BB-9723-4661AF2E997B}"/>
    <cellStyle name="Normal 5 5 2 2 3 3 4" xfId="31008" xr:uid="{3F72DE9D-2672-4DC9-9843-33C53D88A542}"/>
    <cellStyle name="Normal 5 5 2 2 3 4" xfId="9896" xr:uid="{4F4078F9-7A0F-4AC4-A08D-B08949C909AD}"/>
    <cellStyle name="Normal 5 5 2 2 3 5" xfId="18344" xr:uid="{6C8CDD8D-6EA0-4886-AC32-5E59A9F41904}"/>
    <cellStyle name="Normal 5 5 2 2 3 6" xfId="26791" xr:uid="{8B36BD69-77B2-4C61-9FDF-AAF99A3B8206}"/>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05259DE8-A406-4A7A-9299-C0241315C8D1}"/>
    <cellStyle name="Normal 5 5 2 2 4 2 2 3" xfId="25119" xr:uid="{231013BE-2543-4EEE-BA49-85511BF0C6A2}"/>
    <cellStyle name="Normal 5 5 2 2 4 2 2 4" xfId="33566" xr:uid="{782C78EA-F3C0-48C8-95E5-AA3E41287290}"/>
    <cellStyle name="Normal 5 5 2 2 4 2 3" xfId="12454" xr:uid="{2BC9F23A-BE1B-4CF9-B05D-277A6A9724E1}"/>
    <cellStyle name="Normal 5 5 2 2 4 2 4" xfId="20902" xr:uid="{04E34BAC-C1E6-4097-BC82-0D9E5F491074}"/>
    <cellStyle name="Normal 5 5 2 2 4 2 5" xfId="29349" xr:uid="{B59E77CC-4FBD-4306-9174-0BC952595407}"/>
    <cellStyle name="Normal 5 5 2 2 4 3" xfId="6077" xr:uid="{00000000-0005-0000-0000-00005A1B0000}"/>
    <cellStyle name="Normal 5 5 2 2 4 3 2" xfId="14527" xr:uid="{9D9CADAC-D084-47D4-B69B-633C1F2D1DDC}"/>
    <cellStyle name="Normal 5 5 2 2 4 3 3" xfId="22974" xr:uid="{32FBCE84-1258-467F-8652-C5DA6F4C911F}"/>
    <cellStyle name="Normal 5 5 2 2 4 3 4" xfId="31421" xr:uid="{FE7B463C-8883-44C1-951E-13D78757C8BD}"/>
    <cellStyle name="Normal 5 5 2 2 4 4" xfId="10309" xr:uid="{59D27D70-77DA-41A0-8CFD-5BA0B6F6B148}"/>
    <cellStyle name="Normal 5 5 2 2 4 5" xfId="18757" xr:uid="{1E85D9CF-FFFC-451D-A032-AF404130C525}"/>
    <cellStyle name="Normal 5 5 2 2 4 6" xfId="27204" xr:uid="{1F3CBF07-BBA4-4E4F-A0A8-92C22569D02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BE9AB1D4-B71B-4D0E-A097-A4AB2EE876EE}"/>
    <cellStyle name="Normal 5 5 2 2 5 2 2 3" xfId="25532" xr:uid="{1A8DFA21-1DB9-4F4D-AA5A-6BC2F5E019FE}"/>
    <cellStyle name="Normal 5 5 2 2 5 2 2 4" xfId="33979" xr:uid="{3F0707A2-40FA-4B74-94AB-34900C46F41A}"/>
    <cellStyle name="Normal 5 5 2 2 5 2 3" xfId="12867" xr:uid="{6E9FC00D-04DA-4020-9F35-3902A2BA64FE}"/>
    <cellStyle name="Normal 5 5 2 2 5 2 4" xfId="21315" xr:uid="{FC849019-4406-4A44-BC54-7B2C49DC815F}"/>
    <cellStyle name="Normal 5 5 2 2 5 2 5" xfId="29762" xr:uid="{84332C30-AE22-49AD-9189-AC90E78716F3}"/>
    <cellStyle name="Normal 5 5 2 2 5 3" xfId="6490" xr:uid="{00000000-0005-0000-0000-00005E1B0000}"/>
    <cellStyle name="Normal 5 5 2 2 5 3 2" xfId="14940" xr:uid="{F97C7BE8-A102-43D4-9803-6FA4E973DD5B}"/>
    <cellStyle name="Normal 5 5 2 2 5 3 3" xfId="23387" xr:uid="{9D7936E6-2F38-474C-99E7-D2FD848F7A6F}"/>
    <cellStyle name="Normal 5 5 2 2 5 3 4" xfId="31834" xr:uid="{8C6295DC-DC22-45E5-99C1-1542A5C15865}"/>
    <cellStyle name="Normal 5 5 2 2 5 4" xfId="10722" xr:uid="{C04F0ED5-C114-48EC-B78B-65FD72B6A3FD}"/>
    <cellStyle name="Normal 5 5 2 2 5 5" xfId="19170" xr:uid="{5DCE5B36-5BD9-4BA5-984E-3E147030F9E7}"/>
    <cellStyle name="Normal 5 5 2 2 5 6" xfId="27617" xr:uid="{0E19AAEC-312B-4F5C-9DC0-B8847E91A7E3}"/>
    <cellStyle name="Normal 5 5 2 2 6" xfId="2620" xr:uid="{00000000-0005-0000-0000-00005F1B0000}"/>
    <cellStyle name="Normal 5 5 2 2 6 2" xfId="6903" xr:uid="{00000000-0005-0000-0000-0000601B0000}"/>
    <cellStyle name="Normal 5 5 2 2 6 2 2" xfId="15353" xr:uid="{09C2A9EE-8772-4C40-AD20-76FF1CC8A293}"/>
    <cellStyle name="Normal 5 5 2 2 6 2 3" xfId="23800" xr:uid="{04486677-447B-45B3-9869-AC53B9EED787}"/>
    <cellStyle name="Normal 5 5 2 2 6 2 4" xfId="32247" xr:uid="{C3A09B70-7CB3-4248-AF2F-2C07CCBAE730}"/>
    <cellStyle name="Normal 5 5 2 2 6 3" xfId="11135" xr:uid="{4F8A934D-AA0F-4988-836F-25A42655450C}"/>
    <cellStyle name="Normal 5 5 2 2 6 4" xfId="19583" xr:uid="{CBEC8003-E586-4090-81AC-36970FA5A4D1}"/>
    <cellStyle name="Normal 5 5 2 2 6 5" xfId="28030" xr:uid="{066AB204-49AB-4772-809B-65C0A9B08E7C}"/>
    <cellStyle name="Normal 5 5 2 2 7" xfId="4838" xr:uid="{00000000-0005-0000-0000-0000611B0000}"/>
    <cellStyle name="Normal 5 5 2 2 7 2" xfId="13288" xr:uid="{73D84E26-1A4C-4016-A544-2C00A7A7C15F}"/>
    <cellStyle name="Normal 5 5 2 2 7 3" xfId="21735" xr:uid="{72816477-FD02-4197-9C58-816113864899}"/>
    <cellStyle name="Normal 5 5 2 2 7 4" xfId="30182" xr:uid="{AE0E0114-7D9C-4ED6-B814-843E13533A92}"/>
    <cellStyle name="Normal 5 5 2 2 8" xfId="9070" xr:uid="{72FE61A3-41A3-4B2E-8A22-FD89806A9779}"/>
    <cellStyle name="Normal 5 5 2 2 9" xfId="17518" xr:uid="{CE3C9B6C-8ECA-45CD-B7A9-964E12D661AE}"/>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C444A995-F78C-444C-8475-7BA36E9DA751}"/>
    <cellStyle name="Normal 5 5 2 3 2 2 3" xfId="24292" xr:uid="{3150D2E9-18C1-44AD-AABA-70DC7DD1EC13}"/>
    <cellStyle name="Normal 5 5 2 3 2 2 4" xfId="32739" xr:uid="{291929FC-93A8-481C-A735-41DB697AF68B}"/>
    <cellStyle name="Normal 5 5 2 3 2 3" xfId="11627" xr:uid="{A05E84A3-1194-453A-9A75-E93B6DEFBE1A}"/>
    <cellStyle name="Normal 5 5 2 3 2 4" xfId="20075" xr:uid="{68F15416-ABBC-4BF7-A0C4-484A7F93A0AF}"/>
    <cellStyle name="Normal 5 5 2 3 2 5" xfId="28522" xr:uid="{BC79485C-B9BC-4081-B784-1932892635C2}"/>
    <cellStyle name="Normal 5 5 2 3 3" xfId="5250" xr:uid="{00000000-0005-0000-0000-0000651B0000}"/>
    <cellStyle name="Normal 5 5 2 3 3 2" xfId="13700" xr:uid="{55856E3B-F7B9-4ADF-8924-CECECF0B1840}"/>
    <cellStyle name="Normal 5 5 2 3 3 3" xfId="22147" xr:uid="{6F6B033D-DF3B-49E0-9AB6-B96DDCCF46DB}"/>
    <cellStyle name="Normal 5 5 2 3 3 4" xfId="30594" xr:uid="{B51B09E5-D353-4C73-86A5-F276A8F08137}"/>
    <cellStyle name="Normal 5 5 2 3 4" xfId="9482" xr:uid="{FC114203-F532-4EEF-8085-A46F76529F3F}"/>
    <cellStyle name="Normal 5 5 2 3 5" xfId="17930" xr:uid="{E8ED1B52-0E1E-4E29-AB4D-0D97710EBB48}"/>
    <cellStyle name="Normal 5 5 2 3 6" xfId="26377" xr:uid="{C0EA38AD-45FD-4A2F-A8E6-8DBE07739C8E}"/>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DBEA8C23-2759-482D-985D-3458A00FB91A}"/>
    <cellStyle name="Normal 5 5 2 4 2 2 3" xfId="24705" xr:uid="{BF935CED-97A0-45EC-BCC7-ADDADBF864E6}"/>
    <cellStyle name="Normal 5 5 2 4 2 2 4" xfId="33152" xr:uid="{64B3EC12-3D4C-4B60-9BFA-88450F086043}"/>
    <cellStyle name="Normal 5 5 2 4 2 3" xfId="12040" xr:uid="{3B7FE39A-9AD8-4431-AF98-28BB9AF63AAE}"/>
    <cellStyle name="Normal 5 5 2 4 2 4" xfId="20488" xr:uid="{1D16ACD4-9718-4B38-ADF6-79843703A9D2}"/>
    <cellStyle name="Normal 5 5 2 4 2 5" xfId="28935" xr:uid="{DF690418-86FD-4314-ADFB-36A60B3894E5}"/>
    <cellStyle name="Normal 5 5 2 4 3" xfId="5663" xr:uid="{00000000-0005-0000-0000-0000691B0000}"/>
    <cellStyle name="Normal 5 5 2 4 3 2" xfId="14113" xr:uid="{E02164FF-699B-414E-AFE4-1BF38F419F75}"/>
    <cellStyle name="Normal 5 5 2 4 3 3" xfId="22560" xr:uid="{A644C503-6313-4218-9DE8-05C79DED3745}"/>
    <cellStyle name="Normal 5 5 2 4 3 4" xfId="31007" xr:uid="{B343121B-74EF-4784-92B9-7C3DC38ED09C}"/>
    <cellStyle name="Normal 5 5 2 4 4" xfId="9895" xr:uid="{C0A6726E-B6F0-461C-B3EC-966D4FEF16CB}"/>
    <cellStyle name="Normal 5 5 2 4 5" xfId="18343" xr:uid="{52258517-0BDE-4CC2-AA35-CB78359B4184}"/>
    <cellStyle name="Normal 5 5 2 4 6" xfId="26790" xr:uid="{4DF8741F-B871-45CA-B51A-81717B212F4E}"/>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5661A36D-0EFC-4921-92EC-A016E7D378FE}"/>
    <cellStyle name="Normal 5 5 2 5 2 2 3" xfId="25118" xr:uid="{CD2F5F26-095C-4FD1-BE7F-0645BDC57E44}"/>
    <cellStyle name="Normal 5 5 2 5 2 2 4" xfId="33565" xr:uid="{4339AAA1-C22B-485A-8EEA-79ACD51AAE7D}"/>
    <cellStyle name="Normal 5 5 2 5 2 3" xfId="12453" xr:uid="{9DB1B141-BCCF-4A5D-A61D-268B214AB2C1}"/>
    <cellStyle name="Normal 5 5 2 5 2 4" xfId="20901" xr:uid="{13490B9C-3FAD-4463-AD31-353E1FF68906}"/>
    <cellStyle name="Normal 5 5 2 5 2 5" xfId="29348" xr:uid="{700E2194-BAAD-4C64-9ADB-0D328288E005}"/>
    <cellStyle name="Normal 5 5 2 5 3" xfId="6076" xr:uid="{00000000-0005-0000-0000-00006D1B0000}"/>
    <cellStyle name="Normal 5 5 2 5 3 2" xfId="14526" xr:uid="{562B96BC-5B59-4C2E-A85C-D98C3B61A041}"/>
    <cellStyle name="Normal 5 5 2 5 3 3" xfId="22973" xr:uid="{650C522D-39DE-4BA0-B3D2-3517396D7464}"/>
    <cellStyle name="Normal 5 5 2 5 3 4" xfId="31420" xr:uid="{A3E68E17-A3F0-4F5C-B926-30D932ADCCA3}"/>
    <cellStyle name="Normal 5 5 2 5 4" xfId="10308" xr:uid="{019E399D-E8F0-4DBF-B20B-9149ACF1306B}"/>
    <cellStyle name="Normal 5 5 2 5 5" xfId="18756" xr:uid="{D9563A6D-260A-4743-8A92-0520295C657D}"/>
    <cellStyle name="Normal 5 5 2 5 6" xfId="27203" xr:uid="{53402B11-0DDB-4CB5-BDF0-AC7D23B388CF}"/>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16C2A5EC-299B-49C0-93D1-1033442CB9BD}"/>
    <cellStyle name="Normal 5 5 2 6 2 2 3" xfId="25531" xr:uid="{1FFF1ACD-2AEC-42E9-904C-FFAD603BCA30}"/>
    <cellStyle name="Normal 5 5 2 6 2 2 4" xfId="33978" xr:uid="{27AB20EC-EC27-4DDF-A64B-16689D5DB53A}"/>
    <cellStyle name="Normal 5 5 2 6 2 3" xfId="12866" xr:uid="{5F3FDACF-3C0B-4BD7-BC66-8FCE2E53C4AE}"/>
    <cellStyle name="Normal 5 5 2 6 2 4" xfId="21314" xr:uid="{D92EB3BB-37CE-4A3A-8DAB-8BBD59B4763E}"/>
    <cellStyle name="Normal 5 5 2 6 2 5" xfId="29761" xr:uid="{8CCA1DC1-EECD-498B-A8C8-D1B784BA0C2D}"/>
    <cellStyle name="Normal 5 5 2 6 3" xfId="6489" xr:uid="{00000000-0005-0000-0000-0000711B0000}"/>
    <cellStyle name="Normal 5 5 2 6 3 2" xfId="14939" xr:uid="{A93A504B-34AC-4733-8299-E066ACC61A75}"/>
    <cellStyle name="Normal 5 5 2 6 3 3" xfId="23386" xr:uid="{AA60AD3A-3942-4438-A07E-F1EE9EF9EAA8}"/>
    <cellStyle name="Normal 5 5 2 6 3 4" xfId="31833" xr:uid="{29EC0632-69AC-4536-8F86-CE1AF6B60853}"/>
    <cellStyle name="Normal 5 5 2 6 4" xfId="10721" xr:uid="{7B1336D4-F9A1-45FA-8144-0AF1957D59CD}"/>
    <cellStyle name="Normal 5 5 2 6 5" xfId="19169" xr:uid="{D0A1D32E-F3AB-4D45-A445-378F12593933}"/>
    <cellStyle name="Normal 5 5 2 6 6" xfId="27616" xr:uid="{5A9F477A-1DA1-4723-BA52-4B4AA25A922A}"/>
    <cellStyle name="Normal 5 5 2 7" xfId="2619" xr:uid="{00000000-0005-0000-0000-0000721B0000}"/>
    <cellStyle name="Normal 5 5 2 7 2" xfId="6902" xr:uid="{00000000-0005-0000-0000-0000731B0000}"/>
    <cellStyle name="Normal 5 5 2 7 2 2" xfId="15352" xr:uid="{1C90B62E-2813-49DB-A1B7-35F14A1BD6E6}"/>
    <cellStyle name="Normal 5 5 2 7 2 3" xfId="23799" xr:uid="{075BE800-1882-4631-8B7C-B65741D71250}"/>
    <cellStyle name="Normal 5 5 2 7 2 4" xfId="32246" xr:uid="{C6E03C96-C8D9-46A5-80A1-6BE45A410830}"/>
    <cellStyle name="Normal 5 5 2 7 3" xfId="11134" xr:uid="{5D13DE47-ADEB-4B97-AB90-61039A51F687}"/>
    <cellStyle name="Normal 5 5 2 7 4" xfId="19582" xr:uid="{31334199-2AD7-4809-B66A-3CED1F750099}"/>
    <cellStyle name="Normal 5 5 2 7 5" xfId="28029" xr:uid="{C80796E2-0E86-47BC-B67A-01C040836112}"/>
    <cellStyle name="Normal 5 5 2 8" xfId="4837" xr:uid="{00000000-0005-0000-0000-0000741B0000}"/>
    <cellStyle name="Normal 5 5 2 8 2" xfId="13287" xr:uid="{A8117193-5D64-4C61-856D-768027A932E4}"/>
    <cellStyle name="Normal 5 5 2 8 3" xfId="21734" xr:uid="{E4B2A966-66CB-4E04-81AF-37F71170041F}"/>
    <cellStyle name="Normal 5 5 2 8 4" xfId="30181" xr:uid="{9C813B7F-D378-45D5-99FD-EED553798582}"/>
    <cellStyle name="Normal 5 5 2 9" xfId="9069" xr:uid="{3FF0044F-0B79-44D7-8E0A-5206B6CD76C4}"/>
    <cellStyle name="Normal 5 5 3" xfId="467" xr:uid="{00000000-0005-0000-0000-0000751B0000}"/>
    <cellStyle name="Normal 5 5 3 10" xfId="25966" xr:uid="{CDBF9D0B-ADBD-4D80-96E1-8B78E73C9234}"/>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C4193292-6DE4-4FDE-9107-E20650970D75}"/>
    <cellStyle name="Normal 5 5 3 2 2 2 3" xfId="24294" xr:uid="{17FF7FF8-2680-465C-A502-2F1B7763D24A}"/>
    <cellStyle name="Normal 5 5 3 2 2 2 4" xfId="32741" xr:uid="{53749771-3B9D-423C-96D8-50288B2B1251}"/>
    <cellStyle name="Normal 5 5 3 2 2 3" xfId="11629" xr:uid="{31E872D2-94B3-4D5D-ABC4-8E6B3D084626}"/>
    <cellStyle name="Normal 5 5 3 2 2 4" xfId="20077" xr:uid="{720C15AA-5577-4A95-8EC2-458A61B1A1AC}"/>
    <cellStyle name="Normal 5 5 3 2 2 5" xfId="28524" xr:uid="{05A26F01-2556-4D21-A498-C93AF9270DA7}"/>
    <cellStyle name="Normal 5 5 3 2 3" xfId="5252" xr:uid="{00000000-0005-0000-0000-0000791B0000}"/>
    <cellStyle name="Normal 5 5 3 2 3 2" xfId="13702" xr:uid="{6024A2C3-F5FF-4E54-BC2F-82FD07861661}"/>
    <cellStyle name="Normal 5 5 3 2 3 3" xfId="22149" xr:uid="{55A4FA16-564F-4EAA-BFE8-3D5420A2410A}"/>
    <cellStyle name="Normal 5 5 3 2 3 4" xfId="30596" xr:uid="{F87AD443-3155-437C-81EA-896A9BF4959E}"/>
    <cellStyle name="Normal 5 5 3 2 4" xfId="9484" xr:uid="{092F3D6E-1F0A-43C8-9308-A43F92471F7B}"/>
    <cellStyle name="Normal 5 5 3 2 5" xfId="17932" xr:uid="{5B765026-C101-493C-9B00-4F7846A1A475}"/>
    <cellStyle name="Normal 5 5 3 2 6" xfId="26379" xr:uid="{28E8C235-1697-4904-A2D8-3234753CEDE6}"/>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C25F4661-5B45-49DE-8623-6023DA782287}"/>
    <cellStyle name="Normal 5 5 3 3 2 2 3" xfId="24707" xr:uid="{1B769593-3AE6-4A11-8C81-4BE5694C37FF}"/>
    <cellStyle name="Normal 5 5 3 3 2 2 4" xfId="33154" xr:uid="{FBB38E65-6428-466E-A0E8-6027E766473D}"/>
    <cellStyle name="Normal 5 5 3 3 2 3" xfId="12042" xr:uid="{87D72276-8486-4441-98C2-745F14488E8B}"/>
    <cellStyle name="Normal 5 5 3 3 2 4" xfId="20490" xr:uid="{5BD9A9DD-217A-4086-AF9D-0B91AC4D1F9B}"/>
    <cellStyle name="Normal 5 5 3 3 2 5" xfId="28937" xr:uid="{B17578A6-7886-43C2-B427-E0A2C659E556}"/>
    <cellStyle name="Normal 5 5 3 3 3" xfId="5665" xr:uid="{00000000-0005-0000-0000-00007D1B0000}"/>
    <cellStyle name="Normal 5 5 3 3 3 2" xfId="14115" xr:uid="{62E54749-AC34-4185-B17B-285D7A3D1FF0}"/>
    <cellStyle name="Normal 5 5 3 3 3 3" xfId="22562" xr:uid="{95B1312B-BEA6-483C-918C-051254B3A4FA}"/>
    <cellStyle name="Normal 5 5 3 3 3 4" xfId="31009" xr:uid="{C62F8F91-30BA-4180-822A-770DF9CAA78D}"/>
    <cellStyle name="Normal 5 5 3 3 4" xfId="9897" xr:uid="{75A010A8-7286-4C59-BEBF-7D38E71B6A63}"/>
    <cellStyle name="Normal 5 5 3 3 5" xfId="18345" xr:uid="{3BDC57CC-FAAD-440D-8AAC-5A71C40B6B79}"/>
    <cellStyle name="Normal 5 5 3 3 6" xfId="26792" xr:uid="{CBBE2386-98DA-4287-BBF6-042F20990EFC}"/>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3522F384-B1FC-4E70-A62D-E6AFFF8AFB69}"/>
    <cellStyle name="Normal 5 5 3 4 2 2 3" xfId="25120" xr:uid="{1DE902D0-66A6-428E-B4F9-F8936558E2CB}"/>
    <cellStyle name="Normal 5 5 3 4 2 2 4" xfId="33567" xr:uid="{414277F7-B470-46B1-8E6F-00A1D4CE6F85}"/>
    <cellStyle name="Normal 5 5 3 4 2 3" xfId="12455" xr:uid="{8270B7FA-C6A0-4CC9-B592-D5F956822C87}"/>
    <cellStyle name="Normal 5 5 3 4 2 4" xfId="20903" xr:uid="{D4279AD5-2507-4BA5-804E-D6811D56CAE4}"/>
    <cellStyle name="Normal 5 5 3 4 2 5" xfId="29350" xr:uid="{F91E1458-A629-4095-9A27-7D88D99FAF39}"/>
    <cellStyle name="Normal 5 5 3 4 3" xfId="6078" xr:uid="{00000000-0005-0000-0000-0000811B0000}"/>
    <cellStyle name="Normal 5 5 3 4 3 2" xfId="14528" xr:uid="{9D0FEF1F-772E-4CF1-9AE0-32FD35CD19B6}"/>
    <cellStyle name="Normal 5 5 3 4 3 3" xfId="22975" xr:uid="{9ABC8ACA-FF1A-4F61-92FB-46B333D85BD0}"/>
    <cellStyle name="Normal 5 5 3 4 3 4" xfId="31422" xr:uid="{9224A499-ABF7-4114-8522-201A315E63B4}"/>
    <cellStyle name="Normal 5 5 3 4 4" xfId="10310" xr:uid="{F8E8EDBC-1AD1-45D0-B9FD-D742DEEEFB82}"/>
    <cellStyle name="Normal 5 5 3 4 5" xfId="18758" xr:uid="{51ED3241-774D-4204-954B-B97E6F12AE26}"/>
    <cellStyle name="Normal 5 5 3 4 6" xfId="27205" xr:uid="{F8BD7FB3-93B0-44DC-9998-A761505C4588}"/>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E0E10490-578A-4EC1-BD7B-4E54D08F843C}"/>
    <cellStyle name="Normal 5 5 3 5 2 2 3" xfId="25533" xr:uid="{D4F4C69D-85B2-40BB-9B71-1F6078646228}"/>
    <cellStyle name="Normal 5 5 3 5 2 2 4" xfId="33980" xr:uid="{7702FD1B-ED62-474E-AFA3-530451FB5E29}"/>
    <cellStyle name="Normal 5 5 3 5 2 3" xfId="12868" xr:uid="{634E140E-83D4-4FF8-A251-0BA108E7F00F}"/>
    <cellStyle name="Normal 5 5 3 5 2 4" xfId="21316" xr:uid="{D014413A-764F-49C8-B836-E0C378B62B65}"/>
    <cellStyle name="Normal 5 5 3 5 2 5" xfId="29763" xr:uid="{60ED207E-036C-497D-B838-8F9FBD619998}"/>
    <cellStyle name="Normal 5 5 3 5 3" xfId="6491" xr:uid="{00000000-0005-0000-0000-0000851B0000}"/>
    <cellStyle name="Normal 5 5 3 5 3 2" xfId="14941" xr:uid="{7FAE7FBD-57AD-41DE-A644-06C00CC6CC28}"/>
    <cellStyle name="Normal 5 5 3 5 3 3" xfId="23388" xr:uid="{9E090633-D94B-4AB9-BD09-E0262CDD2EAC}"/>
    <cellStyle name="Normal 5 5 3 5 3 4" xfId="31835" xr:uid="{6CBDDA20-69E2-433C-954C-60ED1345AB15}"/>
    <cellStyle name="Normal 5 5 3 5 4" xfId="10723" xr:uid="{D3E6512F-B8FD-42CF-975C-F38659D235E6}"/>
    <cellStyle name="Normal 5 5 3 5 5" xfId="19171" xr:uid="{82C74957-C585-419B-B6D6-91C8A5F3BC54}"/>
    <cellStyle name="Normal 5 5 3 5 6" xfId="27618" xr:uid="{C6BF5A45-1C69-4554-84C9-62FF6B7A0BB5}"/>
    <cellStyle name="Normal 5 5 3 6" xfId="2621" xr:uid="{00000000-0005-0000-0000-0000861B0000}"/>
    <cellStyle name="Normal 5 5 3 6 2" xfId="6904" xr:uid="{00000000-0005-0000-0000-0000871B0000}"/>
    <cellStyle name="Normal 5 5 3 6 2 2" xfId="15354" xr:uid="{D37018D7-BD5F-40CA-A604-98467D215531}"/>
    <cellStyle name="Normal 5 5 3 6 2 3" xfId="23801" xr:uid="{A6014683-8775-42F7-B7F9-903DE069DE0B}"/>
    <cellStyle name="Normal 5 5 3 6 2 4" xfId="32248" xr:uid="{F01FA249-298E-4B69-ADD2-81AEF22FDD58}"/>
    <cellStyle name="Normal 5 5 3 6 3" xfId="11136" xr:uid="{86D4E4D6-C624-4992-86DF-9763BFFA6306}"/>
    <cellStyle name="Normal 5 5 3 6 4" xfId="19584" xr:uid="{0AE4AFB0-F451-481C-96CC-866E64F584BD}"/>
    <cellStyle name="Normal 5 5 3 6 5" xfId="28031" xr:uid="{C915C11F-633F-4DAB-ABF5-1694EBE76FD2}"/>
    <cellStyle name="Normal 5 5 3 7" xfId="4839" xr:uid="{00000000-0005-0000-0000-0000881B0000}"/>
    <cellStyle name="Normal 5 5 3 7 2" xfId="13289" xr:uid="{8EC39D84-9457-4EFB-BA6F-F6F3914DCE56}"/>
    <cellStyle name="Normal 5 5 3 7 3" xfId="21736" xr:uid="{C1C9AE5A-512E-4FB6-9184-2096C74D2BF3}"/>
    <cellStyle name="Normal 5 5 3 7 4" xfId="30183" xr:uid="{44EF3C22-8B21-4959-BF0E-7C329E81F7BB}"/>
    <cellStyle name="Normal 5 5 3 8" xfId="9071" xr:uid="{3C103E91-4C74-45FA-9D81-08704F0F05FF}"/>
    <cellStyle name="Normal 5 5 3 9" xfId="17519" xr:uid="{2E2C72D7-6CC1-427B-8C92-ED16228DECAB}"/>
    <cellStyle name="Normal 5 5 4" xfId="938" xr:uid="{00000000-0005-0000-0000-0000891B0000}"/>
    <cellStyle name="Normal 5 5 4 2" xfId="3172" xr:uid="{00000000-0005-0000-0000-00008A1B0000}"/>
    <cellStyle name="Normal 5 5 4 2 2" xfId="7394" xr:uid="{00000000-0005-0000-0000-00008B1B0000}"/>
    <cellStyle name="Normal 5 5 4 2 2 2" xfId="15844" xr:uid="{A2C1D1B9-917F-434B-B8A3-FA81C8D3281F}"/>
    <cellStyle name="Normal 5 5 4 2 2 3" xfId="24291" xr:uid="{2EC73B87-316B-48D4-AEED-B09C76F0530D}"/>
    <cellStyle name="Normal 5 5 4 2 2 4" xfId="32738" xr:uid="{52CA264F-44E6-472F-9593-22855FDF6E19}"/>
    <cellStyle name="Normal 5 5 4 2 3" xfId="11626" xr:uid="{0FF7993B-CE0F-46F9-85AE-C30851E82299}"/>
    <cellStyle name="Normal 5 5 4 2 4" xfId="20074" xr:uid="{DD8552B9-ED5E-41F8-B320-C09A7C7C1AED}"/>
    <cellStyle name="Normal 5 5 4 2 5" xfId="28521" xr:uid="{86880C73-0A73-4129-8D7D-0318F70B57D9}"/>
    <cellStyle name="Normal 5 5 4 3" xfId="5249" xr:uid="{00000000-0005-0000-0000-00008C1B0000}"/>
    <cellStyle name="Normal 5 5 4 3 2" xfId="13699" xr:uid="{E8FA4757-0E76-4EB6-B363-AC1AC8A45899}"/>
    <cellStyle name="Normal 5 5 4 3 3" xfId="22146" xr:uid="{A9BB508B-2C3C-4062-9B91-A3B4184036FD}"/>
    <cellStyle name="Normal 5 5 4 3 4" xfId="30593" xr:uid="{229DED4F-56DB-48EC-9C57-FF5A81EC4799}"/>
    <cellStyle name="Normal 5 5 4 4" xfId="9481" xr:uid="{6969D1F1-6296-4492-B00F-A7D07970F59B}"/>
    <cellStyle name="Normal 5 5 4 5" xfId="17929" xr:uid="{197321DC-9E87-45EB-A4AA-6768662FBBD2}"/>
    <cellStyle name="Normal 5 5 4 6" xfId="26376" xr:uid="{6BB25974-90A3-4591-B6BF-0913600F1FBD}"/>
    <cellStyle name="Normal 5 5 5" xfId="1355" xr:uid="{00000000-0005-0000-0000-00008D1B0000}"/>
    <cellStyle name="Normal 5 5 5 2" xfId="3585" xr:uid="{00000000-0005-0000-0000-00008E1B0000}"/>
    <cellStyle name="Normal 5 5 5 2 2" xfId="7807" xr:uid="{00000000-0005-0000-0000-00008F1B0000}"/>
    <cellStyle name="Normal 5 5 5 2 2 2" xfId="16257" xr:uid="{2499B9F9-AFA2-4491-872A-51DB92F994D6}"/>
    <cellStyle name="Normal 5 5 5 2 2 3" xfId="24704" xr:uid="{66464D45-B8E6-4D76-AA82-7CB8DFFB30A0}"/>
    <cellStyle name="Normal 5 5 5 2 2 4" xfId="33151" xr:uid="{DD85C178-F6C4-4DD7-94DE-303D55C9C0DC}"/>
    <cellStyle name="Normal 5 5 5 2 3" xfId="12039" xr:uid="{499E44F7-BF64-4735-994B-1C2EE4657D54}"/>
    <cellStyle name="Normal 5 5 5 2 4" xfId="20487" xr:uid="{A6E5A8FF-4B8D-4091-9E88-1C26CADCB6BE}"/>
    <cellStyle name="Normal 5 5 5 2 5" xfId="28934" xr:uid="{EB926FFD-8BF7-4F4C-8D92-DD4CFBA9E1CD}"/>
    <cellStyle name="Normal 5 5 5 3" xfId="5662" xr:uid="{00000000-0005-0000-0000-0000901B0000}"/>
    <cellStyle name="Normal 5 5 5 3 2" xfId="14112" xr:uid="{F361520C-E6DC-4B0E-B568-F5FA2D73252A}"/>
    <cellStyle name="Normal 5 5 5 3 3" xfId="22559" xr:uid="{F4C5488C-28FD-4C8A-936B-1DBB382FAE50}"/>
    <cellStyle name="Normal 5 5 5 3 4" xfId="31006" xr:uid="{604E94DB-DEFA-4706-9E64-61ED2D6659CF}"/>
    <cellStyle name="Normal 5 5 5 4" xfId="9894" xr:uid="{E30A4984-87C6-485F-8A32-6A3ACC14321A}"/>
    <cellStyle name="Normal 5 5 5 5" xfId="18342" xr:uid="{52ED252B-B782-4D6A-BD2C-24258102D6C5}"/>
    <cellStyle name="Normal 5 5 5 6" xfId="26789" xr:uid="{BC4DEDD8-7770-421B-96DD-F52FB83B231D}"/>
    <cellStyle name="Normal 5 5 6" xfId="1768" xr:uid="{00000000-0005-0000-0000-0000911B0000}"/>
    <cellStyle name="Normal 5 5 6 2" xfId="3998" xr:uid="{00000000-0005-0000-0000-0000921B0000}"/>
    <cellStyle name="Normal 5 5 6 2 2" xfId="8220" xr:uid="{00000000-0005-0000-0000-0000931B0000}"/>
    <cellStyle name="Normal 5 5 6 2 2 2" xfId="16670" xr:uid="{FFBCEDB0-2DD8-458A-B56E-47B14F88A497}"/>
    <cellStyle name="Normal 5 5 6 2 2 3" xfId="25117" xr:uid="{B174E3D1-CB86-4811-88FD-0B820881B12C}"/>
    <cellStyle name="Normal 5 5 6 2 2 4" xfId="33564" xr:uid="{C85CEE83-4B61-480D-BED8-4F859B595AEA}"/>
    <cellStyle name="Normal 5 5 6 2 3" xfId="12452" xr:uid="{6E0A492D-3B28-48A2-8A83-DF67BFC373A5}"/>
    <cellStyle name="Normal 5 5 6 2 4" xfId="20900" xr:uid="{847E1064-56F0-496F-B9F3-6D74F93A643D}"/>
    <cellStyle name="Normal 5 5 6 2 5" xfId="29347" xr:uid="{F788C042-D7B1-40A3-852F-B59B135DE250}"/>
    <cellStyle name="Normal 5 5 6 3" xfId="6075" xr:uid="{00000000-0005-0000-0000-0000941B0000}"/>
    <cellStyle name="Normal 5 5 6 3 2" xfId="14525" xr:uid="{39CD70AE-8CDA-49BF-AFC9-E3146F6E773B}"/>
    <cellStyle name="Normal 5 5 6 3 3" xfId="22972" xr:uid="{F7A17016-94E2-4FEC-9B92-294CF8E7F1A8}"/>
    <cellStyle name="Normal 5 5 6 3 4" xfId="31419" xr:uid="{FAEBFCFA-5437-4C1D-8446-1509EF2E26A1}"/>
    <cellStyle name="Normal 5 5 6 4" xfId="10307" xr:uid="{70BF2A35-FC0D-47D8-9C88-0764768704D3}"/>
    <cellStyle name="Normal 5 5 6 5" xfId="18755" xr:uid="{AD7BBD07-3C98-4F34-A4DA-057701644EAA}"/>
    <cellStyle name="Normal 5 5 6 6" xfId="27202" xr:uid="{74E0A71A-34A6-4F35-A090-CA55564916DF}"/>
    <cellStyle name="Normal 5 5 7" xfId="2182" xr:uid="{00000000-0005-0000-0000-0000951B0000}"/>
    <cellStyle name="Normal 5 5 7 2" xfId="4411" xr:uid="{00000000-0005-0000-0000-0000961B0000}"/>
    <cellStyle name="Normal 5 5 7 2 2" xfId="8633" xr:uid="{00000000-0005-0000-0000-0000971B0000}"/>
    <cellStyle name="Normal 5 5 7 2 2 2" xfId="17083" xr:uid="{BFF8B91B-CE56-4768-8B83-E30BF95B98AB}"/>
    <cellStyle name="Normal 5 5 7 2 2 3" xfId="25530" xr:uid="{7E5EE5AD-D841-4B07-9D69-A411D5BEB7AD}"/>
    <cellStyle name="Normal 5 5 7 2 2 4" xfId="33977" xr:uid="{25B4D7BA-9DA1-4082-8E26-3515FE3E176D}"/>
    <cellStyle name="Normal 5 5 7 2 3" xfId="12865" xr:uid="{0E96D23A-CC7A-4440-8EA9-2FAD7B089AEA}"/>
    <cellStyle name="Normal 5 5 7 2 4" xfId="21313" xr:uid="{2E60E58F-714E-400D-8359-09F283253D29}"/>
    <cellStyle name="Normal 5 5 7 2 5" xfId="29760" xr:uid="{DE093E5B-5AF0-4A4B-AD6A-E7B1BA047185}"/>
    <cellStyle name="Normal 5 5 7 3" xfId="6488" xr:uid="{00000000-0005-0000-0000-0000981B0000}"/>
    <cellStyle name="Normal 5 5 7 3 2" xfId="14938" xr:uid="{1E47C3C3-4EC4-4E04-BF5F-81F474821267}"/>
    <cellStyle name="Normal 5 5 7 3 3" xfId="23385" xr:uid="{4548B790-399E-4428-8F39-463B4FACD170}"/>
    <cellStyle name="Normal 5 5 7 3 4" xfId="31832" xr:uid="{CE03183E-B58D-49E6-92E4-88AE1B33D4A0}"/>
    <cellStyle name="Normal 5 5 7 4" xfId="10720" xr:uid="{33C2F41B-A879-4D34-A57C-27F0ED15146B}"/>
    <cellStyle name="Normal 5 5 7 5" xfId="19168" xr:uid="{07793BAB-1165-41C2-A0D5-DC50052920B9}"/>
    <cellStyle name="Normal 5 5 7 6" xfId="27615" xr:uid="{E9B66B51-CF08-47E2-B14F-BBF8F3648B32}"/>
    <cellStyle name="Normal 5 5 8" xfId="2618" xr:uid="{00000000-0005-0000-0000-0000991B0000}"/>
    <cellStyle name="Normal 5 5 8 2" xfId="6901" xr:uid="{00000000-0005-0000-0000-00009A1B0000}"/>
    <cellStyle name="Normal 5 5 8 2 2" xfId="15351" xr:uid="{1D0A5DBD-2F43-4642-988D-80D3FAB90201}"/>
    <cellStyle name="Normal 5 5 8 2 3" xfId="23798" xr:uid="{AEB495D9-85A5-4BEB-B27B-353E476EBAA4}"/>
    <cellStyle name="Normal 5 5 8 2 4" xfId="32245" xr:uid="{E5B59CA8-7020-4E40-8CDA-7CD81FDB01EC}"/>
    <cellStyle name="Normal 5 5 8 3" xfId="11133" xr:uid="{BF610035-FB5F-4407-BD47-726EA2BB9DF1}"/>
    <cellStyle name="Normal 5 5 8 4" xfId="19581" xr:uid="{93DC50FB-6F7C-4EC8-A8A1-4D3BD69D9B6D}"/>
    <cellStyle name="Normal 5 5 8 5" xfId="28028" xr:uid="{FA0BED7A-0504-4230-8B8F-629F009201F2}"/>
    <cellStyle name="Normal 5 5 9" xfId="4836" xr:uid="{00000000-0005-0000-0000-00009B1B0000}"/>
    <cellStyle name="Normal 5 5 9 2" xfId="13286" xr:uid="{57575DA9-AA9C-442A-A692-D26A198E27DD}"/>
    <cellStyle name="Normal 5 5 9 3" xfId="21733" xr:uid="{E3041442-CFD3-4CA6-8BBC-763F31D6F38B}"/>
    <cellStyle name="Normal 5 5 9 4" xfId="30180" xr:uid="{797BCA14-555E-40A8-BD47-483F20AB64E4}"/>
    <cellStyle name="Normal 5 6" xfId="468" xr:uid="{00000000-0005-0000-0000-00009C1B0000}"/>
    <cellStyle name="Normal 5 6 10" xfId="17520" xr:uid="{F85F12A2-0522-410D-BFDD-9F405093FAC9}"/>
    <cellStyle name="Normal 5 6 11" xfId="25967" xr:uid="{161839C4-E692-40B2-909C-746214D6C325}"/>
    <cellStyle name="Normal 5 6 2" xfId="469" xr:uid="{00000000-0005-0000-0000-00009D1B0000}"/>
    <cellStyle name="Normal 5 6 2 10" xfId="25968" xr:uid="{DAF3C7E2-632F-491F-A1E7-DF0EB59D8E41}"/>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605C62A4-C1C9-430A-AAD9-1970D32EA622}"/>
    <cellStyle name="Normal 5 6 2 2 2 2 3" xfId="24296" xr:uid="{2206343B-C5BF-45DE-8B10-DC98E40EE4B9}"/>
    <cellStyle name="Normal 5 6 2 2 2 2 4" xfId="32743" xr:uid="{21AAF8DE-89F9-44AA-AEEA-11BE13A84EE3}"/>
    <cellStyle name="Normal 5 6 2 2 2 3" xfId="11631" xr:uid="{6B556419-49F0-46F8-B7A8-BE967A67886D}"/>
    <cellStyle name="Normal 5 6 2 2 2 4" xfId="20079" xr:uid="{C8FE1B97-EADF-49B6-AB79-75086D6155B2}"/>
    <cellStyle name="Normal 5 6 2 2 2 5" xfId="28526" xr:uid="{77B40CFA-7748-46FC-B7AA-2BA0C2F9CCDD}"/>
    <cellStyle name="Normal 5 6 2 2 3" xfId="5254" xr:uid="{00000000-0005-0000-0000-0000A11B0000}"/>
    <cellStyle name="Normal 5 6 2 2 3 2" xfId="13704" xr:uid="{C83A91A0-28B2-418A-8AEF-9F082603C63C}"/>
    <cellStyle name="Normal 5 6 2 2 3 3" xfId="22151" xr:uid="{5FC38C18-70B6-4D91-AE6B-46376545E2DE}"/>
    <cellStyle name="Normal 5 6 2 2 3 4" xfId="30598" xr:uid="{A5F89784-A80D-4E90-8955-3BDD015EBC65}"/>
    <cellStyle name="Normal 5 6 2 2 4" xfId="9486" xr:uid="{D763283E-7DB6-45D2-974F-7861AB042CE6}"/>
    <cellStyle name="Normal 5 6 2 2 5" xfId="17934" xr:uid="{5D1251ED-E350-491B-9DBC-D56839992DF5}"/>
    <cellStyle name="Normal 5 6 2 2 6" xfId="26381" xr:uid="{56323E56-76EF-4E90-AE38-ADDAB040D5EE}"/>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24186FE0-DA37-4498-AAE1-5E8AE044815E}"/>
    <cellStyle name="Normal 5 6 2 3 2 2 3" xfId="24709" xr:uid="{4F867774-7BAC-4D40-8CB8-6B895FEFFBDE}"/>
    <cellStyle name="Normal 5 6 2 3 2 2 4" xfId="33156" xr:uid="{5506E69D-BD88-4BE8-8FCA-91903D350C0E}"/>
    <cellStyle name="Normal 5 6 2 3 2 3" xfId="12044" xr:uid="{734A0093-27F7-4E1D-9263-C305B9C9B33D}"/>
    <cellStyle name="Normal 5 6 2 3 2 4" xfId="20492" xr:uid="{EF4154A3-CD97-47E5-812B-EC68F58ABD17}"/>
    <cellStyle name="Normal 5 6 2 3 2 5" xfId="28939" xr:uid="{8D6F6761-6122-4BF2-AE1F-5F68B6445D45}"/>
    <cellStyle name="Normal 5 6 2 3 3" xfId="5667" xr:uid="{00000000-0005-0000-0000-0000A51B0000}"/>
    <cellStyle name="Normal 5 6 2 3 3 2" xfId="14117" xr:uid="{AA2F718B-348F-4A0A-9FB8-38A5BD281004}"/>
    <cellStyle name="Normal 5 6 2 3 3 3" xfId="22564" xr:uid="{B913FDAE-0B2A-4199-9D4B-239C981B6BE8}"/>
    <cellStyle name="Normal 5 6 2 3 3 4" xfId="31011" xr:uid="{711BDA69-203E-48F7-9F2C-7392C9165E65}"/>
    <cellStyle name="Normal 5 6 2 3 4" xfId="9899" xr:uid="{25E0F505-3723-471A-9E3D-B8C71E6298C2}"/>
    <cellStyle name="Normal 5 6 2 3 5" xfId="18347" xr:uid="{D3D8739D-6280-4AC7-BD7E-965FD8939A78}"/>
    <cellStyle name="Normal 5 6 2 3 6" xfId="26794" xr:uid="{E3A39FBC-6355-459F-A574-CB17462F026B}"/>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B8FADA52-867F-44EE-BF92-2386CEB7EE48}"/>
    <cellStyle name="Normal 5 6 2 4 2 2 3" xfId="25122" xr:uid="{9AEE0954-4884-4932-B61B-EBC924886E22}"/>
    <cellStyle name="Normal 5 6 2 4 2 2 4" xfId="33569" xr:uid="{13C7505F-4DED-4718-9496-3D76DD0AEF14}"/>
    <cellStyle name="Normal 5 6 2 4 2 3" xfId="12457" xr:uid="{BB0DEE64-FF07-466E-9D71-6B3BE5FCA8CD}"/>
    <cellStyle name="Normal 5 6 2 4 2 4" xfId="20905" xr:uid="{2193D19C-84D8-4935-BEC9-9D6026781880}"/>
    <cellStyle name="Normal 5 6 2 4 2 5" xfId="29352" xr:uid="{7E5A33A2-2E9F-4BE9-92A8-66C12227B7BF}"/>
    <cellStyle name="Normal 5 6 2 4 3" xfId="6080" xr:uid="{00000000-0005-0000-0000-0000A91B0000}"/>
    <cellStyle name="Normal 5 6 2 4 3 2" xfId="14530" xr:uid="{E06F9715-B590-4C06-A3AF-3B041BFA481A}"/>
    <cellStyle name="Normal 5 6 2 4 3 3" xfId="22977" xr:uid="{77D6B1C4-D143-4EC0-A094-AAA001ED74FA}"/>
    <cellStyle name="Normal 5 6 2 4 3 4" xfId="31424" xr:uid="{A3760018-AA08-44A0-8BAE-FE069CCCAF4C}"/>
    <cellStyle name="Normal 5 6 2 4 4" xfId="10312" xr:uid="{FEDE472D-7F14-445A-B776-DD79DCE60FBF}"/>
    <cellStyle name="Normal 5 6 2 4 5" xfId="18760" xr:uid="{264E37B6-AF3E-4C55-872F-7BE346F78668}"/>
    <cellStyle name="Normal 5 6 2 4 6" xfId="27207" xr:uid="{61703E43-D634-466E-9953-AECE3F5309B1}"/>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AB1AB8CE-90D8-4329-82C3-83801FB3C6F0}"/>
    <cellStyle name="Normal 5 6 2 5 2 2 3" xfId="25535" xr:uid="{5E86B6DF-9941-4A5F-A09D-25155AC4D5B2}"/>
    <cellStyle name="Normal 5 6 2 5 2 2 4" xfId="33982" xr:uid="{27E126AA-254E-4CC6-A454-2E5A9E96EB17}"/>
    <cellStyle name="Normal 5 6 2 5 2 3" xfId="12870" xr:uid="{B97D2273-D62B-489E-8595-2D80C8F4A531}"/>
    <cellStyle name="Normal 5 6 2 5 2 4" xfId="21318" xr:uid="{FC5878C8-2B89-44C8-904B-B1A7C51EA423}"/>
    <cellStyle name="Normal 5 6 2 5 2 5" xfId="29765" xr:uid="{B29CDF42-F59E-40B9-9BA7-7EE888D35FB8}"/>
    <cellStyle name="Normal 5 6 2 5 3" xfId="6493" xr:uid="{00000000-0005-0000-0000-0000AD1B0000}"/>
    <cellStyle name="Normal 5 6 2 5 3 2" xfId="14943" xr:uid="{1036E48B-920A-4790-AD86-4D0BA2B6B87B}"/>
    <cellStyle name="Normal 5 6 2 5 3 3" xfId="23390" xr:uid="{C2B669B3-649C-44BE-9716-CE00D1FFAE1A}"/>
    <cellStyle name="Normal 5 6 2 5 3 4" xfId="31837" xr:uid="{0A8A9373-3E6A-4D81-93FF-57A3D100A6B8}"/>
    <cellStyle name="Normal 5 6 2 5 4" xfId="10725" xr:uid="{8E24B812-3C02-44B9-83BE-D37292DE22FF}"/>
    <cellStyle name="Normal 5 6 2 5 5" xfId="19173" xr:uid="{0B0FA183-8933-43C4-8149-4F627C3E90F4}"/>
    <cellStyle name="Normal 5 6 2 5 6" xfId="27620" xr:uid="{345FD6AC-B929-458D-BEE7-314EC8C3C991}"/>
    <cellStyle name="Normal 5 6 2 6" xfId="2623" xr:uid="{00000000-0005-0000-0000-0000AE1B0000}"/>
    <cellStyle name="Normal 5 6 2 6 2" xfId="6906" xr:uid="{00000000-0005-0000-0000-0000AF1B0000}"/>
    <cellStyle name="Normal 5 6 2 6 2 2" xfId="15356" xr:uid="{9C8875EE-2984-4D5E-BB65-5DB7C4D38B32}"/>
    <cellStyle name="Normal 5 6 2 6 2 3" xfId="23803" xr:uid="{11FC328B-D8E0-49CA-85B0-D6EA9501A096}"/>
    <cellStyle name="Normal 5 6 2 6 2 4" xfId="32250" xr:uid="{C2E49938-E5D0-4188-B9E0-75E7E711B158}"/>
    <cellStyle name="Normal 5 6 2 6 3" xfId="11138" xr:uid="{0C8BB266-6CF4-4047-B00F-EDA7306EB59B}"/>
    <cellStyle name="Normal 5 6 2 6 4" xfId="19586" xr:uid="{DD1B5B43-0FE4-4FEA-8FE9-3FC191C308B3}"/>
    <cellStyle name="Normal 5 6 2 6 5" xfId="28033" xr:uid="{E7BA960D-3397-4E07-AED9-4F1F6517A457}"/>
    <cellStyle name="Normal 5 6 2 7" xfId="4841" xr:uid="{00000000-0005-0000-0000-0000B01B0000}"/>
    <cellStyle name="Normal 5 6 2 7 2" xfId="13291" xr:uid="{54F61C81-4A56-426D-BB4C-12E92C261547}"/>
    <cellStyle name="Normal 5 6 2 7 3" xfId="21738" xr:uid="{CA26E208-8CAE-4560-B039-FC5DACD87054}"/>
    <cellStyle name="Normal 5 6 2 7 4" xfId="30185" xr:uid="{753095F4-33E1-4D27-A91C-AF1C5B8762FF}"/>
    <cellStyle name="Normal 5 6 2 8" xfId="9073" xr:uid="{20CC74B9-71F4-4B73-8115-A59ACB673C93}"/>
    <cellStyle name="Normal 5 6 2 9" xfId="17521" xr:uid="{93D5A8D4-B9D3-42CD-832C-F5FC253E44F2}"/>
    <cellStyle name="Normal 5 6 3" xfId="942" xr:uid="{00000000-0005-0000-0000-0000B11B0000}"/>
    <cellStyle name="Normal 5 6 3 2" xfId="3176" xr:uid="{00000000-0005-0000-0000-0000B21B0000}"/>
    <cellStyle name="Normal 5 6 3 2 2" xfId="7398" xr:uid="{00000000-0005-0000-0000-0000B31B0000}"/>
    <cellStyle name="Normal 5 6 3 2 2 2" xfId="15848" xr:uid="{43354D71-514A-4750-9BCF-11E369241252}"/>
    <cellStyle name="Normal 5 6 3 2 2 3" xfId="24295" xr:uid="{DD8FC9E7-0104-4C64-9A49-C321023B47CC}"/>
    <cellStyle name="Normal 5 6 3 2 2 4" xfId="32742" xr:uid="{1B837DCC-51C0-4593-A68A-163591E891DD}"/>
    <cellStyle name="Normal 5 6 3 2 3" xfId="11630" xr:uid="{192EBEC5-EA04-4AFC-84EE-8D7465A96B1C}"/>
    <cellStyle name="Normal 5 6 3 2 4" xfId="20078" xr:uid="{94E8C142-A884-45A2-B84A-1867D733047A}"/>
    <cellStyle name="Normal 5 6 3 2 5" xfId="28525" xr:uid="{F62B2E04-D7E2-49D2-99F0-2E16AEB90179}"/>
    <cellStyle name="Normal 5 6 3 3" xfId="5253" xr:uid="{00000000-0005-0000-0000-0000B41B0000}"/>
    <cellStyle name="Normal 5 6 3 3 2" xfId="13703" xr:uid="{6F0D20A8-9E82-46CD-B89D-735AD8CA66CE}"/>
    <cellStyle name="Normal 5 6 3 3 3" xfId="22150" xr:uid="{BA08D3A7-8904-4425-AB89-B900FB6F17FB}"/>
    <cellStyle name="Normal 5 6 3 3 4" xfId="30597" xr:uid="{1DDF21A0-9025-4ACF-A485-1DB9C8B1EE5D}"/>
    <cellStyle name="Normal 5 6 3 4" xfId="9485" xr:uid="{E9161C44-0C9F-4BF0-B448-9F3FC94628B3}"/>
    <cellStyle name="Normal 5 6 3 5" xfId="17933" xr:uid="{9A59C955-5216-473E-A705-BD441C75A491}"/>
    <cellStyle name="Normal 5 6 3 6" xfId="26380" xr:uid="{FB1AD827-5E41-4069-AEB4-50ACCAB08BCD}"/>
    <cellStyle name="Normal 5 6 4" xfId="1359" xr:uid="{00000000-0005-0000-0000-0000B51B0000}"/>
    <cellStyle name="Normal 5 6 4 2" xfId="3589" xr:uid="{00000000-0005-0000-0000-0000B61B0000}"/>
    <cellStyle name="Normal 5 6 4 2 2" xfId="7811" xr:uid="{00000000-0005-0000-0000-0000B71B0000}"/>
    <cellStyle name="Normal 5 6 4 2 2 2" xfId="16261" xr:uid="{308C5CF0-319C-4C9D-BCB1-EDAF1C383618}"/>
    <cellStyle name="Normal 5 6 4 2 2 3" xfId="24708" xr:uid="{88669F3E-AB54-4651-AFFE-9E0E2AD4717B}"/>
    <cellStyle name="Normal 5 6 4 2 2 4" xfId="33155" xr:uid="{C7E37738-752F-42C7-820B-948B971BD776}"/>
    <cellStyle name="Normal 5 6 4 2 3" xfId="12043" xr:uid="{705F6517-021B-4202-9BC6-211729F6AEC7}"/>
    <cellStyle name="Normal 5 6 4 2 4" xfId="20491" xr:uid="{F619ACBA-C50D-4EF2-8722-A1512DF009A6}"/>
    <cellStyle name="Normal 5 6 4 2 5" xfId="28938" xr:uid="{B2C38FED-823E-4442-9A6F-8CFEDD534A72}"/>
    <cellStyle name="Normal 5 6 4 3" xfId="5666" xr:uid="{00000000-0005-0000-0000-0000B81B0000}"/>
    <cellStyle name="Normal 5 6 4 3 2" xfId="14116" xr:uid="{9FC8E6F4-87D0-4A40-959F-074F012D818C}"/>
    <cellStyle name="Normal 5 6 4 3 3" xfId="22563" xr:uid="{BC843F9E-D206-4022-886B-8AC9CE9C3B46}"/>
    <cellStyle name="Normal 5 6 4 3 4" xfId="31010" xr:uid="{BF4D72B0-DB60-49A6-BC16-9B490A33EEA1}"/>
    <cellStyle name="Normal 5 6 4 4" xfId="9898" xr:uid="{DE5F990C-C707-44E0-A3A4-F9B2102B1A8E}"/>
    <cellStyle name="Normal 5 6 4 5" xfId="18346" xr:uid="{34206336-CDEA-4243-B831-D15296563126}"/>
    <cellStyle name="Normal 5 6 4 6" xfId="26793" xr:uid="{67BB04F9-5812-461C-9D25-71FE230C5A04}"/>
    <cellStyle name="Normal 5 6 5" xfId="1772" xr:uid="{00000000-0005-0000-0000-0000B91B0000}"/>
    <cellStyle name="Normal 5 6 5 2" xfId="4002" xr:uid="{00000000-0005-0000-0000-0000BA1B0000}"/>
    <cellStyle name="Normal 5 6 5 2 2" xfId="8224" xr:uid="{00000000-0005-0000-0000-0000BB1B0000}"/>
    <cellStyle name="Normal 5 6 5 2 2 2" xfId="16674" xr:uid="{E38E1E7C-61DA-4D88-B447-FB335C4BEC77}"/>
    <cellStyle name="Normal 5 6 5 2 2 3" xfId="25121" xr:uid="{4EDC2E9D-0423-4468-8616-01AE4EA5293B}"/>
    <cellStyle name="Normal 5 6 5 2 2 4" xfId="33568" xr:uid="{2EBC38F9-A9C3-4B7C-91F4-35603AF1FB20}"/>
    <cellStyle name="Normal 5 6 5 2 3" xfId="12456" xr:uid="{FFE4FE10-8EB5-45B5-8277-C9FF0BE21A80}"/>
    <cellStyle name="Normal 5 6 5 2 4" xfId="20904" xr:uid="{685D8DA6-563D-438B-BAAC-A7C4DB2358B5}"/>
    <cellStyle name="Normal 5 6 5 2 5" xfId="29351" xr:uid="{1E830C38-9113-45D8-AB37-2E3F14F9FAB0}"/>
    <cellStyle name="Normal 5 6 5 3" xfId="6079" xr:uid="{00000000-0005-0000-0000-0000BC1B0000}"/>
    <cellStyle name="Normal 5 6 5 3 2" xfId="14529" xr:uid="{61CB6F7E-386F-431E-A765-4454E439C2E6}"/>
    <cellStyle name="Normal 5 6 5 3 3" xfId="22976" xr:uid="{DD7F42C0-5D84-4B88-875A-81AD6D757519}"/>
    <cellStyle name="Normal 5 6 5 3 4" xfId="31423" xr:uid="{6ABAA1C6-46B9-4979-8EF0-67BCBED3A182}"/>
    <cellStyle name="Normal 5 6 5 4" xfId="10311" xr:uid="{F7553CB3-22CE-4A91-BE7B-7832FFC9F29D}"/>
    <cellStyle name="Normal 5 6 5 5" xfId="18759" xr:uid="{CB8F1FC5-DBD0-4903-9FD3-A30475243701}"/>
    <cellStyle name="Normal 5 6 5 6" xfId="27206" xr:uid="{D115388E-9A82-47D2-808D-D216F3127243}"/>
    <cellStyle name="Normal 5 6 6" xfId="2186" xr:uid="{00000000-0005-0000-0000-0000BD1B0000}"/>
    <cellStyle name="Normal 5 6 6 2" xfId="4415" xr:uid="{00000000-0005-0000-0000-0000BE1B0000}"/>
    <cellStyle name="Normal 5 6 6 2 2" xfId="8637" xr:uid="{00000000-0005-0000-0000-0000BF1B0000}"/>
    <cellStyle name="Normal 5 6 6 2 2 2" xfId="17087" xr:uid="{57B41971-E2EF-4D1C-8682-05D6DB894E54}"/>
    <cellStyle name="Normal 5 6 6 2 2 3" xfId="25534" xr:uid="{3B53104C-0AB5-4E1B-9FC7-E555880217BC}"/>
    <cellStyle name="Normal 5 6 6 2 2 4" xfId="33981" xr:uid="{5E3F8588-970C-4AF1-92E8-69E1EEF17A41}"/>
    <cellStyle name="Normal 5 6 6 2 3" xfId="12869" xr:uid="{23273C81-A1DB-47A5-8B7F-AFA42268EAE9}"/>
    <cellStyle name="Normal 5 6 6 2 4" xfId="21317" xr:uid="{99B15A32-8D3E-4C4C-A388-EE9B61527E44}"/>
    <cellStyle name="Normal 5 6 6 2 5" xfId="29764" xr:uid="{DB567A5C-1DC1-452A-A701-4C85892751CF}"/>
    <cellStyle name="Normal 5 6 6 3" xfId="6492" xr:uid="{00000000-0005-0000-0000-0000C01B0000}"/>
    <cellStyle name="Normal 5 6 6 3 2" xfId="14942" xr:uid="{54F6CCF2-4F00-40A0-A92F-1B17E46641F4}"/>
    <cellStyle name="Normal 5 6 6 3 3" xfId="23389" xr:uid="{9CB29BB1-5F8D-4249-87F8-8715285DCFEA}"/>
    <cellStyle name="Normal 5 6 6 3 4" xfId="31836" xr:uid="{ECF96628-12AF-428B-BC1D-84ECB86ACB27}"/>
    <cellStyle name="Normal 5 6 6 4" xfId="10724" xr:uid="{43D44A32-A7E8-4358-BA9F-96A98F4133E8}"/>
    <cellStyle name="Normal 5 6 6 5" xfId="19172" xr:uid="{0EC72F74-96FE-45CD-A485-5E179E996BFD}"/>
    <cellStyle name="Normal 5 6 6 6" xfId="27619" xr:uid="{A01E5CD4-0B1F-41CE-84B6-B5DA511E53DF}"/>
    <cellStyle name="Normal 5 6 7" xfId="2622" xr:uid="{00000000-0005-0000-0000-0000C11B0000}"/>
    <cellStyle name="Normal 5 6 7 2" xfId="6905" xr:uid="{00000000-0005-0000-0000-0000C21B0000}"/>
    <cellStyle name="Normal 5 6 7 2 2" xfId="15355" xr:uid="{1C5321AF-3D0E-45F8-AFE4-8538355B28CB}"/>
    <cellStyle name="Normal 5 6 7 2 3" xfId="23802" xr:uid="{2C672B85-46A2-4929-A9B7-01D415DC5360}"/>
    <cellStyle name="Normal 5 6 7 2 4" xfId="32249" xr:uid="{740DBE1C-3C24-4ED5-9FC6-58F575C19D4D}"/>
    <cellStyle name="Normal 5 6 7 3" xfId="11137" xr:uid="{A04A9E3B-2A94-4F7F-A8F6-241A4225049E}"/>
    <cellStyle name="Normal 5 6 7 4" xfId="19585" xr:uid="{9C282703-2D7D-42F2-812F-F8B6143C5968}"/>
    <cellStyle name="Normal 5 6 7 5" xfId="28032" xr:uid="{BDD8E382-9FF2-4CD2-8B42-485E209C1180}"/>
    <cellStyle name="Normal 5 6 8" xfId="4840" xr:uid="{00000000-0005-0000-0000-0000C31B0000}"/>
    <cellStyle name="Normal 5 6 8 2" xfId="13290" xr:uid="{5CB58337-4A14-41EE-9EDA-1C77AF515928}"/>
    <cellStyle name="Normal 5 6 8 3" xfId="21737" xr:uid="{FFE0596B-D209-41EA-A96E-823251BA16C3}"/>
    <cellStyle name="Normal 5 6 8 4" xfId="30184" xr:uid="{4B0C2B2E-C785-4F73-B5E7-91E43EAA0F56}"/>
    <cellStyle name="Normal 5 6 9" xfId="9072" xr:uid="{517E6A4C-B9CF-41F1-8FF6-7D10FE59DD5C}"/>
    <cellStyle name="Normal 5 7" xfId="470" xr:uid="{00000000-0005-0000-0000-0000C41B0000}"/>
    <cellStyle name="Normal 5 7 10" xfId="25969" xr:uid="{B7E38A14-6CE2-48FB-B0BB-A3582ABD2AB2}"/>
    <cellStyle name="Normal 5 7 2" xfId="944" xr:uid="{00000000-0005-0000-0000-0000C51B0000}"/>
    <cellStyle name="Normal 5 7 2 2" xfId="3178" xr:uid="{00000000-0005-0000-0000-0000C61B0000}"/>
    <cellStyle name="Normal 5 7 2 2 2" xfId="7400" xr:uid="{00000000-0005-0000-0000-0000C71B0000}"/>
    <cellStyle name="Normal 5 7 2 2 2 2" xfId="15850" xr:uid="{5A05CAA6-57B9-4C17-829A-DF9679951DD6}"/>
    <cellStyle name="Normal 5 7 2 2 2 3" xfId="24297" xr:uid="{9F438D02-710F-4C23-85F5-4569DB2D90C0}"/>
    <cellStyle name="Normal 5 7 2 2 2 4" xfId="32744" xr:uid="{AA3FAC9B-1A63-487C-AC5F-387FD3F10BFC}"/>
    <cellStyle name="Normal 5 7 2 2 3" xfId="11632" xr:uid="{F89B6B88-7AC6-45DB-A436-55347A17E499}"/>
    <cellStyle name="Normal 5 7 2 2 4" xfId="20080" xr:uid="{89DC6920-8F95-4F8E-8BDB-5781488160CC}"/>
    <cellStyle name="Normal 5 7 2 2 5" xfId="28527" xr:uid="{6FD6BAE8-1F4C-4D4B-9414-FC8913CBEC1D}"/>
    <cellStyle name="Normal 5 7 2 3" xfId="5255" xr:uid="{00000000-0005-0000-0000-0000C81B0000}"/>
    <cellStyle name="Normal 5 7 2 3 2" xfId="13705" xr:uid="{95FCBE4D-43E9-4E50-81ED-404504324BA1}"/>
    <cellStyle name="Normal 5 7 2 3 3" xfId="22152" xr:uid="{E49B182F-162B-4F72-8628-F612182B1630}"/>
    <cellStyle name="Normal 5 7 2 3 4" xfId="30599" xr:uid="{23B5D3CD-52BF-49BC-BFCB-1E83AF3A0308}"/>
    <cellStyle name="Normal 5 7 2 4" xfId="9487" xr:uid="{F4EBC5A4-2E19-4F81-AAF2-1936FA485658}"/>
    <cellStyle name="Normal 5 7 2 5" xfId="17935" xr:uid="{88BAFFF7-F615-41B8-BF72-38648E4016A1}"/>
    <cellStyle name="Normal 5 7 2 6" xfId="26382" xr:uid="{4BDCC31B-D122-4F4A-BC24-04E52C066933}"/>
    <cellStyle name="Normal 5 7 3" xfId="1361" xr:uid="{00000000-0005-0000-0000-0000C91B0000}"/>
    <cellStyle name="Normal 5 7 3 2" xfId="3591" xr:uid="{00000000-0005-0000-0000-0000CA1B0000}"/>
    <cellStyle name="Normal 5 7 3 2 2" xfId="7813" xr:uid="{00000000-0005-0000-0000-0000CB1B0000}"/>
    <cellStyle name="Normal 5 7 3 2 2 2" xfId="16263" xr:uid="{BBC1D163-EBAA-416B-8464-A7688EC2F4E1}"/>
    <cellStyle name="Normal 5 7 3 2 2 3" xfId="24710" xr:uid="{50C878B2-4365-41CB-97A9-2868BE7FE841}"/>
    <cellStyle name="Normal 5 7 3 2 2 4" xfId="33157" xr:uid="{4C94DF77-F561-4099-8427-63DCFF4BB1F9}"/>
    <cellStyle name="Normal 5 7 3 2 3" xfId="12045" xr:uid="{407AD52C-3C3F-435C-BFF6-4AC5DFDBF0EC}"/>
    <cellStyle name="Normal 5 7 3 2 4" xfId="20493" xr:uid="{8D370AF8-33C1-47E4-A2A6-55BAE82D32E0}"/>
    <cellStyle name="Normal 5 7 3 2 5" xfId="28940" xr:uid="{FFEDB5CC-02A0-4EB7-BDAD-F8673C2DEF73}"/>
    <cellStyle name="Normal 5 7 3 3" xfId="5668" xr:uid="{00000000-0005-0000-0000-0000CC1B0000}"/>
    <cellStyle name="Normal 5 7 3 3 2" xfId="14118" xr:uid="{257A035B-2F4D-4C5A-A4C6-2A748B4C04EA}"/>
    <cellStyle name="Normal 5 7 3 3 3" xfId="22565" xr:uid="{67DAB896-42B4-43B0-9F6E-466ED1C7E894}"/>
    <cellStyle name="Normal 5 7 3 3 4" xfId="31012" xr:uid="{88A7207A-2B27-4750-B687-10BCA5F1C118}"/>
    <cellStyle name="Normal 5 7 3 4" xfId="9900" xr:uid="{AFB26FDC-0A20-4CCE-A2B7-F19B082FB87D}"/>
    <cellStyle name="Normal 5 7 3 5" xfId="18348" xr:uid="{DB69FCD0-29C9-4053-B8A7-D300205C2106}"/>
    <cellStyle name="Normal 5 7 3 6" xfId="26795" xr:uid="{FC4DB908-6024-4615-A9F6-1F48FC71377C}"/>
    <cellStyle name="Normal 5 7 4" xfId="1774" xr:uid="{00000000-0005-0000-0000-0000CD1B0000}"/>
    <cellStyle name="Normal 5 7 4 2" xfId="4004" xr:uid="{00000000-0005-0000-0000-0000CE1B0000}"/>
    <cellStyle name="Normal 5 7 4 2 2" xfId="8226" xr:uid="{00000000-0005-0000-0000-0000CF1B0000}"/>
    <cellStyle name="Normal 5 7 4 2 2 2" xfId="16676" xr:uid="{A5290E01-7767-4AA2-AA10-E1FAC4B4389A}"/>
    <cellStyle name="Normal 5 7 4 2 2 3" xfId="25123" xr:uid="{EA1C3A88-A101-4D13-927A-5532F6194892}"/>
    <cellStyle name="Normal 5 7 4 2 2 4" xfId="33570" xr:uid="{6BD2E486-0705-454C-B673-3FA7541E3D22}"/>
    <cellStyle name="Normal 5 7 4 2 3" xfId="12458" xr:uid="{ADE98957-6367-4720-BC48-A9E7EAD24B87}"/>
    <cellStyle name="Normal 5 7 4 2 4" xfId="20906" xr:uid="{9CFCDD01-A30C-4C3F-B4F7-73EB7C850D84}"/>
    <cellStyle name="Normal 5 7 4 2 5" xfId="29353" xr:uid="{82A31040-AA70-46C7-9CD7-ACD1AE445EE9}"/>
    <cellStyle name="Normal 5 7 4 3" xfId="6081" xr:uid="{00000000-0005-0000-0000-0000D01B0000}"/>
    <cellStyle name="Normal 5 7 4 3 2" xfId="14531" xr:uid="{D7245B63-FF48-47B9-B2DD-4792F948AA27}"/>
    <cellStyle name="Normal 5 7 4 3 3" xfId="22978" xr:uid="{E8B93C13-FB8B-456E-BE04-E957021B88CB}"/>
    <cellStyle name="Normal 5 7 4 3 4" xfId="31425" xr:uid="{79CA390F-CF97-444D-B1B4-EAE19E9DA86D}"/>
    <cellStyle name="Normal 5 7 4 4" xfId="10313" xr:uid="{05A64AB0-30E3-428A-8F9C-C9DFE659B48A}"/>
    <cellStyle name="Normal 5 7 4 5" xfId="18761" xr:uid="{FE4FEE5B-8CCD-47B4-B134-C03FE30DFD36}"/>
    <cellStyle name="Normal 5 7 4 6" xfId="27208" xr:uid="{74C2F557-D88F-46E5-BF72-39CE6AC3FE5E}"/>
    <cellStyle name="Normal 5 7 5" xfId="2188" xr:uid="{00000000-0005-0000-0000-0000D11B0000}"/>
    <cellStyle name="Normal 5 7 5 2" xfId="4417" xr:uid="{00000000-0005-0000-0000-0000D21B0000}"/>
    <cellStyle name="Normal 5 7 5 2 2" xfId="8639" xr:uid="{00000000-0005-0000-0000-0000D31B0000}"/>
    <cellStyle name="Normal 5 7 5 2 2 2" xfId="17089" xr:uid="{E6AA4010-AED7-4AE9-BB18-346C98E0EDFA}"/>
    <cellStyle name="Normal 5 7 5 2 2 3" xfId="25536" xr:uid="{C1BEA384-7788-421B-A767-6AAB80F2872B}"/>
    <cellStyle name="Normal 5 7 5 2 2 4" xfId="33983" xr:uid="{773F76A1-4784-4B83-8B1E-1119986AFB00}"/>
    <cellStyle name="Normal 5 7 5 2 3" xfId="12871" xr:uid="{567082F8-E7CC-45E0-81CC-0358FEDE5738}"/>
    <cellStyle name="Normal 5 7 5 2 4" xfId="21319" xr:uid="{E3AA07F1-44AF-4011-85FC-852B2B3580FB}"/>
    <cellStyle name="Normal 5 7 5 2 5" xfId="29766" xr:uid="{FD2A47A4-A379-448B-9C12-B63643857CC6}"/>
    <cellStyle name="Normal 5 7 5 3" xfId="6494" xr:uid="{00000000-0005-0000-0000-0000D41B0000}"/>
    <cellStyle name="Normal 5 7 5 3 2" xfId="14944" xr:uid="{3E91FEDA-F850-4A83-82A8-9D2FD5CB91E1}"/>
    <cellStyle name="Normal 5 7 5 3 3" xfId="23391" xr:uid="{11DBAFD8-1324-44BA-A093-B1A886A9A31F}"/>
    <cellStyle name="Normal 5 7 5 3 4" xfId="31838" xr:uid="{DD9B4971-CA31-4E20-A7B9-BA1144C81D53}"/>
    <cellStyle name="Normal 5 7 5 4" xfId="10726" xr:uid="{042CF719-CC67-4652-8421-3856EA793D5C}"/>
    <cellStyle name="Normal 5 7 5 5" xfId="19174" xr:uid="{48B7A6A8-EDEB-498E-ACD9-7C105DD7CF13}"/>
    <cellStyle name="Normal 5 7 5 6" xfId="27621" xr:uid="{C37503E3-EA46-4FE9-8CD7-3A621BD32566}"/>
    <cellStyle name="Normal 5 7 6" xfId="2624" xr:uid="{00000000-0005-0000-0000-0000D51B0000}"/>
    <cellStyle name="Normal 5 7 6 2" xfId="6907" xr:uid="{00000000-0005-0000-0000-0000D61B0000}"/>
    <cellStyle name="Normal 5 7 6 2 2" xfId="15357" xr:uid="{134134FC-4752-4AF6-A980-73B9B6BBCC1C}"/>
    <cellStyle name="Normal 5 7 6 2 3" xfId="23804" xr:uid="{3B0AA8CC-37D3-4CC9-B984-18387853F757}"/>
    <cellStyle name="Normal 5 7 6 2 4" xfId="32251" xr:uid="{6C9A2185-4149-4024-8C91-9183DD688732}"/>
    <cellStyle name="Normal 5 7 6 3" xfId="11139" xr:uid="{B7D46033-B2EC-430A-AAC9-55DE20313CB8}"/>
    <cellStyle name="Normal 5 7 6 4" xfId="19587" xr:uid="{D66D0F21-7320-476C-8B49-674EDD98F96C}"/>
    <cellStyle name="Normal 5 7 6 5" xfId="28034" xr:uid="{21BDBED2-7CBC-47F8-B605-B904587AAD16}"/>
    <cellStyle name="Normal 5 7 7" xfId="4842" xr:uid="{00000000-0005-0000-0000-0000D71B0000}"/>
    <cellStyle name="Normal 5 7 7 2" xfId="13292" xr:uid="{3C4C76B9-39E8-4BCC-8A32-400CFD8E8C4F}"/>
    <cellStyle name="Normal 5 7 7 3" xfId="21739" xr:uid="{AD2175A9-F874-4D37-BB1D-64567DF0FAB2}"/>
    <cellStyle name="Normal 5 7 7 4" xfId="30186" xr:uid="{F8FB4BF3-DC64-4AE7-A078-B8E1B25FB9BD}"/>
    <cellStyle name="Normal 5 7 8" xfId="9074" xr:uid="{4D8C4DED-A6E7-4B82-BA87-8875C338D638}"/>
    <cellStyle name="Normal 5 7 9" xfId="17522" xr:uid="{779F5C5A-6709-4144-85BD-434E869CDEC4}"/>
    <cellStyle name="Normal 5 8" xfId="880" xr:uid="{00000000-0005-0000-0000-0000D81B0000}"/>
    <cellStyle name="Normal 5 8 2" xfId="3115" xr:uid="{00000000-0005-0000-0000-0000D91B0000}"/>
    <cellStyle name="Normal 5 8 2 2" xfId="7337" xr:uid="{00000000-0005-0000-0000-0000DA1B0000}"/>
    <cellStyle name="Normal 5 8 2 2 2" xfId="15787" xr:uid="{93001947-0BB0-4778-9C0C-8D2F19D2F45B}"/>
    <cellStyle name="Normal 5 8 2 2 3" xfId="24234" xr:uid="{3A0CACF7-9ABC-4ECF-9575-594D7C40C451}"/>
    <cellStyle name="Normal 5 8 2 2 4" xfId="32681" xr:uid="{69F5377C-AECD-47DC-BA5D-9C65B452CD9B}"/>
    <cellStyle name="Normal 5 8 2 3" xfId="11569" xr:uid="{4A85DC35-5EC0-46B5-9EE0-A7B0546561B0}"/>
    <cellStyle name="Normal 5 8 2 4" xfId="20017" xr:uid="{391E2D22-FAB0-4707-9ADA-4E3696F07D07}"/>
    <cellStyle name="Normal 5 8 2 5" xfId="28464" xr:uid="{1EBD61B3-B813-454C-9C05-E66EF556D188}"/>
    <cellStyle name="Normal 5 8 3" xfId="5192" xr:uid="{00000000-0005-0000-0000-0000DB1B0000}"/>
    <cellStyle name="Normal 5 8 3 2" xfId="13642" xr:uid="{27902E9F-EC5E-4D20-AE6F-0DC9F4FB7D84}"/>
    <cellStyle name="Normal 5 8 3 3" xfId="22089" xr:uid="{21D2AF40-B938-4B6A-BCC5-B5AF8571D2EB}"/>
    <cellStyle name="Normal 5 8 3 4" xfId="30536" xr:uid="{4EF8391F-1C65-4519-A31C-61619297D73C}"/>
    <cellStyle name="Normal 5 8 4" xfId="9424" xr:uid="{BDA15DDD-2E90-4978-B5F0-70B5A06DC31C}"/>
    <cellStyle name="Normal 5 8 5" xfId="17872" xr:uid="{37A9B9D8-9F30-4EA9-A100-9ABF24D4F6C6}"/>
    <cellStyle name="Normal 5 8 6" xfId="26319" xr:uid="{BF16F56C-7CD2-4DC9-8ED5-B4E2A5CF7065}"/>
    <cellStyle name="Normal 5 9" xfId="1298" xr:uid="{00000000-0005-0000-0000-0000DC1B0000}"/>
    <cellStyle name="Normal 5 9 2" xfId="3528" xr:uid="{00000000-0005-0000-0000-0000DD1B0000}"/>
    <cellStyle name="Normal 5 9 2 2" xfId="7750" xr:uid="{00000000-0005-0000-0000-0000DE1B0000}"/>
    <cellStyle name="Normal 5 9 2 2 2" xfId="16200" xr:uid="{4FAE62B3-871E-49E7-AFD4-95419F6A481C}"/>
    <cellStyle name="Normal 5 9 2 2 3" xfId="24647" xr:uid="{782B18A0-D1DD-44E6-B464-B54E609FC60F}"/>
    <cellStyle name="Normal 5 9 2 2 4" xfId="33094" xr:uid="{FFFF11A0-8B49-460E-B6E7-FFBB7DB46EDF}"/>
    <cellStyle name="Normal 5 9 2 3" xfId="11982" xr:uid="{9FB3BA67-9BAE-4C31-B5BA-D449DA1CE9B7}"/>
    <cellStyle name="Normal 5 9 2 4" xfId="20430" xr:uid="{77CE95B8-70CB-4822-BE88-EFB237465450}"/>
    <cellStyle name="Normal 5 9 2 5" xfId="28877" xr:uid="{825C50B1-E389-4DD0-A4AA-9E6112692FD9}"/>
    <cellStyle name="Normal 5 9 3" xfId="5605" xr:uid="{00000000-0005-0000-0000-0000DF1B0000}"/>
    <cellStyle name="Normal 5 9 3 2" xfId="14055" xr:uid="{4C01EBDA-A518-4452-A0CC-28183D1115E4}"/>
    <cellStyle name="Normal 5 9 3 3" xfId="22502" xr:uid="{4B0884AD-DC89-493F-8453-31DFBFA29752}"/>
    <cellStyle name="Normal 5 9 3 4" xfId="30949" xr:uid="{44C769AB-0337-4F34-9D9C-34B716D92304}"/>
    <cellStyle name="Normal 5 9 4" xfId="9837" xr:uid="{46226D4A-41EF-4C39-9670-0994A3FAF0C2}"/>
    <cellStyle name="Normal 5 9 5" xfId="18285" xr:uid="{B97749EF-E25D-4282-9D82-D8A7138730B0}"/>
    <cellStyle name="Normal 5 9 6" xfId="26732" xr:uid="{1D906276-DDE3-486D-93EE-1F284BF2C1A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ABA92086-8C39-47ED-BFDF-B8E34491F9E6}"/>
    <cellStyle name="Normal 8 10 2 2 3" xfId="25537" xr:uid="{4890A3CB-DAAF-4867-9617-7F36C6393F2D}"/>
    <cellStyle name="Normal 8 10 2 2 4" xfId="33984" xr:uid="{7FA78AED-0196-4087-A864-7330003527DE}"/>
    <cellStyle name="Normal 8 10 2 3" xfId="12872" xr:uid="{55337CD9-B247-4406-AE0F-6CB7EC51CD11}"/>
    <cellStyle name="Normal 8 10 2 4" xfId="21320" xr:uid="{22544606-0B23-445F-908F-1D74FFD24E69}"/>
    <cellStyle name="Normal 8 10 2 5" xfId="29767" xr:uid="{32A73931-7E66-4F08-BC0A-47133556AAD1}"/>
    <cellStyle name="Normal 8 10 3" xfId="6495" xr:uid="{00000000-0005-0000-0000-0000EB1B0000}"/>
    <cellStyle name="Normal 8 10 3 2" xfId="14945" xr:uid="{3AE8116A-5D6D-4294-BADD-4064728EF5EF}"/>
    <cellStyle name="Normal 8 10 3 3" xfId="23392" xr:uid="{6FACEEB4-EF35-4654-B971-9D18CE3678A2}"/>
    <cellStyle name="Normal 8 10 3 4" xfId="31839" xr:uid="{840C83A5-C15F-465C-B3F7-7F124ABDE5C3}"/>
    <cellStyle name="Normal 8 10 4" xfId="10727" xr:uid="{F4AAB75D-979E-46A2-801B-C56EC2DB1738}"/>
    <cellStyle name="Normal 8 10 5" xfId="19175" xr:uid="{19091AC9-A34E-4C7E-91D3-99D7578D903B}"/>
    <cellStyle name="Normal 8 10 6" xfId="27622" xr:uid="{E8D9DE6E-8705-4AED-909D-7A05A034EDF1}"/>
    <cellStyle name="Normal 8 11" xfId="2625" xr:uid="{00000000-0005-0000-0000-0000EC1B0000}"/>
    <cellStyle name="Normal 8 11 2" xfId="6908" xr:uid="{00000000-0005-0000-0000-0000ED1B0000}"/>
    <cellStyle name="Normal 8 11 2 2" xfId="15358" xr:uid="{4CD4079B-6856-44D8-BB57-FF9AB5C276E9}"/>
    <cellStyle name="Normal 8 11 2 3" xfId="23805" xr:uid="{CFFC558A-A0EE-4280-B818-2B44BE63F43A}"/>
    <cellStyle name="Normal 8 11 2 4" xfId="32252" xr:uid="{67608604-EAFE-4F79-9D33-FD1F54987D19}"/>
    <cellStyle name="Normal 8 11 3" xfId="11140" xr:uid="{B673568A-2A7E-4067-AABF-67BDAB694632}"/>
    <cellStyle name="Normal 8 11 4" xfId="19588" xr:uid="{BCCA9901-E596-4246-9338-695B5469C16F}"/>
    <cellStyle name="Normal 8 11 5" xfId="28035" xr:uid="{067D540F-429D-463E-B432-77D2316717F5}"/>
    <cellStyle name="Normal 8 12" xfId="4843" xr:uid="{00000000-0005-0000-0000-0000EE1B0000}"/>
    <cellStyle name="Normal 8 12 2" xfId="13293" xr:uid="{F4B9FB79-E176-4476-9C4B-FCD9471497C2}"/>
    <cellStyle name="Normal 8 12 3" xfId="21740" xr:uid="{0D9A4F27-6F35-4F9B-985B-F5A3E0A08B55}"/>
    <cellStyle name="Normal 8 12 4" xfId="30187" xr:uid="{F3C3B639-132A-48C2-A2E9-BCC0C28E8CA3}"/>
    <cellStyle name="Normal 8 13" xfId="9075" xr:uid="{98711D61-8646-48C5-B858-34234C959645}"/>
    <cellStyle name="Normal 8 14" xfId="17523" xr:uid="{ACE1CF9F-4396-40E7-BEF0-43E7FCC7A5B3}"/>
    <cellStyle name="Normal 8 15" xfId="25970" xr:uid="{FE40DB69-530E-4715-A452-A5BD31895F43}"/>
    <cellStyle name="Normal 8 2" xfId="479" xr:uid="{00000000-0005-0000-0000-0000EF1B0000}"/>
    <cellStyle name="Normal 8 2 10" xfId="2626" xr:uid="{00000000-0005-0000-0000-0000F01B0000}"/>
    <cellStyle name="Normal 8 2 10 2" xfId="6909" xr:uid="{00000000-0005-0000-0000-0000F11B0000}"/>
    <cellStyle name="Normal 8 2 10 2 2" xfId="15359" xr:uid="{63CEA962-A0C0-4220-9438-BA518B382DEC}"/>
    <cellStyle name="Normal 8 2 10 2 3" xfId="23806" xr:uid="{B0EE4DB6-62C0-4E6C-8B3C-CB6FC3C07D0E}"/>
    <cellStyle name="Normal 8 2 10 2 4" xfId="32253" xr:uid="{3495269D-3E35-4B8B-A91E-29FE7743E0B9}"/>
    <cellStyle name="Normal 8 2 10 3" xfId="11141" xr:uid="{D5AA2C78-578C-4A88-A47E-1A5FE4E60108}"/>
    <cellStyle name="Normal 8 2 10 4" xfId="19589" xr:uid="{D8D22D9B-AE99-480B-BB66-06439AC82F79}"/>
    <cellStyle name="Normal 8 2 10 5" xfId="28036" xr:uid="{FE255732-4560-46EF-AEBC-E22709E82D48}"/>
    <cellStyle name="Normal 8 2 11" xfId="4844" xr:uid="{00000000-0005-0000-0000-0000F21B0000}"/>
    <cellStyle name="Normal 8 2 11 2" xfId="13294" xr:uid="{78D2337F-8A67-4C47-8342-B30759AAC824}"/>
    <cellStyle name="Normal 8 2 11 3" xfId="21741" xr:uid="{8FFF6377-2FB0-4FD7-AA0B-96B476A443C5}"/>
    <cellStyle name="Normal 8 2 11 4" xfId="30188" xr:uid="{BA825681-F428-4057-BE0A-AE176DFCBDF4}"/>
    <cellStyle name="Normal 8 2 12" xfId="9076" xr:uid="{E26BCFEB-910C-481E-848F-290AF63B4912}"/>
    <cellStyle name="Normal 8 2 13" xfId="17524" xr:uid="{898FD480-7C17-4B4A-A44A-D825ED8AA7BE}"/>
    <cellStyle name="Normal 8 2 14" xfId="25971" xr:uid="{6713D27B-FF9D-4B70-BDFC-85742BF24F28}"/>
    <cellStyle name="Normal 8 2 2" xfId="480" xr:uid="{00000000-0005-0000-0000-0000F31B0000}"/>
    <cellStyle name="Normal 8 2 2 10" xfId="4845" xr:uid="{00000000-0005-0000-0000-0000F41B0000}"/>
    <cellStyle name="Normal 8 2 2 10 2" xfId="13295" xr:uid="{B57FCD80-432A-47FD-ADFD-66566064301F}"/>
    <cellStyle name="Normal 8 2 2 10 3" xfId="21742" xr:uid="{23BF517A-E6BE-4C18-9429-EA734560DBCE}"/>
    <cellStyle name="Normal 8 2 2 10 4" xfId="30189" xr:uid="{2F6BEA3E-15B9-4B40-B68D-CDD0156F9037}"/>
    <cellStyle name="Normal 8 2 2 11" xfId="9077" xr:uid="{20478092-4443-435E-80E5-D08A8DAFB358}"/>
    <cellStyle name="Normal 8 2 2 12" xfId="17525" xr:uid="{835E90A5-7837-4B04-87F1-24C32C718124}"/>
    <cellStyle name="Normal 8 2 2 13" xfId="25972" xr:uid="{5A810A86-81B9-4803-B40B-7EEFA94119D3}"/>
    <cellStyle name="Normal 8 2 2 2" xfId="481" xr:uid="{00000000-0005-0000-0000-0000F51B0000}"/>
    <cellStyle name="Normal 8 2 2 2 10" xfId="9078" xr:uid="{55BB849E-A317-4B00-B05E-9AF258128666}"/>
    <cellStyle name="Normal 8 2 2 2 11" xfId="17526" xr:uid="{7DBC61E9-6CAE-41B0-A1FD-9F4AB5AA3E85}"/>
    <cellStyle name="Normal 8 2 2 2 12" xfId="25973" xr:uid="{DC6C38EC-1D21-4429-8123-22207F056C5D}"/>
    <cellStyle name="Normal 8 2 2 2 2" xfId="482" xr:uid="{00000000-0005-0000-0000-0000F61B0000}"/>
    <cellStyle name="Normal 8 2 2 2 2 10" xfId="17527" xr:uid="{2F5C6914-0882-4341-9CBC-FA66250EC980}"/>
    <cellStyle name="Normal 8 2 2 2 2 11" xfId="25974" xr:uid="{F14C5F0E-AFB2-446B-ADD4-7361B7BB647B}"/>
    <cellStyle name="Normal 8 2 2 2 2 2" xfId="483" xr:uid="{00000000-0005-0000-0000-0000F71B0000}"/>
    <cellStyle name="Normal 8 2 2 2 2 2 10" xfId="25975" xr:uid="{7B28D3B0-5F91-4ACC-AD17-B8D860DDE744}"/>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F6E8755-8BC9-467C-9E96-F58F2BDA31E0}"/>
    <cellStyle name="Normal 8 2 2 2 2 2 2 2 2 3" xfId="24303" xr:uid="{8BD3E94B-6D65-4666-9E22-1F1AD41E8EA7}"/>
    <cellStyle name="Normal 8 2 2 2 2 2 2 2 2 4" xfId="32750" xr:uid="{0D617D07-0A74-47F8-A92B-B0ECEB51A248}"/>
    <cellStyle name="Normal 8 2 2 2 2 2 2 2 3" xfId="11638" xr:uid="{791389EE-38B6-4F38-AF18-9BCA3CA1054A}"/>
    <cellStyle name="Normal 8 2 2 2 2 2 2 2 4" xfId="20086" xr:uid="{0D21AAA4-096A-4731-9F4E-C4FBC53EECE4}"/>
    <cellStyle name="Normal 8 2 2 2 2 2 2 2 5" xfId="28533" xr:uid="{185D496C-D8BB-4494-8D01-9789C3563705}"/>
    <cellStyle name="Normal 8 2 2 2 2 2 2 3" xfId="5261" xr:uid="{00000000-0005-0000-0000-0000FB1B0000}"/>
    <cellStyle name="Normal 8 2 2 2 2 2 2 3 2" xfId="13711" xr:uid="{937CFCE8-F71C-4F6D-8D96-7810674890BD}"/>
    <cellStyle name="Normal 8 2 2 2 2 2 2 3 3" xfId="22158" xr:uid="{FE0DD6CE-9EF2-4ED7-8481-173949429E70}"/>
    <cellStyle name="Normal 8 2 2 2 2 2 2 3 4" xfId="30605" xr:uid="{CEF9AB3D-3595-4C9F-AE0F-F8D07761C2DD}"/>
    <cellStyle name="Normal 8 2 2 2 2 2 2 4" xfId="9493" xr:uid="{DE674942-9596-441D-823F-E443B1184BDB}"/>
    <cellStyle name="Normal 8 2 2 2 2 2 2 5" xfId="17941" xr:uid="{199F6E4B-FF34-490C-8204-09F096CFA6E1}"/>
    <cellStyle name="Normal 8 2 2 2 2 2 2 6" xfId="26388" xr:uid="{EB98D72F-90E1-4AA3-9241-94B6886647ED}"/>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DEA6B93F-F1B0-4353-829F-4C4445235371}"/>
    <cellStyle name="Normal 8 2 2 2 2 2 3 2 2 3" xfId="24716" xr:uid="{60569128-D3F0-4B1F-9A0F-3AA51B43FDDF}"/>
    <cellStyle name="Normal 8 2 2 2 2 2 3 2 2 4" xfId="33163" xr:uid="{AE1ABE9F-E683-4B2A-A446-4B75D8F94F6C}"/>
    <cellStyle name="Normal 8 2 2 2 2 2 3 2 3" xfId="12051" xr:uid="{26C92CF2-8472-4272-B0FE-118DE02A9356}"/>
    <cellStyle name="Normal 8 2 2 2 2 2 3 2 4" xfId="20499" xr:uid="{46D89F0B-3DE4-4230-A0AA-B26E524804E4}"/>
    <cellStyle name="Normal 8 2 2 2 2 2 3 2 5" xfId="28946" xr:uid="{354BB24B-EAC5-4565-859B-D92C94467040}"/>
    <cellStyle name="Normal 8 2 2 2 2 2 3 3" xfId="5674" xr:uid="{00000000-0005-0000-0000-0000FF1B0000}"/>
    <cellStyle name="Normal 8 2 2 2 2 2 3 3 2" xfId="14124" xr:uid="{99739E94-51B6-41A3-B430-2E5C5190550D}"/>
    <cellStyle name="Normal 8 2 2 2 2 2 3 3 3" xfId="22571" xr:uid="{6559E67B-1D02-4BCB-8004-AD57A001F31D}"/>
    <cellStyle name="Normal 8 2 2 2 2 2 3 3 4" xfId="31018" xr:uid="{724346EF-CFD2-4242-AFA6-B86F54B63916}"/>
    <cellStyle name="Normal 8 2 2 2 2 2 3 4" xfId="9906" xr:uid="{91ADBE60-FC58-4FA9-A2F9-B519E7792A5A}"/>
    <cellStyle name="Normal 8 2 2 2 2 2 3 5" xfId="18354" xr:uid="{C944D7EC-81EB-45FE-B03F-7309A1D8F24F}"/>
    <cellStyle name="Normal 8 2 2 2 2 2 3 6" xfId="26801" xr:uid="{6CD496C6-AD2E-4165-9D13-B7CB21AD478D}"/>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62B56057-076C-49A1-9D8D-E2CA0F2A50A0}"/>
    <cellStyle name="Normal 8 2 2 2 2 2 4 2 2 3" xfId="25129" xr:uid="{546C1377-A0B2-46AA-B27A-87A4502E7DAF}"/>
    <cellStyle name="Normal 8 2 2 2 2 2 4 2 2 4" xfId="33576" xr:uid="{29E59BCD-77D5-4A2F-9C9B-EED3CEBE3734}"/>
    <cellStyle name="Normal 8 2 2 2 2 2 4 2 3" xfId="12464" xr:uid="{5E29AB6E-1472-4AAD-9A86-7579F3270E3C}"/>
    <cellStyle name="Normal 8 2 2 2 2 2 4 2 4" xfId="20912" xr:uid="{36D07409-1312-4C9C-AA2D-834B21442AE3}"/>
    <cellStyle name="Normal 8 2 2 2 2 2 4 2 5" xfId="29359" xr:uid="{A0856698-CB5A-41E3-82EC-9252F79E2AEC}"/>
    <cellStyle name="Normal 8 2 2 2 2 2 4 3" xfId="6087" xr:uid="{00000000-0005-0000-0000-0000031C0000}"/>
    <cellStyle name="Normal 8 2 2 2 2 2 4 3 2" xfId="14537" xr:uid="{6F49322F-338C-4500-B927-5BF26BAEE245}"/>
    <cellStyle name="Normal 8 2 2 2 2 2 4 3 3" xfId="22984" xr:uid="{63785E31-12DE-40AD-8F2B-EB467F5C88D2}"/>
    <cellStyle name="Normal 8 2 2 2 2 2 4 3 4" xfId="31431" xr:uid="{BB8089F4-0170-4956-8C85-E9396017C2DB}"/>
    <cellStyle name="Normal 8 2 2 2 2 2 4 4" xfId="10319" xr:uid="{55F79982-C34C-449B-B77A-187B0D5BB32C}"/>
    <cellStyle name="Normal 8 2 2 2 2 2 4 5" xfId="18767" xr:uid="{3CC389CE-A0A6-4534-927D-64730B5E9A0D}"/>
    <cellStyle name="Normal 8 2 2 2 2 2 4 6" xfId="27214" xr:uid="{BA839854-7F42-4D54-8830-114374D535B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6E29B630-7D16-4011-9189-D960997B56AF}"/>
    <cellStyle name="Normal 8 2 2 2 2 2 5 2 2 3" xfId="25542" xr:uid="{902565A5-0BC1-4A99-9193-2292B6171566}"/>
    <cellStyle name="Normal 8 2 2 2 2 2 5 2 2 4" xfId="33989" xr:uid="{1EA8CD70-400E-4859-A4E9-AAC188E6658D}"/>
    <cellStyle name="Normal 8 2 2 2 2 2 5 2 3" xfId="12877" xr:uid="{E8C29F24-C533-47BF-BB8A-97BEB5EFDBF1}"/>
    <cellStyle name="Normal 8 2 2 2 2 2 5 2 4" xfId="21325" xr:uid="{C8A64F98-927F-472D-ACA6-984EC73E00E4}"/>
    <cellStyle name="Normal 8 2 2 2 2 2 5 2 5" xfId="29772" xr:uid="{7E982F91-4FE3-41E0-A075-94AD3767FF5D}"/>
    <cellStyle name="Normal 8 2 2 2 2 2 5 3" xfId="6500" xr:uid="{00000000-0005-0000-0000-0000071C0000}"/>
    <cellStyle name="Normal 8 2 2 2 2 2 5 3 2" xfId="14950" xr:uid="{94DEED4B-16FF-4839-A82F-D2EB9110A23C}"/>
    <cellStyle name="Normal 8 2 2 2 2 2 5 3 3" xfId="23397" xr:uid="{72FA8A53-0CE8-4939-909D-93163694AB86}"/>
    <cellStyle name="Normal 8 2 2 2 2 2 5 3 4" xfId="31844" xr:uid="{55AF8980-AAEE-4028-A7FB-6DE44D8C5C97}"/>
    <cellStyle name="Normal 8 2 2 2 2 2 5 4" xfId="10732" xr:uid="{D3C34202-CA28-45DB-8E7F-86ED47B12674}"/>
    <cellStyle name="Normal 8 2 2 2 2 2 5 5" xfId="19180" xr:uid="{AF5C120B-BD39-479E-93B8-50887FAF3F84}"/>
    <cellStyle name="Normal 8 2 2 2 2 2 5 6" xfId="27627" xr:uid="{7CE5F864-17D4-4D1C-A1DC-36653F475F67}"/>
    <cellStyle name="Normal 8 2 2 2 2 2 6" xfId="2630" xr:uid="{00000000-0005-0000-0000-0000081C0000}"/>
    <cellStyle name="Normal 8 2 2 2 2 2 6 2" xfId="6913" xr:uid="{00000000-0005-0000-0000-0000091C0000}"/>
    <cellStyle name="Normal 8 2 2 2 2 2 6 2 2" xfId="15363" xr:uid="{7D130054-D9AB-45AB-AD3A-5B0C5A7BE24C}"/>
    <cellStyle name="Normal 8 2 2 2 2 2 6 2 3" xfId="23810" xr:uid="{B2F2DDA8-B0D0-433F-86D3-108E1D7B5C62}"/>
    <cellStyle name="Normal 8 2 2 2 2 2 6 2 4" xfId="32257" xr:uid="{41291B94-47FC-4413-81A0-1665D8B5D786}"/>
    <cellStyle name="Normal 8 2 2 2 2 2 6 3" xfId="11145" xr:uid="{684256B9-D6B0-45E6-9D84-FF73667E81A7}"/>
    <cellStyle name="Normal 8 2 2 2 2 2 6 4" xfId="19593" xr:uid="{CEB69545-66BB-4D77-861D-F0BCACA56F10}"/>
    <cellStyle name="Normal 8 2 2 2 2 2 6 5" xfId="28040" xr:uid="{A83556E0-7E2F-4045-9757-41CF229172B2}"/>
    <cellStyle name="Normal 8 2 2 2 2 2 7" xfId="4848" xr:uid="{00000000-0005-0000-0000-00000A1C0000}"/>
    <cellStyle name="Normal 8 2 2 2 2 2 7 2" xfId="13298" xr:uid="{0D55FB41-9E13-4845-A2E3-D0DEB2A231A5}"/>
    <cellStyle name="Normal 8 2 2 2 2 2 7 3" xfId="21745" xr:uid="{EBEED399-02B1-47BF-83CD-55430D6DB1A1}"/>
    <cellStyle name="Normal 8 2 2 2 2 2 7 4" xfId="30192" xr:uid="{CBDD7E30-3367-4D04-AEDB-8B09E301C7CC}"/>
    <cellStyle name="Normal 8 2 2 2 2 2 8" xfId="9080" xr:uid="{8ACB9FB8-9D91-412A-B2C2-505DB1B585F1}"/>
    <cellStyle name="Normal 8 2 2 2 2 2 9" xfId="17528" xr:uid="{82FAAC8C-EE29-4116-9D40-DDED8D1B048E}"/>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EDB1A10E-D027-4522-B95F-C55B37347AF7}"/>
    <cellStyle name="Normal 8 2 2 2 2 3 2 2 3" xfId="24302" xr:uid="{49C32F58-3BD9-49B2-97DA-8E50014C2F3C}"/>
    <cellStyle name="Normal 8 2 2 2 2 3 2 2 4" xfId="32749" xr:uid="{23DD6550-3C58-41D1-BA95-C94753C66F71}"/>
    <cellStyle name="Normal 8 2 2 2 2 3 2 3" xfId="11637" xr:uid="{565D78D3-6246-4A8E-8508-CD35CF2EE26B}"/>
    <cellStyle name="Normal 8 2 2 2 2 3 2 4" xfId="20085" xr:uid="{08EDB589-16A6-4FB7-AE8C-8A9D86F38219}"/>
    <cellStyle name="Normal 8 2 2 2 2 3 2 5" xfId="28532" xr:uid="{290C6458-BE6F-46CC-A6CF-AC819CFCFD7D}"/>
    <cellStyle name="Normal 8 2 2 2 2 3 3" xfId="5260" xr:uid="{00000000-0005-0000-0000-00000E1C0000}"/>
    <cellStyle name="Normal 8 2 2 2 2 3 3 2" xfId="13710" xr:uid="{FD727955-23AD-4CE6-9CFF-92E6331B2B94}"/>
    <cellStyle name="Normal 8 2 2 2 2 3 3 3" xfId="22157" xr:uid="{2D043C09-325B-4AFE-8F20-B6FAAA65871A}"/>
    <cellStyle name="Normal 8 2 2 2 2 3 3 4" xfId="30604" xr:uid="{447FF03B-29F1-4892-A713-602DD79144CC}"/>
    <cellStyle name="Normal 8 2 2 2 2 3 4" xfId="9492" xr:uid="{BE0D8827-085D-4C3D-AFBB-7EEFFAA4E003}"/>
    <cellStyle name="Normal 8 2 2 2 2 3 5" xfId="17940" xr:uid="{A3805572-1131-4D62-8F99-CD204F06D22D}"/>
    <cellStyle name="Normal 8 2 2 2 2 3 6" xfId="26387" xr:uid="{B968726A-1AC1-4732-82A8-571202B74815}"/>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50F28ADE-B0E6-4C29-A43D-66FE0B4A6CED}"/>
    <cellStyle name="Normal 8 2 2 2 2 4 2 2 3" xfId="24715" xr:uid="{D05F3D6E-97D3-43E7-94CC-78EB102B481B}"/>
    <cellStyle name="Normal 8 2 2 2 2 4 2 2 4" xfId="33162" xr:uid="{C5C09DD7-9BD6-49C4-A90C-ED658A6AF413}"/>
    <cellStyle name="Normal 8 2 2 2 2 4 2 3" xfId="12050" xr:uid="{D136BE23-BF53-4876-9969-25B91E1FA40B}"/>
    <cellStyle name="Normal 8 2 2 2 2 4 2 4" xfId="20498" xr:uid="{C01ECBFE-AAA3-44DB-992A-524633F0C344}"/>
    <cellStyle name="Normal 8 2 2 2 2 4 2 5" xfId="28945" xr:uid="{ECA9C347-F0EA-432B-B389-B0AC601A44ED}"/>
    <cellStyle name="Normal 8 2 2 2 2 4 3" xfId="5673" xr:uid="{00000000-0005-0000-0000-0000121C0000}"/>
    <cellStyle name="Normal 8 2 2 2 2 4 3 2" xfId="14123" xr:uid="{23B554C4-1D41-438A-8AD1-718F6E8A11AB}"/>
    <cellStyle name="Normal 8 2 2 2 2 4 3 3" xfId="22570" xr:uid="{86D17B6F-B4FA-492F-A2E8-08674363DD89}"/>
    <cellStyle name="Normal 8 2 2 2 2 4 3 4" xfId="31017" xr:uid="{B2F2CF98-8ADF-4BE0-B8BC-1D09BF2CD556}"/>
    <cellStyle name="Normal 8 2 2 2 2 4 4" xfId="9905" xr:uid="{FA4D2568-6B09-4FCD-BB86-4EA5D4A51DBA}"/>
    <cellStyle name="Normal 8 2 2 2 2 4 5" xfId="18353" xr:uid="{6F39EF8B-EAA3-40F6-A999-DC8E766A0AD6}"/>
    <cellStyle name="Normal 8 2 2 2 2 4 6" xfId="26800" xr:uid="{5CC15159-221A-4775-87A9-FD47291956AE}"/>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9F312685-DBEE-482A-A026-3E0852163520}"/>
    <cellStyle name="Normal 8 2 2 2 2 5 2 2 3" xfId="25128" xr:uid="{373AE324-0E6E-4B92-AE04-6E7A0C93E929}"/>
    <cellStyle name="Normal 8 2 2 2 2 5 2 2 4" xfId="33575" xr:uid="{08FFE81E-F7C8-41EF-A539-D2B105DB1AF3}"/>
    <cellStyle name="Normal 8 2 2 2 2 5 2 3" xfId="12463" xr:uid="{05EE121B-3DDB-4EE2-9D79-680FDEA4FE09}"/>
    <cellStyle name="Normal 8 2 2 2 2 5 2 4" xfId="20911" xr:uid="{C3E0D209-3118-4744-9634-BA9F0EEE9095}"/>
    <cellStyle name="Normal 8 2 2 2 2 5 2 5" xfId="29358" xr:uid="{05FB0243-2AA2-405F-8D8E-7A9464B38845}"/>
    <cellStyle name="Normal 8 2 2 2 2 5 3" xfId="6086" xr:uid="{00000000-0005-0000-0000-0000161C0000}"/>
    <cellStyle name="Normal 8 2 2 2 2 5 3 2" xfId="14536" xr:uid="{F41D1A8B-DEBA-4E46-AD56-CA9C789BC6F5}"/>
    <cellStyle name="Normal 8 2 2 2 2 5 3 3" xfId="22983" xr:uid="{2DB03A4E-30B4-492A-A754-CD73C0F86BCF}"/>
    <cellStyle name="Normal 8 2 2 2 2 5 3 4" xfId="31430" xr:uid="{CC3131F9-C1C9-4642-940B-823A762F4162}"/>
    <cellStyle name="Normal 8 2 2 2 2 5 4" xfId="10318" xr:uid="{898970E2-5230-41F1-B5C9-3DAD0506E72D}"/>
    <cellStyle name="Normal 8 2 2 2 2 5 5" xfId="18766" xr:uid="{8D5C0A21-D36B-499B-9766-4B8D780FED0D}"/>
    <cellStyle name="Normal 8 2 2 2 2 5 6" xfId="27213" xr:uid="{7845FE1E-97B8-4A0F-A3D1-A0664D9C4E7C}"/>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9F188FEF-C469-4449-AA09-9945D0944F65}"/>
    <cellStyle name="Normal 8 2 2 2 2 6 2 2 3" xfId="25541" xr:uid="{FDBFB3B2-5557-4CD1-BFD1-2021A23E3D29}"/>
    <cellStyle name="Normal 8 2 2 2 2 6 2 2 4" xfId="33988" xr:uid="{66F0B41F-DE44-4BF0-AD28-3646C3B0C19D}"/>
    <cellStyle name="Normal 8 2 2 2 2 6 2 3" xfId="12876" xr:uid="{E1490219-ADDE-484E-94B1-8F494FB99216}"/>
    <cellStyle name="Normal 8 2 2 2 2 6 2 4" xfId="21324" xr:uid="{F603D3F6-B2A7-4C77-882D-2CE87AD38A67}"/>
    <cellStyle name="Normal 8 2 2 2 2 6 2 5" xfId="29771" xr:uid="{09806818-B4F6-4E57-843A-0CC6F1A16360}"/>
    <cellStyle name="Normal 8 2 2 2 2 6 3" xfId="6499" xr:uid="{00000000-0005-0000-0000-00001A1C0000}"/>
    <cellStyle name="Normal 8 2 2 2 2 6 3 2" xfId="14949" xr:uid="{9057C2F7-0215-4764-81B1-3738D6D53A35}"/>
    <cellStyle name="Normal 8 2 2 2 2 6 3 3" xfId="23396" xr:uid="{8C077868-2F38-485D-8BB7-1A80EF2138BD}"/>
    <cellStyle name="Normal 8 2 2 2 2 6 3 4" xfId="31843" xr:uid="{08B72E7C-9B81-411A-A890-5D526308FE82}"/>
    <cellStyle name="Normal 8 2 2 2 2 6 4" xfId="10731" xr:uid="{5368780B-87B1-4F16-A76C-7EFC457C9317}"/>
    <cellStyle name="Normal 8 2 2 2 2 6 5" xfId="19179" xr:uid="{B2643597-F1CF-4602-B0A1-DA02D21EADB9}"/>
    <cellStyle name="Normal 8 2 2 2 2 6 6" xfId="27626" xr:uid="{73459F00-4D9A-4937-AC62-E83492562CE4}"/>
    <cellStyle name="Normal 8 2 2 2 2 7" xfId="2629" xr:uid="{00000000-0005-0000-0000-00001B1C0000}"/>
    <cellStyle name="Normal 8 2 2 2 2 7 2" xfId="6912" xr:uid="{00000000-0005-0000-0000-00001C1C0000}"/>
    <cellStyle name="Normal 8 2 2 2 2 7 2 2" xfId="15362" xr:uid="{AF26780F-FE79-4D76-B263-3F6D43390B4A}"/>
    <cellStyle name="Normal 8 2 2 2 2 7 2 3" xfId="23809" xr:uid="{E8DEF82B-D54C-49A4-92B0-90AF8D4C6954}"/>
    <cellStyle name="Normal 8 2 2 2 2 7 2 4" xfId="32256" xr:uid="{89FE8B3B-77B1-4AC6-8867-FA582B87ED86}"/>
    <cellStyle name="Normal 8 2 2 2 2 7 3" xfId="11144" xr:uid="{5E0DC792-6FA5-4007-92C8-EFFB2762B2FF}"/>
    <cellStyle name="Normal 8 2 2 2 2 7 4" xfId="19592" xr:uid="{2027394D-3AB4-4C09-9A12-28BFD4DE37BC}"/>
    <cellStyle name="Normal 8 2 2 2 2 7 5" xfId="28039" xr:uid="{F4D1D2FE-4314-4CEF-B37D-24D33C71796E}"/>
    <cellStyle name="Normal 8 2 2 2 2 8" xfId="4847" xr:uid="{00000000-0005-0000-0000-00001D1C0000}"/>
    <cellStyle name="Normal 8 2 2 2 2 8 2" xfId="13297" xr:uid="{99336261-7963-4C0F-AB4B-CAD18B34C4F0}"/>
    <cellStyle name="Normal 8 2 2 2 2 8 3" xfId="21744" xr:uid="{A4EE7F85-3847-4F70-BA5F-9BB9579C7843}"/>
    <cellStyle name="Normal 8 2 2 2 2 8 4" xfId="30191" xr:uid="{79010EDC-0FB4-458D-86BA-15A0432FE471}"/>
    <cellStyle name="Normal 8 2 2 2 2 9" xfId="9079" xr:uid="{36631521-F7E2-49AA-B34E-9F7C696F564F}"/>
    <cellStyle name="Normal 8 2 2 2 3" xfId="484" xr:uid="{00000000-0005-0000-0000-00001E1C0000}"/>
    <cellStyle name="Normal 8 2 2 2 3 10" xfId="25976" xr:uid="{4A5F835A-929C-4DE0-B159-9B323CDAE188}"/>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61F767D2-8F5C-4D31-A6F0-E6F553311B83}"/>
    <cellStyle name="Normal 8 2 2 2 3 2 2 2 3" xfId="24304" xr:uid="{4DB78DF4-8715-41CC-B17C-AF94DAB3C171}"/>
    <cellStyle name="Normal 8 2 2 2 3 2 2 2 4" xfId="32751" xr:uid="{F4E86E1F-E21D-4D3B-9D3B-BCFED11789F7}"/>
    <cellStyle name="Normal 8 2 2 2 3 2 2 3" xfId="11639" xr:uid="{5969C4B2-B5F6-40E8-9D68-035E9FEEEDE6}"/>
    <cellStyle name="Normal 8 2 2 2 3 2 2 4" xfId="20087" xr:uid="{1BA69983-2032-4B36-BE51-D746F8F2D104}"/>
    <cellStyle name="Normal 8 2 2 2 3 2 2 5" xfId="28534" xr:uid="{CBBEBAD4-FD61-4089-A420-52330D94E30C}"/>
    <cellStyle name="Normal 8 2 2 2 3 2 3" xfId="5262" xr:uid="{00000000-0005-0000-0000-0000221C0000}"/>
    <cellStyle name="Normal 8 2 2 2 3 2 3 2" xfId="13712" xr:uid="{233D9E59-06B8-4CE1-9996-07E0AF0ED31E}"/>
    <cellStyle name="Normal 8 2 2 2 3 2 3 3" xfId="22159" xr:uid="{279E1F87-2B2A-4422-A014-05327E9BF22D}"/>
    <cellStyle name="Normal 8 2 2 2 3 2 3 4" xfId="30606" xr:uid="{146B0EDD-59BC-4718-A881-305666F76D76}"/>
    <cellStyle name="Normal 8 2 2 2 3 2 4" xfId="9494" xr:uid="{C8793FA1-0B24-4949-B2BF-B90A8DCF4A92}"/>
    <cellStyle name="Normal 8 2 2 2 3 2 5" xfId="17942" xr:uid="{769EFB9C-24FA-4F4D-A143-DDCC953B42E7}"/>
    <cellStyle name="Normal 8 2 2 2 3 2 6" xfId="26389" xr:uid="{DD961293-8272-43E1-A996-6136F6CDFCF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F525B659-741C-4CA5-B79F-B85162284015}"/>
    <cellStyle name="Normal 8 2 2 2 3 3 2 2 3" xfId="24717" xr:uid="{CC24943C-E901-4C54-B7C5-7B8B4C269C06}"/>
    <cellStyle name="Normal 8 2 2 2 3 3 2 2 4" xfId="33164" xr:uid="{47E84F21-5055-46F2-B4EA-ADC5AA067221}"/>
    <cellStyle name="Normal 8 2 2 2 3 3 2 3" xfId="12052" xr:uid="{D407925C-82B3-4934-8F08-3A1078D52BF2}"/>
    <cellStyle name="Normal 8 2 2 2 3 3 2 4" xfId="20500" xr:uid="{243C4B88-F080-49E9-B653-D15CAE6A551B}"/>
    <cellStyle name="Normal 8 2 2 2 3 3 2 5" xfId="28947" xr:uid="{7B971B65-8260-4645-9C44-EB6A0B2BB006}"/>
    <cellStyle name="Normal 8 2 2 2 3 3 3" xfId="5675" xr:uid="{00000000-0005-0000-0000-0000261C0000}"/>
    <cellStyle name="Normal 8 2 2 2 3 3 3 2" xfId="14125" xr:uid="{7BE6ED9F-3150-4914-B432-F1C02481258A}"/>
    <cellStyle name="Normal 8 2 2 2 3 3 3 3" xfId="22572" xr:uid="{2499673D-074B-47CA-A660-6C55CFA49166}"/>
    <cellStyle name="Normal 8 2 2 2 3 3 3 4" xfId="31019" xr:uid="{A10DF18B-1CE9-4AE6-95E2-50228A30BF1B}"/>
    <cellStyle name="Normal 8 2 2 2 3 3 4" xfId="9907" xr:uid="{BFB94B3A-39C7-4C96-90EF-654FF8969B34}"/>
    <cellStyle name="Normal 8 2 2 2 3 3 5" xfId="18355" xr:uid="{E318AD78-B81F-44CF-B12E-801DCC49C1DF}"/>
    <cellStyle name="Normal 8 2 2 2 3 3 6" xfId="26802" xr:uid="{2079804A-6CC6-464E-9D81-905F77EDC56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CA045B59-FF87-4ACB-A9D8-AEDBD822D8D6}"/>
    <cellStyle name="Normal 8 2 2 2 3 4 2 2 3" xfId="25130" xr:uid="{3ED6C5A4-30C4-4353-851D-6D22C42D572E}"/>
    <cellStyle name="Normal 8 2 2 2 3 4 2 2 4" xfId="33577" xr:uid="{4F1C1E95-9589-4964-82FF-2E86953C4860}"/>
    <cellStyle name="Normal 8 2 2 2 3 4 2 3" xfId="12465" xr:uid="{EAC3DEBE-71D7-497C-8F5B-6EA5FB9C3198}"/>
    <cellStyle name="Normal 8 2 2 2 3 4 2 4" xfId="20913" xr:uid="{E484CF7A-6982-4B92-AD1B-BD69B9CFC7BF}"/>
    <cellStyle name="Normal 8 2 2 2 3 4 2 5" xfId="29360" xr:uid="{195F672C-54E7-4FEA-81B8-B55760FF98BA}"/>
    <cellStyle name="Normal 8 2 2 2 3 4 3" xfId="6088" xr:uid="{00000000-0005-0000-0000-00002A1C0000}"/>
    <cellStyle name="Normal 8 2 2 2 3 4 3 2" xfId="14538" xr:uid="{5199C3E3-60B9-4677-A39A-24E37857916F}"/>
    <cellStyle name="Normal 8 2 2 2 3 4 3 3" xfId="22985" xr:uid="{777C44AD-E4E8-43F8-AB50-0AA0F961CA6A}"/>
    <cellStyle name="Normal 8 2 2 2 3 4 3 4" xfId="31432" xr:uid="{E1C541BF-A6D1-47A3-AA42-3312B29D93C5}"/>
    <cellStyle name="Normal 8 2 2 2 3 4 4" xfId="10320" xr:uid="{FCD8BEF5-0354-4DC1-BE89-28AC2B67F783}"/>
    <cellStyle name="Normal 8 2 2 2 3 4 5" xfId="18768" xr:uid="{EB93D047-EBE9-4746-8970-43D018A7E1AD}"/>
    <cellStyle name="Normal 8 2 2 2 3 4 6" xfId="27215" xr:uid="{4FE6269D-A666-4855-87BB-9B7D4D320BF8}"/>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457723F0-1C02-43AA-80DC-083FFE8ADC48}"/>
    <cellStyle name="Normal 8 2 2 2 3 5 2 2 3" xfId="25543" xr:uid="{D1392A82-02B7-46A5-9B6C-A089053072E8}"/>
    <cellStyle name="Normal 8 2 2 2 3 5 2 2 4" xfId="33990" xr:uid="{EB25F2E4-9823-4C87-8D53-EF318553EE50}"/>
    <cellStyle name="Normal 8 2 2 2 3 5 2 3" xfId="12878" xr:uid="{21C07AA5-27C9-422B-B478-FBB9627DEF73}"/>
    <cellStyle name="Normal 8 2 2 2 3 5 2 4" xfId="21326" xr:uid="{64B84E28-7AB3-4AD1-A7EA-FBDD55A77E46}"/>
    <cellStyle name="Normal 8 2 2 2 3 5 2 5" xfId="29773" xr:uid="{F2AECB91-63E2-4946-B2ED-5F906FA48D1D}"/>
    <cellStyle name="Normal 8 2 2 2 3 5 3" xfId="6501" xr:uid="{00000000-0005-0000-0000-00002E1C0000}"/>
    <cellStyle name="Normal 8 2 2 2 3 5 3 2" xfId="14951" xr:uid="{ED82A78A-0D69-422E-8E4C-7876CB305805}"/>
    <cellStyle name="Normal 8 2 2 2 3 5 3 3" xfId="23398" xr:uid="{8AFBE963-1C9F-4978-AD63-C9EE4C63A841}"/>
    <cellStyle name="Normal 8 2 2 2 3 5 3 4" xfId="31845" xr:uid="{3C6ADDD7-2551-444D-8D1C-C4B43D0503C9}"/>
    <cellStyle name="Normal 8 2 2 2 3 5 4" xfId="10733" xr:uid="{CC392E69-F5EF-4602-B235-282759304B64}"/>
    <cellStyle name="Normal 8 2 2 2 3 5 5" xfId="19181" xr:uid="{5B762E51-5FCF-4BEC-8293-CDDEA4A1D2D7}"/>
    <cellStyle name="Normal 8 2 2 2 3 5 6" xfId="27628" xr:uid="{5F9D1063-DFFB-4116-86AE-35B0D667F1E4}"/>
    <cellStyle name="Normal 8 2 2 2 3 6" xfId="2631" xr:uid="{00000000-0005-0000-0000-00002F1C0000}"/>
    <cellStyle name="Normal 8 2 2 2 3 6 2" xfId="6914" xr:uid="{00000000-0005-0000-0000-0000301C0000}"/>
    <cellStyle name="Normal 8 2 2 2 3 6 2 2" xfId="15364" xr:uid="{A5A1C482-355D-4892-B6B6-2252E9B7E055}"/>
    <cellStyle name="Normal 8 2 2 2 3 6 2 3" xfId="23811" xr:uid="{49795780-B159-404D-BB40-FDE019607715}"/>
    <cellStyle name="Normal 8 2 2 2 3 6 2 4" xfId="32258" xr:uid="{38A5CB43-341F-4FC2-AAA8-396EB3CAF874}"/>
    <cellStyle name="Normal 8 2 2 2 3 6 3" xfId="11146" xr:uid="{9C2A1CFE-2E95-486A-BDA9-70CE7A1F3049}"/>
    <cellStyle name="Normal 8 2 2 2 3 6 4" xfId="19594" xr:uid="{38604BB2-3142-4DFB-9746-25FD0BD03CDF}"/>
    <cellStyle name="Normal 8 2 2 2 3 6 5" xfId="28041" xr:uid="{B1A61C22-CBE1-4C90-842F-0BD0FFB29F47}"/>
    <cellStyle name="Normal 8 2 2 2 3 7" xfId="4849" xr:uid="{00000000-0005-0000-0000-0000311C0000}"/>
    <cellStyle name="Normal 8 2 2 2 3 7 2" xfId="13299" xr:uid="{49DE8067-F18E-442B-8A37-69AE8C577DC1}"/>
    <cellStyle name="Normal 8 2 2 2 3 7 3" xfId="21746" xr:uid="{41CCE013-8244-49CF-AC00-0267BC05ADF9}"/>
    <cellStyle name="Normal 8 2 2 2 3 7 4" xfId="30193" xr:uid="{480E5015-12EC-4CCA-BEAE-42EDEEF3CFF5}"/>
    <cellStyle name="Normal 8 2 2 2 3 8" xfId="9081" xr:uid="{15933CF1-C6B3-416B-A9E9-AAEDC54F19AE}"/>
    <cellStyle name="Normal 8 2 2 2 3 9" xfId="17529" xr:uid="{B4036067-BA56-4A14-AE28-B2605C1D2610}"/>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4FD7835D-4DE2-42BF-B31A-B48AC2525BFB}"/>
    <cellStyle name="Normal 8 2 2 2 4 2 2 3" xfId="24301" xr:uid="{9E59F835-480F-49E0-AB20-DB31229DD1E0}"/>
    <cellStyle name="Normal 8 2 2 2 4 2 2 4" xfId="32748" xr:uid="{902C41ED-2E3E-416B-8851-5976B49FDF60}"/>
    <cellStyle name="Normal 8 2 2 2 4 2 3" xfId="11636" xr:uid="{2755B343-2819-4F2B-886D-EF84D17F3387}"/>
    <cellStyle name="Normal 8 2 2 2 4 2 4" xfId="20084" xr:uid="{B7755D65-EC3C-4009-9875-C8FC127152BE}"/>
    <cellStyle name="Normal 8 2 2 2 4 2 5" xfId="28531" xr:uid="{62D5CA42-896F-4748-94B4-0F03E1F46A88}"/>
    <cellStyle name="Normal 8 2 2 2 4 3" xfId="5259" xr:uid="{00000000-0005-0000-0000-0000351C0000}"/>
    <cellStyle name="Normal 8 2 2 2 4 3 2" xfId="13709" xr:uid="{E0FC89B7-C175-450D-87F1-AFD35AE0741D}"/>
    <cellStyle name="Normal 8 2 2 2 4 3 3" xfId="22156" xr:uid="{C8099ABA-6CB6-4729-B9E1-5FB94B70E0A3}"/>
    <cellStyle name="Normal 8 2 2 2 4 3 4" xfId="30603" xr:uid="{57E5984C-75CC-4DFB-AF17-9F028E03444E}"/>
    <cellStyle name="Normal 8 2 2 2 4 4" xfId="9491" xr:uid="{EFCF3338-19FC-4311-9C6C-B1464CFCB69F}"/>
    <cellStyle name="Normal 8 2 2 2 4 5" xfId="17939" xr:uid="{B61C230F-17E2-4264-BE28-B16A30ABADA7}"/>
    <cellStyle name="Normal 8 2 2 2 4 6" xfId="26386" xr:uid="{C3544029-6B1B-45FF-A9DF-EF31D76A4799}"/>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4413C0DC-19EE-4BC1-9EBE-B5AAFE1055D9}"/>
    <cellStyle name="Normal 8 2 2 2 5 2 2 3" xfId="24714" xr:uid="{1619B69E-6779-4B3F-8AF8-1D2511E311A3}"/>
    <cellStyle name="Normal 8 2 2 2 5 2 2 4" xfId="33161" xr:uid="{A15AD1A2-6013-47E0-AFB8-C87D1CE78ABE}"/>
    <cellStyle name="Normal 8 2 2 2 5 2 3" xfId="12049" xr:uid="{80C946EC-15DA-4ED3-BAA7-4578780D8ABE}"/>
    <cellStyle name="Normal 8 2 2 2 5 2 4" xfId="20497" xr:uid="{43DD537B-D26C-4F03-A7D7-BB874F2DFB57}"/>
    <cellStyle name="Normal 8 2 2 2 5 2 5" xfId="28944" xr:uid="{27419AEE-7596-4364-87B5-D4D86F5BA894}"/>
    <cellStyle name="Normal 8 2 2 2 5 3" xfId="5672" xr:uid="{00000000-0005-0000-0000-0000391C0000}"/>
    <cellStyle name="Normal 8 2 2 2 5 3 2" xfId="14122" xr:uid="{45DEFCC2-9AC1-467D-98DE-5029896C5D96}"/>
    <cellStyle name="Normal 8 2 2 2 5 3 3" xfId="22569" xr:uid="{EA2D6E2C-29DC-4D77-A88A-4718237D63C0}"/>
    <cellStyle name="Normal 8 2 2 2 5 3 4" xfId="31016" xr:uid="{D218C095-419F-40D6-B797-3F1918AD22E6}"/>
    <cellStyle name="Normal 8 2 2 2 5 4" xfId="9904" xr:uid="{0834A23F-B667-4C10-B456-085E12177621}"/>
    <cellStyle name="Normal 8 2 2 2 5 5" xfId="18352" xr:uid="{81CCB8BF-74CC-43EC-B7E3-1AE580814A35}"/>
    <cellStyle name="Normal 8 2 2 2 5 6" xfId="26799" xr:uid="{99849099-1D0F-4889-98FA-AE0320DCBF2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45DD4F24-00D4-494D-847A-2659E3E4E604}"/>
    <cellStyle name="Normal 8 2 2 2 6 2 2 3" xfId="25127" xr:uid="{A76A2B03-7A02-48D8-83E5-039C1C40D035}"/>
    <cellStyle name="Normal 8 2 2 2 6 2 2 4" xfId="33574" xr:uid="{93153736-E738-47C5-9F33-30998F667CDA}"/>
    <cellStyle name="Normal 8 2 2 2 6 2 3" xfId="12462" xr:uid="{49A8137B-E902-4352-8E2D-920137FE99E9}"/>
    <cellStyle name="Normal 8 2 2 2 6 2 4" xfId="20910" xr:uid="{5343CA15-419C-4E1E-A213-AAAA5B9D5622}"/>
    <cellStyle name="Normal 8 2 2 2 6 2 5" xfId="29357" xr:uid="{6A9B2E37-B025-4CAF-BE12-4C51F7148AAE}"/>
    <cellStyle name="Normal 8 2 2 2 6 3" xfId="6085" xr:uid="{00000000-0005-0000-0000-00003D1C0000}"/>
    <cellStyle name="Normal 8 2 2 2 6 3 2" xfId="14535" xr:uid="{698F3279-458C-4ACA-A83B-935ED9B49BD5}"/>
    <cellStyle name="Normal 8 2 2 2 6 3 3" xfId="22982" xr:uid="{77632AF1-32C7-4953-B662-14D58E69F89C}"/>
    <cellStyle name="Normal 8 2 2 2 6 3 4" xfId="31429" xr:uid="{6C8A88B4-1091-4DD9-BF09-74E049643DBD}"/>
    <cellStyle name="Normal 8 2 2 2 6 4" xfId="10317" xr:uid="{1432CC6F-1D3D-4C8B-A5BF-3FF917273382}"/>
    <cellStyle name="Normal 8 2 2 2 6 5" xfId="18765" xr:uid="{2ED4DB9C-4DE5-4179-AC5B-AFD5E982CA32}"/>
    <cellStyle name="Normal 8 2 2 2 6 6" xfId="27212" xr:uid="{C43A4D4F-7490-42DC-A223-832E4E58D9BB}"/>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5EAAC8C0-2C9C-46A2-B531-3BAAA77BE8A0}"/>
    <cellStyle name="Normal 8 2 2 2 7 2 2 3" xfId="25540" xr:uid="{D56CE0B6-89BB-4445-A235-98A9265BDBA9}"/>
    <cellStyle name="Normal 8 2 2 2 7 2 2 4" xfId="33987" xr:uid="{99FDEF04-40EB-4EDB-B2B6-628DB4D2D81F}"/>
    <cellStyle name="Normal 8 2 2 2 7 2 3" xfId="12875" xr:uid="{7C6A7702-60BF-4E1F-8613-E5CC1BFA3F11}"/>
    <cellStyle name="Normal 8 2 2 2 7 2 4" xfId="21323" xr:uid="{E69C59A2-BA84-4B40-A262-96568BD40D51}"/>
    <cellStyle name="Normal 8 2 2 2 7 2 5" xfId="29770" xr:uid="{9F1F460B-C0FE-4574-81BA-C87B1D1FD3E0}"/>
    <cellStyle name="Normal 8 2 2 2 7 3" xfId="6498" xr:uid="{00000000-0005-0000-0000-0000411C0000}"/>
    <cellStyle name="Normal 8 2 2 2 7 3 2" xfId="14948" xr:uid="{A4C53071-17D6-47C5-A53F-975D0B089336}"/>
    <cellStyle name="Normal 8 2 2 2 7 3 3" xfId="23395" xr:uid="{F621C594-2415-43BD-B628-2396EA8CD556}"/>
    <cellStyle name="Normal 8 2 2 2 7 3 4" xfId="31842" xr:uid="{B47FC8CD-0736-4067-B263-28132563ED31}"/>
    <cellStyle name="Normal 8 2 2 2 7 4" xfId="10730" xr:uid="{871B8621-01B5-4A47-93A6-F86D1747E29D}"/>
    <cellStyle name="Normal 8 2 2 2 7 5" xfId="19178" xr:uid="{DBAA8289-71E2-4ED4-B067-35CA040DCB54}"/>
    <cellStyle name="Normal 8 2 2 2 7 6" xfId="27625" xr:uid="{AFE6FBAE-61C7-4FD2-879F-6DE06763FF33}"/>
    <cellStyle name="Normal 8 2 2 2 8" xfId="2628" xr:uid="{00000000-0005-0000-0000-0000421C0000}"/>
    <cellStyle name="Normal 8 2 2 2 8 2" xfId="6911" xr:uid="{00000000-0005-0000-0000-0000431C0000}"/>
    <cellStyle name="Normal 8 2 2 2 8 2 2" xfId="15361" xr:uid="{E59FE903-8D7E-4C84-B89B-8FABC0360EDF}"/>
    <cellStyle name="Normal 8 2 2 2 8 2 3" xfId="23808" xr:uid="{425C1E7D-010A-44B2-AEC4-DB39C3E98277}"/>
    <cellStyle name="Normal 8 2 2 2 8 2 4" xfId="32255" xr:uid="{571A9813-4698-4D3D-9DC8-31EF5B6EF2B6}"/>
    <cellStyle name="Normal 8 2 2 2 8 3" xfId="11143" xr:uid="{BC240179-EE3A-444D-A595-B13B9B928EA1}"/>
    <cellStyle name="Normal 8 2 2 2 8 4" xfId="19591" xr:uid="{F1850F9A-A089-42AA-9F5E-880B45FB99FE}"/>
    <cellStyle name="Normal 8 2 2 2 8 5" xfId="28038" xr:uid="{50CB507F-82AE-4F0D-8644-0444DE580BE5}"/>
    <cellStyle name="Normal 8 2 2 2 9" xfId="4846" xr:uid="{00000000-0005-0000-0000-0000441C0000}"/>
    <cellStyle name="Normal 8 2 2 2 9 2" xfId="13296" xr:uid="{A6A88B36-EDF9-4FD6-9C5E-D52D0CE728C2}"/>
    <cellStyle name="Normal 8 2 2 2 9 3" xfId="21743" xr:uid="{C8D55260-3581-422C-9959-C54DC4542D02}"/>
    <cellStyle name="Normal 8 2 2 2 9 4" xfId="30190" xr:uid="{E1CA28AA-A3A3-4A35-920E-C970BAA06448}"/>
    <cellStyle name="Normal 8 2 2 3" xfId="485" xr:uid="{00000000-0005-0000-0000-0000451C0000}"/>
    <cellStyle name="Normal 8 2 2 3 10" xfId="17530" xr:uid="{DA5425AE-30FA-4ECB-AAA4-F570770A05DA}"/>
    <cellStyle name="Normal 8 2 2 3 11" xfId="25977" xr:uid="{90F75087-582B-4FCA-9536-CBE8B19F3801}"/>
    <cellStyle name="Normal 8 2 2 3 2" xfId="486" xr:uid="{00000000-0005-0000-0000-0000461C0000}"/>
    <cellStyle name="Normal 8 2 2 3 2 10" xfId="25978" xr:uid="{CA0CB381-FCAC-4418-ACF6-F9F964BD4562}"/>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6223B364-4C0E-464B-8DF7-FB0F05087CB4}"/>
    <cellStyle name="Normal 8 2 2 3 2 2 2 2 3" xfId="24306" xr:uid="{B2394DA5-DB9C-417F-81C9-44D441B356BA}"/>
    <cellStyle name="Normal 8 2 2 3 2 2 2 2 4" xfId="32753" xr:uid="{54DFBDD7-1BD7-4183-8269-C13CD3E8AFD0}"/>
    <cellStyle name="Normal 8 2 2 3 2 2 2 3" xfId="11641" xr:uid="{337C5245-06BE-479F-96DF-0E7355A9A67E}"/>
    <cellStyle name="Normal 8 2 2 3 2 2 2 4" xfId="20089" xr:uid="{F44C026D-6588-44B8-B882-423220780224}"/>
    <cellStyle name="Normal 8 2 2 3 2 2 2 5" xfId="28536" xr:uid="{7B6AC3FB-1EA3-427C-B984-D6A5FC374E8A}"/>
    <cellStyle name="Normal 8 2 2 3 2 2 3" xfId="5264" xr:uid="{00000000-0005-0000-0000-00004A1C0000}"/>
    <cellStyle name="Normal 8 2 2 3 2 2 3 2" xfId="13714" xr:uid="{D2AB94DD-8F8F-451E-91C2-67A87F06EEA2}"/>
    <cellStyle name="Normal 8 2 2 3 2 2 3 3" xfId="22161" xr:uid="{852861A1-84E7-4D64-911D-82B1C21D604D}"/>
    <cellStyle name="Normal 8 2 2 3 2 2 3 4" xfId="30608" xr:uid="{9B204A8D-BA18-4F26-8375-4B994ACF0EB5}"/>
    <cellStyle name="Normal 8 2 2 3 2 2 4" xfId="9496" xr:uid="{4E6545A3-2C87-4473-AAD2-F7C813086701}"/>
    <cellStyle name="Normal 8 2 2 3 2 2 5" xfId="17944" xr:uid="{13E9022C-0DD2-4116-A64E-99DD0DEE57D1}"/>
    <cellStyle name="Normal 8 2 2 3 2 2 6" xfId="26391" xr:uid="{C6FB9480-6961-4BD2-989F-7B161285C22A}"/>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809D408B-1054-4AE9-B007-AA7608803D0A}"/>
    <cellStyle name="Normal 8 2 2 3 2 3 2 2 3" xfId="24719" xr:uid="{01C901C2-9302-4C8E-B90A-7AD266A7E5EE}"/>
    <cellStyle name="Normal 8 2 2 3 2 3 2 2 4" xfId="33166" xr:uid="{A3FA5C30-8AED-4F15-86BA-8C46F792CF79}"/>
    <cellStyle name="Normal 8 2 2 3 2 3 2 3" xfId="12054" xr:uid="{34DE9C0F-89A0-4B2D-9EE3-D66E4F287F0D}"/>
    <cellStyle name="Normal 8 2 2 3 2 3 2 4" xfId="20502" xr:uid="{0BA9F7F7-26FE-42DC-8221-069A19CA1CC8}"/>
    <cellStyle name="Normal 8 2 2 3 2 3 2 5" xfId="28949" xr:uid="{5C6434CC-455C-4569-928F-6D07A689976B}"/>
    <cellStyle name="Normal 8 2 2 3 2 3 3" xfId="5677" xr:uid="{00000000-0005-0000-0000-00004E1C0000}"/>
    <cellStyle name="Normal 8 2 2 3 2 3 3 2" xfId="14127" xr:uid="{524E4D71-2494-4E1F-865A-C7C669DD0110}"/>
    <cellStyle name="Normal 8 2 2 3 2 3 3 3" xfId="22574" xr:uid="{E9887D3E-6BF4-471B-9315-7A605BC37F45}"/>
    <cellStyle name="Normal 8 2 2 3 2 3 3 4" xfId="31021" xr:uid="{C886BB49-DAC8-4164-B6DA-146FDE3EF62E}"/>
    <cellStyle name="Normal 8 2 2 3 2 3 4" xfId="9909" xr:uid="{AED7A1D0-AE98-421D-A7FC-B32A15CF502C}"/>
    <cellStyle name="Normal 8 2 2 3 2 3 5" xfId="18357" xr:uid="{D29192B9-E78F-4244-AFD0-70C2DABF2662}"/>
    <cellStyle name="Normal 8 2 2 3 2 3 6" xfId="26804" xr:uid="{B7254308-B9BD-44C1-83F0-EB3B0DA8110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80486C70-3F56-4893-9DE0-98F5CA2B43F7}"/>
    <cellStyle name="Normal 8 2 2 3 2 4 2 2 3" xfId="25132" xr:uid="{9A8D3FEE-2714-4A3C-B30B-6029FC51D037}"/>
    <cellStyle name="Normal 8 2 2 3 2 4 2 2 4" xfId="33579" xr:uid="{83C02D75-6DFA-4981-BC9D-3678D20400D5}"/>
    <cellStyle name="Normal 8 2 2 3 2 4 2 3" xfId="12467" xr:uid="{68AF7FC0-D2F7-493E-A71A-737EC9FB150E}"/>
    <cellStyle name="Normal 8 2 2 3 2 4 2 4" xfId="20915" xr:uid="{DF83D982-FEB0-40F3-B8B4-A781516620B9}"/>
    <cellStyle name="Normal 8 2 2 3 2 4 2 5" xfId="29362" xr:uid="{99399E71-EB24-4E70-9AFB-A5A27327F7BC}"/>
    <cellStyle name="Normal 8 2 2 3 2 4 3" xfId="6090" xr:uid="{00000000-0005-0000-0000-0000521C0000}"/>
    <cellStyle name="Normal 8 2 2 3 2 4 3 2" xfId="14540" xr:uid="{E98E0C48-61DB-4DA4-9D9C-08341AFD791C}"/>
    <cellStyle name="Normal 8 2 2 3 2 4 3 3" xfId="22987" xr:uid="{29F0B2E9-A2D1-4531-A6A0-B1C83BCA8AB2}"/>
    <cellStyle name="Normal 8 2 2 3 2 4 3 4" xfId="31434" xr:uid="{824078A4-16B4-4801-A220-B07F44A6A182}"/>
    <cellStyle name="Normal 8 2 2 3 2 4 4" xfId="10322" xr:uid="{997F9EFE-261B-4B64-999F-D374BC421B41}"/>
    <cellStyle name="Normal 8 2 2 3 2 4 5" xfId="18770" xr:uid="{D7BC90B0-12A5-4830-B666-F4A34F4D5672}"/>
    <cellStyle name="Normal 8 2 2 3 2 4 6" xfId="27217" xr:uid="{DC451813-5C7C-4345-BE60-5FD0D093AF6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7B77DC34-7EBD-4524-B34B-2E7AB6E5E05F}"/>
    <cellStyle name="Normal 8 2 2 3 2 5 2 2 3" xfId="25545" xr:uid="{267A56BE-0C69-4A4B-BBC9-25AC5D6262E7}"/>
    <cellStyle name="Normal 8 2 2 3 2 5 2 2 4" xfId="33992" xr:uid="{7954CC83-8B86-406B-A210-C63AED1CEA55}"/>
    <cellStyle name="Normal 8 2 2 3 2 5 2 3" xfId="12880" xr:uid="{AC48C638-C825-43BA-BA70-47A12CD22A4C}"/>
    <cellStyle name="Normal 8 2 2 3 2 5 2 4" xfId="21328" xr:uid="{A129B32D-5AD2-44A0-82B9-ECA8079CB0B5}"/>
    <cellStyle name="Normal 8 2 2 3 2 5 2 5" xfId="29775" xr:uid="{62E66CDA-EBB0-444E-9CCA-F81C1CE160CB}"/>
    <cellStyle name="Normal 8 2 2 3 2 5 3" xfId="6503" xr:uid="{00000000-0005-0000-0000-0000561C0000}"/>
    <cellStyle name="Normal 8 2 2 3 2 5 3 2" xfId="14953" xr:uid="{8713D35D-147C-4350-8F0E-A3296535574D}"/>
    <cellStyle name="Normal 8 2 2 3 2 5 3 3" xfId="23400" xr:uid="{BF49C1C4-F424-4FB0-93F1-92C55050AF33}"/>
    <cellStyle name="Normal 8 2 2 3 2 5 3 4" xfId="31847" xr:uid="{87E85B30-C346-429E-9423-2B498C9CE7A3}"/>
    <cellStyle name="Normal 8 2 2 3 2 5 4" xfId="10735" xr:uid="{BB19ACAC-06BC-414D-AB81-12CE55B84B87}"/>
    <cellStyle name="Normal 8 2 2 3 2 5 5" xfId="19183" xr:uid="{32E177E3-CC23-4765-954D-A43D09FFB151}"/>
    <cellStyle name="Normal 8 2 2 3 2 5 6" xfId="27630" xr:uid="{C5978D62-129C-41B1-8FBF-FE6239148515}"/>
    <cellStyle name="Normal 8 2 2 3 2 6" xfId="2633" xr:uid="{00000000-0005-0000-0000-0000571C0000}"/>
    <cellStyle name="Normal 8 2 2 3 2 6 2" xfId="6916" xr:uid="{00000000-0005-0000-0000-0000581C0000}"/>
    <cellStyle name="Normal 8 2 2 3 2 6 2 2" xfId="15366" xr:uid="{489CE5DF-186F-463D-89FA-01A9FE80C148}"/>
    <cellStyle name="Normal 8 2 2 3 2 6 2 3" xfId="23813" xr:uid="{2227A6F5-6C0E-4F1D-9E6E-7A542F3E10F2}"/>
    <cellStyle name="Normal 8 2 2 3 2 6 2 4" xfId="32260" xr:uid="{9726A108-39C5-4906-8684-A77411829DBF}"/>
    <cellStyle name="Normal 8 2 2 3 2 6 3" xfId="11148" xr:uid="{C9392C61-EA6F-46EF-A945-CFE870B3E421}"/>
    <cellStyle name="Normal 8 2 2 3 2 6 4" xfId="19596" xr:uid="{CACD0DDD-7EFE-4C12-8926-7428439E1079}"/>
    <cellStyle name="Normal 8 2 2 3 2 6 5" xfId="28043" xr:uid="{727BC54D-15CB-4A79-9D01-7DA3C1EC1F1D}"/>
    <cellStyle name="Normal 8 2 2 3 2 7" xfId="4851" xr:uid="{00000000-0005-0000-0000-0000591C0000}"/>
    <cellStyle name="Normal 8 2 2 3 2 7 2" xfId="13301" xr:uid="{A0C3FE9C-51F7-4ACB-8729-F109ABB6BD02}"/>
    <cellStyle name="Normal 8 2 2 3 2 7 3" xfId="21748" xr:uid="{D36D5259-CE77-4F78-AD4B-0A0929CC3D79}"/>
    <cellStyle name="Normal 8 2 2 3 2 7 4" xfId="30195" xr:uid="{7D01D75F-70BF-4858-8E58-E28557AEEEE6}"/>
    <cellStyle name="Normal 8 2 2 3 2 8" xfId="9083" xr:uid="{2A0E49E4-8CA4-4EC5-B370-ADE841C33EC8}"/>
    <cellStyle name="Normal 8 2 2 3 2 9" xfId="17531" xr:uid="{B8F7D299-6CD2-459C-9B8A-EA333D93527D}"/>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901DC363-1ADC-449C-9765-96CA33B2851A}"/>
    <cellStyle name="Normal 8 2 2 3 3 2 2 3" xfId="24305" xr:uid="{FC3E3BA7-08EB-4F6D-BE54-7AAF8F9AC94F}"/>
    <cellStyle name="Normal 8 2 2 3 3 2 2 4" xfId="32752" xr:uid="{0B232279-B211-4506-9900-18C325A36D29}"/>
    <cellStyle name="Normal 8 2 2 3 3 2 3" xfId="11640" xr:uid="{8EBA00A4-7D32-4961-B6D7-5DE10E5FAB0F}"/>
    <cellStyle name="Normal 8 2 2 3 3 2 4" xfId="20088" xr:uid="{ACCDE257-24FC-4910-B599-D185B5A76B12}"/>
    <cellStyle name="Normal 8 2 2 3 3 2 5" xfId="28535" xr:uid="{3B5564BF-1E41-48FA-88AE-F22002ADA4B3}"/>
    <cellStyle name="Normal 8 2 2 3 3 3" xfId="5263" xr:uid="{00000000-0005-0000-0000-00005D1C0000}"/>
    <cellStyle name="Normal 8 2 2 3 3 3 2" xfId="13713" xr:uid="{53B1DAB8-FBB8-44D8-928A-6C9FBF612411}"/>
    <cellStyle name="Normal 8 2 2 3 3 3 3" xfId="22160" xr:uid="{95BA5960-5FA5-4B9D-8D1D-AA6A005DADE8}"/>
    <cellStyle name="Normal 8 2 2 3 3 3 4" xfId="30607" xr:uid="{FE7FCDFE-651D-4AC0-930D-64C4C71779C0}"/>
    <cellStyle name="Normal 8 2 2 3 3 4" xfId="9495" xr:uid="{54637FD1-E0DA-489C-8860-06A85D460885}"/>
    <cellStyle name="Normal 8 2 2 3 3 5" xfId="17943" xr:uid="{FE669474-02A5-4718-8156-4291A55911BE}"/>
    <cellStyle name="Normal 8 2 2 3 3 6" xfId="26390" xr:uid="{48218220-65E0-4E90-A0D1-5B95AD0DFB0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7FC8B2DE-F98A-46B8-AAEE-48E0DC18627C}"/>
    <cellStyle name="Normal 8 2 2 3 4 2 2 3" xfId="24718" xr:uid="{DA9CA3F6-CAA4-46F5-8FD1-E8512532B9B8}"/>
    <cellStyle name="Normal 8 2 2 3 4 2 2 4" xfId="33165" xr:uid="{8C99C1F3-9EFE-491B-9FE8-3C7D77AC105C}"/>
    <cellStyle name="Normal 8 2 2 3 4 2 3" xfId="12053" xr:uid="{060D2CED-19F4-43DB-A95F-D4385A4B1E83}"/>
    <cellStyle name="Normal 8 2 2 3 4 2 4" xfId="20501" xr:uid="{BA0D196E-8BC9-4091-88A1-54B007D898AE}"/>
    <cellStyle name="Normal 8 2 2 3 4 2 5" xfId="28948" xr:uid="{987D12B8-C917-4951-82FB-1240748DC204}"/>
    <cellStyle name="Normal 8 2 2 3 4 3" xfId="5676" xr:uid="{00000000-0005-0000-0000-0000611C0000}"/>
    <cellStyle name="Normal 8 2 2 3 4 3 2" xfId="14126" xr:uid="{22884F23-1F83-49DD-91E6-BF8DA5D5098B}"/>
    <cellStyle name="Normal 8 2 2 3 4 3 3" xfId="22573" xr:uid="{EA2E0AD3-1A1A-4D59-AF10-7A4E309607F1}"/>
    <cellStyle name="Normal 8 2 2 3 4 3 4" xfId="31020" xr:uid="{9E44D9A0-1447-4011-BCC0-CA6B605AB755}"/>
    <cellStyle name="Normal 8 2 2 3 4 4" xfId="9908" xr:uid="{FE73E18F-DB7F-4FC6-A5CA-7042ACF25F7E}"/>
    <cellStyle name="Normal 8 2 2 3 4 5" xfId="18356" xr:uid="{F30C74AF-6BE1-4D29-9D64-088E375DF565}"/>
    <cellStyle name="Normal 8 2 2 3 4 6" xfId="26803" xr:uid="{393F4C44-341D-46C8-B329-CB1861935C58}"/>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1CB6BC07-19D4-404C-96B2-1E450B47541A}"/>
    <cellStyle name="Normal 8 2 2 3 5 2 2 3" xfId="25131" xr:uid="{5C4A2455-0D17-4B4A-A5E1-ABBA9DA6A548}"/>
    <cellStyle name="Normal 8 2 2 3 5 2 2 4" xfId="33578" xr:uid="{F7107566-8B64-416F-8D12-6CC83DDFC75E}"/>
    <cellStyle name="Normal 8 2 2 3 5 2 3" xfId="12466" xr:uid="{576A62A3-108E-457D-A895-A9CB6A4E13BD}"/>
    <cellStyle name="Normal 8 2 2 3 5 2 4" xfId="20914" xr:uid="{890C351C-D065-4FCC-95EE-1C7AB550CCE5}"/>
    <cellStyle name="Normal 8 2 2 3 5 2 5" xfId="29361" xr:uid="{65C34758-18AF-4C7E-A3C2-8E5A36A7FD5F}"/>
    <cellStyle name="Normal 8 2 2 3 5 3" xfId="6089" xr:uid="{00000000-0005-0000-0000-0000651C0000}"/>
    <cellStyle name="Normal 8 2 2 3 5 3 2" xfId="14539" xr:uid="{54EA3C9A-C6D2-46E7-8ABB-4CA59C2632A0}"/>
    <cellStyle name="Normal 8 2 2 3 5 3 3" xfId="22986" xr:uid="{5F0318AE-EFC8-4C67-94A9-24BCCD6B63DA}"/>
    <cellStyle name="Normal 8 2 2 3 5 3 4" xfId="31433" xr:uid="{84EBCDB5-3E15-467C-A847-9806E90417FE}"/>
    <cellStyle name="Normal 8 2 2 3 5 4" xfId="10321" xr:uid="{D440C51D-5E35-43E3-A7D9-3041F095EFFC}"/>
    <cellStyle name="Normal 8 2 2 3 5 5" xfId="18769" xr:uid="{71CE8766-DB8C-4B43-81A6-8FC5D57FABED}"/>
    <cellStyle name="Normal 8 2 2 3 5 6" xfId="27216" xr:uid="{08155461-6D56-4F39-A014-58AEE75E1956}"/>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BB2485B8-CF2B-4E01-873D-1A82F0FA37AA}"/>
    <cellStyle name="Normal 8 2 2 3 6 2 2 3" xfId="25544" xr:uid="{4208B19C-ED55-4A47-BDBA-BC5F94657A00}"/>
    <cellStyle name="Normal 8 2 2 3 6 2 2 4" xfId="33991" xr:uid="{06A0D2C5-FCA1-429C-A07E-390C83D32BC3}"/>
    <cellStyle name="Normal 8 2 2 3 6 2 3" xfId="12879" xr:uid="{C56570BB-69A2-4E96-AA6F-3871DEE76872}"/>
    <cellStyle name="Normal 8 2 2 3 6 2 4" xfId="21327" xr:uid="{AFF75F59-BCBF-4667-93AB-8DD3A32F7709}"/>
    <cellStyle name="Normal 8 2 2 3 6 2 5" xfId="29774" xr:uid="{6C5CFE64-D2E8-43A3-A4D5-38879D013C08}"/>
    <cellStyle name="Normal 8 2 2 3 6 3" xfId="6502" xr:uid="{00000000-0005-0000-0000-0000691C0000}"/>
    <cellStyle name="Normal 8 2 2 3 6 3 2" xfId="14952" xr:uid="{FD6F9EA1-E437-4BC9-AB08-29A47CC4000E}"/>
    <cellStyle name="Normal 8 2 2 3 6 3 3" xfId="23399" xr:uid="{479A0FDD-E2AB-4C14-B01B-D67878B3ED7A}"/>
    <cellStyle name="Normal 8 2 2 3 6 3 4" xfId="31846" xr:uid="{FB43ADA3-2F0A-4654-83A2-A1FBBEE378AA}"/>
    <cellStyle name="Normal 8 2 2 3 6 4" xfId="10734" xr:uid="{AF20293F-9A39-47BC-B6B4-FA54B896B657}"/>
    <cellStyle name="Normal 8 2 2 3 6 5" xfId="19182" xr:uid="{6C491BF8-1CEA-46E4-B7BC-17CA6AA5707C}"/>
    <cellStyle name="Normal 8 2 2 3 6 6" xfId="27629" xr:uid="{647DCE23-315C-4E39-AC85-9BCB72CAA235}"/>
    <cellStyle name="Normal 8 2 2 3 7" xfId="2632" xr:uid="{00000000-0005-0000-0000-00006A1C0000}"/>
    <cellStyle name="Normal 8 2 2 3 7 2" xfId="6915" xr:uid="{00000000-0005-0000-0000-00006B1C0000}"/>
    <cellStyle name="Normal 8 2 2 3 7 2 2" xfId="15365" xr:uid="{E359CBE2-D511-485A-9D66-811F9B84AA00}"/>
    <cellStyle name="Normal 8 2 2 3 7 2 3" xfId="23812" xr:uid="{B10E17D5-A79B-483A-B1D1-F0FB0B2B2591}"/>
    <cellStyle name="Normal 8 2 2 3 7 2 4" xfId="32259" xr:uid="{6D4D141E-A250-45C4-9EDB-D1AD5A0D420A}"/>
    <cellStyle name="Normal 8 2 2 3 7 3" xfId="11147" xr:uid="{37CE4EC1-E6AF-4B81-AFC1-238C9D0F4323}"/>
    <cellStyle name="Normal 8 2 2 3 7 4" xfId="19595" xr:uid="{113BD507-3DDC-47A4-811C-DCF916960545}"/>
    <cellStyle name="Normal 8 2 2 3 7 5" xfId="28042" xr:uid="{71FAE08F-BD7A-42A5-BA3F-80C9D4EDE374}"/>
    <cellStyle name="Normal 8 2 2 3 8" xfId="4850" xr:uid="{00000000-0005-0000-0000-00006C1C0000}"/>
    <cellStyle name="Normal 8 2 2 3 8 2" xfId="13300" xr:uid="{FA2BB592-7402-4AB3-AE65-64479A509F2D}"/>
    <cellStyle name="Normal 8 2 2 3 8 3" xfId="21747" xr:uid="{EA6492AD-CE74-4515-8A08-36C121000A20}"/>
    <cellStyle name="Normal 8 2 2 3 8 4" xfId="30194" xr:uid="{880FD810-DB5B-443D-8DEC-3C033B0E6C7F}"/>
    <cellStyle name="Normal 8 2 2 3 9" xfId="9082" xr:uid="{21BEC152-D280-4EF5-AD31-1276D0350CA8}"/>
    <cellStyle name="Normal 8 2 2 4" xfId="487" xr:uid="{00000000-0005-0000-0000-00006D1C0000}"/>
    <cellStyle name="Normal 8 2 2 4 10" xfId="25979" xr:uid="{522A0703-DEF6-4CFE-B39D-150A3FA9A852}"/>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6C7DF225-3C82-43ED-9D2F-90E11604DD9C}"/>
    <cellStyle name="Normal 8 2 2 4 2 2 2 3" xfId="24307" xr:uid="{3A6A9AFD-368E-4B5B-9430-97552E127782}"/>
    <cellStyle name="Normal 8 2 2 4 2 2 2 4" xfId="32754" xr:uid="{4E57075D-A0C6-4465-8D80-8D33DA546F5F}"/>
    <cellStyle name="Normal 8 2 2 4 2 2 3" xfId="11642" xr:uid="{60943593-94C1-4726-ACE2-7DEE964D3EEF}"/>
    <cellStyle name="Normal 8 2 2 4 2 2 4" xfId="20090" xr:uid="{C4252A21-044E-44AA-80C7-5E9F87180469}"/>
    <cellStyle name="Normal 8 2 2 4 2 2 5" xfId="28537" xr:uid="{CC58CD45-F45D-431C-BDBD-211C79CBF84A}"/>
    <cellStyle name="Normal 8 2 2 4 2 3" xfId="5265" xr:uid="{00000000-0005-0000-0000-0000711C0000}"/>
    <cellStyle name="Normal 8 2 2 4 2 3 2" xfId="13715" xr:uid="{5253C45E-78C7-4242-BE9B-D0D002388756}"/>
    <cellStyle name="Normal 8 2 2 4 2 3 3" xfId="22162" xr:uid="{0F5908F8-689E-4A4D-9BCA-5AFA8BA74D21}"/>
    <cellStyle name="Normal 8 2 2 4 2 3 4" xfId="30609" xr:uid="{E9B2E8CE-58BE-4B26-AB4C-C872937A67A4}"/>
    <cellStyle name="Normal 8 2 2 4 2 4" xfId="9497" xr:uid="{5554FA35-54AF-4B89-AD23-12301885B528}"/>
    <cellStyle name="Normal 8 2 2 4 2 5" xfId="17945" xr:uid="{18C99AFC-C191-4613-B83E-954089D35EB1}"/>
    <cellStyle name="Normal 8 2 2 4 2 6" xfId="26392" xr:uid="{37A17CFA-0E60-4D4E-8F4D-45B3E31BC1DF}"/>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03313103-259B-4CF8-BE41-1BA8C5208E20}"/>
    <cellStyle name="Normal 8 2 2 4 3 2 2 3" xfId="24720" xr:uid="{29892B43-0F6A-4294-BC4D-A874271740BB}"/>
    <cellStyle name="Normal 8 2 2 4 3 2 2 4" xfId="33167" xr:uid="{CCD4FD5F-5F28-432E-92DC-B3EE62456EFC}"/>
    <cellStyle name="Normal 8 2 2 4 3 2 3" xfId="12055" xr:uid="{89C56FE4-2D5A-4258-877B-6260A0BF665E}"/>
    <cellStyle name="Normal 8 2 2 4 3 2 4" xfId="20503" xr:uid="{2A2456F4-621A-4D21-A8B5-B634EF739AB7}"/>
    <cellStyle name="Normal 8 2 2 4 3 2 5" xfId="28950" xr:uid="{7A40A0A8-F4ED-4F18-9B13-874884F16BEC}"/>
    <cellStyle name="Normal 8 2 2 4 3 3" xfId="5678" xr:uid="{00000000-0005-0000-0000-0000751C0000}"/>
    <cellStyle name="Normal 8 2 2 4 3 3 2" xfId="14128" xr:uid="{98F9DD6F-AF3D-4723-A724-14986ACDFA86}"/>
    <cellStyle name="Normal 8 2 2 4 3 3 3" xfId="22575" xr:uid="{522EF51E-AFE6-4385-B41D-87BD3FA13B9C}"/>
    <cellStyle name="Normal 8 2 2 4 3 3 4" xfId="31022" xr:uid="{63ED0018-0088-4046-B9C7-2F10018DD6FF}"/>
    <cellStyle name="Normal 8 2 2 4 3 4" xfId="9910" xr:uid="{87DDB45E-C941-4C6F-8C39-2DD0D0B9A27A}"/>
    <cellStyle name="Normal 8 2 2 4 3 5" xfId="18358" xr:uid="{E11B434B-D56E-4BEC-A309-5622744B31F0}"/>
    <cellStyle name="Normal 8 2 2 4 3 6" xfId="26805" xr:uid="{5F812943-D72A-4D6C-AF0E-53A2287D940E}"/>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B0D83A70-44AB-4CC1-BE7C-C0730F459F9C}"/>
    <cellStyle name="Normal 8 2 2 4 4 2 2 3" xfId="25133" xr:uid="{D2397B6B-D11A-4818-9673-6C44F33B3EDC}"/>
    <cellStyle name="Normal 8 2 2 4 4 2 2 4" xfId="33580" xr:uid="{1FC4DEE9-50EB-4B62-BC36-92202D886636}"/>
    <cellStyle name="Normal 8 2 2 4 4 2 3" xfId="12468" xr:uid="{02ECFF44-AC1C-4360-9626-A2FAD5C3E2CD}"/>
    <cellStyle name="Normal 8 2 2 4 4 2 4" xfId="20916" xr:uid="{F1D24168-7041-4EF3-8424-33D77F5FB135}"/>
    <cellStyle name="Normal 8 2 2 4 4 2 5" xfId="29363" xr:uid="{6A98074C-B920-437B-AD60-3E493F5348B5}"/>
    <cellStyle name="Normal 8 2 2 4 4 3" xfId="6091" xr:uid="{00000000-0005-0000-0000-0000791C0000}"/>
    <cellStyle name="Normal 8 2 2 4 4 3 2" xfId="14541" xr:uid="{CAC338A7-7100-46AB-86D0-B8C5A985B516}"/>
    <cellStyle name="Normal 8 2 2 4 4 3 3" xfId="22988" xr:uid="{302298DA-6AB8-4DD9-824C-90FD59F6DFEB}"/>
    <cellStyle name="Normal 8 2 2 4 4 3 4" xfId="31435" xr:uid="{82DE54D1-D332-40BE-B21A-8930F84F61BB}"/>
    <cellStyle name="Normal 8 2 2 4 4 4" xfId="10323" xr:uid="{8E44238F-CC9A-4FE5-9A19-3DCD9957D3E2}"/>
    <cellStyle name="Normal 8 2 2 4 4 5" xfId="18771" xr:uid="{E4B9996C-5C09-4343-AA0E-E5F5D7E67ED1}"/>
    <cellStyle name="Normal 8 2 2 4 4 6" xfId="27218" xr:uid="{48110BBD-B913-4351-9874-F90B55D23EB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7C70B71F-1764-4035-9C59-D777072843EA}"/>
    <cellStyle name="Normal 8 2 2 4 5 2 2 3" xfId="25546" xr:uid="{91E3974B-DB27-4CAE-ADC5-6418B04F3E73}"/>
    <cellStyle name="Normal 8 2 2 4 5 2 2 4" xfId="33993" xr:uid="{A7FDF3CC-AC88-4D85-A24B-36820AF77019}"/>
    <cellStyle name="Normal 8 2 2 4 5 2 3" xfId="12881" xr:uid="{FDF07C99-D8E6-4DFB-A4B5-B3A0D27A8C7B}"/>
    <cellStyle name="Normal 8 2 2 4 5 2 4" xfId="21329" xr:uid="{DF420B6E-CC0A-4F3E-9E87-8FC907342E2C}"/>
    <cellStyle name="Normal 8 2 2 4 5 2 5" xfId="29776" xr:uid="{60227E87-D831-4993-BDC7-8B530DD3C9CE}"/>
    <cellStyle name="Normal 8 2 2 4 5 3" xfId="6504" xr:uid="{00000000-0005-0000-0000-00007D1C0000}"/>
    <cellStyle name="Normal 8 2 2 4 5 3 2" xfId="14954" xr:uid="{B9F8CBB4-2D72-420E-8EA5-53FC0430EFA8}"/>
    <cellStyle name="Normal 8 2 2 4 5 3 3" xfId="23401" xr:uid="{C6DB5D4E-060C-444F-8BD5-A5C70D40CED3}"/>
    <cellStyle name="Normal 8 2 2 4 5 3 4" xfId="31848" xr:uid="{119FA2D6-36CB-40DC-AA2D-CDF8A7306CA5}"/>
    <cellStyle name="Normal 8 2 2 4 5 4" xfId="10736" xr:uid="{8612D490-8FE3-4DD1-B001-705574A243FC}"/>
    <cellStyle name="Normal 8 2 2 4 5 5" xfId="19184" xr:uid="{D1478ED1-930E-4BA8-995F-F0DAAAC37E2B}"/>
    <cellStyle name="Normal 8 2 2 4 5 6" xfId="27631" xr:uid="{284FC5A8-6977-4798-9684-127CB7B218E4}"/>
    <cellStyle name="Normal 8 2 2 4 6" xfId="2634" xr:uid="{00000000-0005-0000-0000-00007E1C0000}"/>
    <cellStyle name="Normal 8 2 2 4 6 2" xfId="6917" xr:uid="{00000000-0005-0000-0000-00007F1C0000}"/>
    <cellStyle name="Normal 8 2 2 4 6 2 2" xfId="15367" xr:uid="{E4847E9A-C73B-4939-B7D6-A19FC0770F1D}"/>
    <cellStyle name="Normal 8 2 2 4 6 2 3" xfId="23814" xr:uid="{B80CFA82-BFDD-47B8-9AAE-B04D0720D54C}"/>
    <cellStyle name="Normal 8 2 2 4 6 2 4" xfId="32261" xr:uid="{4F291033-EBB6-432D-BC4C-D04CD4AB8F38}"/>
    <cellStyle name="Normal 8 2 2 4 6 3" xfId="11149" xr:uid="{D9A8C95D-BD6E-4FBE-851E-469957767E63}"/>
    <cellStyle name="Normal 8 2 2 4 6 4" xfId="19597" xr:uid="{9EF1E074-A209-436A-BC50-92A17005DC28}"/>
    <cellStyle name="Normal 8 2 2 4 6 5" xfId="28044" xr:uid="{58AADAE6-2D4F-46A2-A297-1C9C4F3675FE}"/>
    <cellStyle name="Normal 8 2 2 4 7" xfId="4852" xr:uid="{00000000-0005-0000-0000-0000801C0000}"/>
    <cellStyle name="Normal 8 2 2 4 7 2" xfId="13302" xr:uid="{184564BF-D8BE-4F04-9831-B31ED9BA366D}"/>
    <cellStyle name="Normal 8 2 2 4 7 3" xfId="21749" xr:uid="{FAF009B5-FFFD-4266-920F-F05450D9A183}"/>
    <cellStyle name="Normal 8 2 2 4 7 4" xfId="30196" xr:uid="{493C033D-55BB-4A3E-A6D4-91B757C7368B}"/>
    <cellStyle name="Normal 8 2 2 4 8" xfId="9084" xr:uid="{04B760F5-92F1-427E-9EB5-FF6C7744185B}"/>
    <cellStyle name="Normal 8 2 2 4 9" xfId="17532" xr:uid="{870760D0-6C29-4A42-B9D8-8510921D7F0B}"/>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6F8D1C1A-231E-4897-B1D3-E978F40C83C8}"/>
    <cellStyle name="Normal 8 2 2 5 2 2 3" xfId="24300" xr:uid="{D0949559-3918-4C8C-8A0E-387881174CEC}"/>
    <cellStyle name="Normal 8 2 2 5 2 2 4" xfId="32747" xr:uid="{6817E08A-C2BC-454C-87E8-8DF7E000D3CA}"/>
    <cellStyle name="Normal 8 2 2 5 2 3" xfId="11635" xr:uid="{117CBAAA-0907-47F7-ACC1-3DAF1B5844A1}"/>
    <cellStyle name="Normal 8 2 2 5 2 4" xfId="20083" xr:uid="{CFF92501-18C8-49CE-A926-86060F690481}"/>
    <cellStyle name="Normal 8 2 2 5 2 5" xfId="28530" xr:uid="{822FFEAA-1571-4FD9-8077-BD5500AB1520}"/>
    <cellStyle name="Normal 8 2 2 5 3" xfId="5258" xr:uid="{00000000-0005-0000-0000-0000841C0000}"/>
    <cellStyle name="Normal 8 2 2 5 3 2" xfId="13708" xr:uid="{200FED2B-BFB5-4C03-8E85-262A91B15748}"/>
    <cellStyle name="Normal 8 2 2 5 3 3" xfId="22155" xr:uid="{A16DC51D-00D8-457A-8C9B-915DE30D592F}"/>
    <cellStyle name="Normal 8 2 2 5 3 4" xfId="30602" xr:uid="{57D3D2EB-BA82-4204-846E-9596B5A41466}"/>
    <cellStyle name="Normal 8 2 2 5 4" xfId="9490" xr:uid="{4767E627-6555-4348-B0AF-12E97298D493}"/>
    <cellStyle name="Normal 8 2 2 5 5" xfId="17938" xr:uid="{49421093-0244-4637-8AB4-9DE4D315651D}"/>
    <cellStyle name="Normal 8 2 2 5 6" xfId="26385" xr:uid="{B0CD863D-17F2-4D37-A539-77B91F489DCC}"/>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25C130BB-3539-47A9-A67D-8CBA1AE2891F}"/>
    <cellStyle name="Normal 8 2 2 6 2 2 3" xfId="24713" xr:uid="{E62C1A87-1A15-4A23-B2A6-ED0DD01F35F7}"/>
    <cellStyle name="Normal 8 2 2 6 2 2 4" xfId="33160" xr:uid="{E20668C2-F5A3-4E76-8C05-D1EC93ED9530}"/>
    <cellStyle name="Normal 8 2 2 6 2 3" xfId="12048" xr:uid="{2DD76891-6D95-4310-9F3B-4604A51DF786}"/>
    <cellStyle name="Normal 8 2 2 6 2 4" xfId="20496" xr:uid="{E1FCF2F3-ED92-4D9B-9A43-8DF3006E2CA9}"/>
    <cellStyle name="Normal 8 2 2 6 2 5" xfId="28943" xr:uid="{FA6EBFDB-8998-4315-A1E6-036E8567639B}"/>
    <cellStyle name="Normal 8 2 2 6 3" xfId="5671" xr:uid="{00000000-0005-0000-0000-0000881C0000}"/>
    <cellStyle name="Normal 8 2 2 6 3 2" xfId="14121" xr:uid="{7073C465-CA2D-4859-98EE-6A0829B1F4EF}"/>
    <cellStyle name="Normal 8 2 2 6 3 3" xfId="22568" xr:uid="{7919CDB2-416B-479A-B49D-ACEF33E20FDD}"/>
    <cellStyle name="Normal 8 2 2 6 3 4" xfId="31015" xr:uid="{8E3A88B2-ED32-437D-8E17-D39E8D8D98FD}"/>
    <cellStyle name="Normal 8 2 2 6 4" xfId="9903" xr:uid="{9E13E10A-8256-48B1-84A1-795D1E0854AF}"/>
    <cellStyle name="Normal 8 2 2 6 5" xfId="18351" xr:uid="{EDC41BD6-AAF1-4E10-B4F1-99102514A821}"/>
    <cellStyle name="Normal 8 2 2 6 6" xfId="26798" xr:uid="{B6FE72FF-CD9B-4041-AD2D-86616AC6E88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25C90A4A-53CF-4C5B-9DB3-5534736F4E58}"/>
    <cellStyle name="Normal 8 2 2 7 2 2 3" xfId="25126" xr:uid="{43369865-1D18-495A-9DE5-D1C2E03C6A29}"/>
    <cellStyle name="Normal 8 2 2 7 2 2 4" xfId="33573" xr:uid="{9CBA2682-D6AF-44BC-A19D-1870F909849B}"/>
    <cellStyle name="Normal 8 2 2 7 2 3" xfId="12461" xr:uid="{661D089A-7858-45F9-95F0-F3EBB2978556}"/>
    <cellStyle name="Normal 8 2 2 7 2 4" xfId="20909" xr:uid="{08061C55-B385-4105-982F-958B4E790E7C}"/>
    <cellStyle name="Normal 8 2 2 7 2 5" xfId="29356" xr:uid="{C69057CD-566F-49D3-A6C4-CBBCA107EB41}"/>
    <cellStyle name="Normal 8 2 2 7 3" xfId="6084" xr:uid="{00000000-0005-0000-0000-00008C1C0000}"/>
    <cellStyle name="Normal 8 2 2 7 3 2" xfId="14534" xr:uid="{F60454EC-9FBF-4AB5-A6B3-CD0E61F282C8}"/>
    <cellStyle name="Normal 8 2 2 7 3 3" xfId="22981" xr:uid="{61A02FB1-0542-473C-9104-85FB7CC1F26C}"/>
    <cellStyle name="Normal 8 2 2 7 3 4" xfId="31428" xr:uid="{DA59F731-F06E-420F-9DB9-5873F06F956B}"/>
    <cellStyle name="Normal 8 2 2 7 4" xfId="10316" xr:uid="{2495BFAD-E70D-47BE-A9C5-CC949A541110}"/>
    <cellStyle name="Normal 8 2 2 7 5" xfId="18764" xr:uid="{80C537F4-F6C5-47FF-84BC-8CBD7794AD28}"/>
    <cellStyle name="Normal 8 2 2 7 6" xfId="27211" xr:uid="{FEA2D194-E02E-4228-B570-A41115905A6B}"/>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016FB779-5926-4E44-B416-3609E31E9E29}"/>
    <cellStyle name="Normal 8 2 2 8 2 2 3" xfId="25539" xr:uid="{D55054A0-B0A7-42AB-B18E-6345B9D515C4}"/>
    <cellStyle name="Normal 8 2 2 8 2 2 4" xfId="33986" xr:uid="{2059C8B3-08E9-4DB0-BB48-A89073AFA06B}"/>
    <cellStyle name="Normal 8 2 2 8 2 3" xfId="12874" xr:uid="{B4742828-A723-43F0-8D96-F0E31256B5A0}"/>
    <cellStyle name="Normal 8 2 2 8 2 4" xfId="21322" xr:uid="{4D35B580-0024-488A-A1B7-CA4BA3AFFE9F}"/>
    <cellStyle name="Normal 8 2 2 8 2 5" xfId="29769" xr:uid="{E93791A7-32C4-4E95-A351-721FAAEBF5CB}"/>
    <cellStyle name="Normal 8 2 2 8 3" xfId="6497" xr:uid="{00000000-0005-0000-0000-0000901C0000}"/>
    <cellStyle name="Normal 8 2 2 8 3 2" xfId="14947" xr:uid="{DF28CE36-047C-4D0E-A4AB-69AA0B4D411E}"/>
    <cellStyle name="Normal 8 2 2 8 3 3" xfId="23394" xr:uid="{6E26A9D0-CA58-4843-8F98-B0CD48F548CC}"/>
    <cellStyle name="Normal 8 2 2 8 3 4" xfId="31841" xr:uid="{41DB4E72-92CF-4A72-8705-910D370FCFCB}"/>
    <cellStyle name="Normal 8 2 2 8 4" xfId="10729" xr:uid="{B80FE721-47F7-422A-9B21-0450AD40EB1A}"/>
    <cellStyle name="Normal 8 2 2 8 5" xfId="19177" xr:uid="{91059324-1A39-4A13-B91F-F8D5A02F0627}"/>
    <cellStyle name="Normal 8 2 2 8 6" xfId="27624" xr:uid="{EC6B40A6-729F-439E-9543-C2466A45C877}"/>
    <cellStyle name="Normal 8 2 2 9" xfId="2627" xr:uid="{00000000-0005-0000-0000-0000911C0000}"/>
    <cellStyle name="Normal 8 2 2 9 2" xfId="6910" xr:uid="{00000000-0005-0000-0000-0000921C0000}"/>
    <cellStyle name="Normal 8 2 2 9 2 2" xfId="15360" xr:uid="{CA021FF1-0D28-4071-B9C6-12C066ABF252}"/>
    <cellStyle name="Normal 8 2 2 9 2 3" xfId="23807" xr:uid="{4C2826E3-C0A9-4727-B87A-CC9846150F11}"/>
    <cellStyle name="Normal 8 2 2 9 2 4" xfId="32254" xr:uid="{B55E45AE-85BB-46B2-80DA-D7C5D08CD2C0}"/>
    <cellStyle name="Normal 8 2 2 9 3" xfId="11142" xr:uid="{6CDF4AD1-7B1C-461A-8019-EACCA4B632D4}"/>
    <cellStyle name="Normal 8 2 2 9 4" xfId="19590" xr:uid="{B94C5BE6-3274-4031-B0FD-238E00FF7F0C}"/>
    <cellStyle name="Normal 8 2 2 9 5" xfId="28037" xr:uid="{CD5E8443-5280-4672-9FC6-243B7B4F23F7}"/>
    <cellStyle name="Normal 8 2 3" xfId="488" xr:uid="{00000000-0005-0000-0000-0000931C0000}"/>
    <cellStyle name="Normal 8 2 3 10" xfId="9085" xr:uid="{77E2C6B8-5703-489C-B998-FF73D86D74D0}"/>
    <cellStyle name="Normal 8 2 3 11" xfId="17533" xr:uid="{A8A8914C-A130-459B-B6FE-BC9B12050DDA}"/>
    <cellStyle name="Normal 8 2 3 12" xfId="25980" xr:uid="{B02458E1-B1B7-46A1-A515-701512310D55}"/>
    <cellStyle name="Normal 8 2 3 2" xfId="489" xr:uid="{00000000-0005-0000-0000-0000941C0000}"/>
    <cellStyle name="Normal 8 2 3 2 10" xfId="17534" xr:uid="{A9660894-2236-4537-9F77-E1F91CEE4E39}"/>
    <cellStyle name="Normal 8 2 3 2 11" xfId="25981" xr:uid="{3CE60773-1969-45D9-9755-0295ED4DF60F}"/>
    <cellStyle name="Normal 8 2 3 2 2" xfId="490" xr:uid="{00000000-0005-0000-0000-0000951C0000}"/>
    <cellStyle name="Normal 8 2 3 2 2 10" xfId="25982" xr:uid="{71CFB03A-BAD6-43A8-93F6-384D8498A7ED}"/>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DDF79B3C-0A60-4BD6-BD7D-5010F9ED8AB0}"/>
    <cellStyle name="Normal 8 2 3 2 2 2 2 2 3" xfId="24310" xr:uid="{7850A67C-8247-41D7-B6FD-C0F0116293E0}"/>
    <cellStyle name="Normal 8 2 3 2 2 2 2 2 4" xfId="32757" xr:uid="{0F44A83A-B697-4177-B5BE-C87F51E4D35A}"/>
    <cellStyle name="Normal 8 2 3 2 2 2 2 3" xfId="11645" xr:uid="{FA84ABAE-A4A2-4AB5-A6DC-E8460BA380F3}"/>
    <cellStyle name="Normal 8 2 3 2 2 2 2 4" xfId="20093" xr:uid="{9C6A2942-798A-49CB-8543-DB2DFC2DB6FE}"/>
    <cellStyle name="Normal 8 2 3 2 2 2 2 5" xfId="28540" xr:uid="{510BFAE3-62C6-4A1B-A1D8-6355EAB7D680}"/>
    <cellStyle name="Normal 8 2 3 2 2 2 3" xfId="5268" xr:uid="{00000000-0005-0000-0000-0000991C0000}"/>
    <cellStyle name="Normal 8 2 3 2 2 2 3 2" xfId="13718" xr:uid="{F0A5CDA8-9AB2-42DB-80A3-4FD95F289D67}"/>
    <cellStyle name="Normal 8 2 3 2 2 2 3 3" xfId="22165" xr:uid="{5AAE1D2F-A6DC-4240-AC5D-69D38278CF3E}"/>
    <cellStyle name="Normal 8 2 3 2 2 2 3 4" xfId="30612" xr:uid="{DAF7426F-A8C8-4391-BC6C-A4502D501D84}"/>
    <cellStyle name="Normal 8 2 3 2 2 2 4" xfId="9500" xr:uid="{F1357290-8C73-4706-B3AF-E79A1FA2D119}"/>
    <cellStyle name="Normal 8 2 3 2 2 2 5" xfId="17948" xr:uid="{4DE2F819-1D8B-4C89-BDAF-4A6348796DDE}"/>
    <cellStyle name="Normal 8 2 3 2 2 2 6" xfId="26395" xr:uid="{9AAA3E6C-4EB3-4FBD-9B18-1FDB52CADE6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45C322E3-EB86-405F-B673-2E3618637A80}"/>
    <cellStyle name="Normal 8 2 3 2 2 3 2 2 3" xfId="24723" xr:uid="{CDB9CDED-B199-4F31-874E-EF0A15523BB8}"/>
    <cellStyle name="Normal 8 2 3 2 2 3 2 2 4" xfId="33170" xr:uid="{34A94D04-CAB6-449B-AB4F-388B92792FBE}"/>
    <cellStyle name="Normal 8 2 3 2 2 3 2 3" xfId="12058" xr:uid="{BF4589A2-594B-495A-B9D0-49F14BAE7615}"/>
    <cellStyle name="Normal 8 2 3 2 2 3 2 4" xfId="20506" xr:uid="{DF623F9A-69F7-4E6D-A7DB-24977564C530}"/>
    <cellStyle name="Normal 8 2 3 2 2 3 2 5" xfId="28953" xr:uid="{F247C8A7-4455-416F-8495-402EBCDB47F7}"/>
    <cellStyle name="Normal 8 2 3 2 2 3 3" xfId="5681" xr:uid="{00000000-0005-0000-0000-00009D1C0000}"/>
    <cellStyle name="Normal 8 2 3 2 2 3 3 2" xfId="14131" xr:uid="{2842070A-AC6A-4BBC-9636-87B98FB4496E}"/>
    <cellStyle name="Normal 8 2 3 2 2 3 3 3" xfId="22578" xr:uid="{7EC74AD5-2654-4362-AA45-FE05C967913A}"/>
    <cellStyle name="Normal 8 2 3 2 2 3 3 4" xfId="31025" xr:uid="{E270D837-A66D-42A9-8811-2E0EF99D9D05}"/>
    <cellStyle name="Normal 8 2 3 2 2 3 4" xfId="9913" xr:uid="{3FAE0BCF-06BC-4023-9FD3-9A4E664548AD}"/>
    <cellStyle name="Normal 8 2 3 2 2 3 5" xfId="18361" xr:uid="{0EB57AC9-AEDF-4861-A05D-3AF304EBFD9B}"/>
    <cellStyle name="Normal 8 2 3 2 2 3 6" xfId="26808" xr:uid="{98B25A5D-1A66-457E-A2D2-42115BBA14F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56B102F6-4551-46DD-B832-EB27D986B50E}"/>
    <cellStyle name="Normal 8 2 3 2 2 4 2 2 3" xfId="25136" xr:uid="{6C29F27D-DCD1-4956-B605-8563B20707C2}"/>
    <cellStyle name="Normal 8 2 3 2 2 4 2 2 4" xfId="33583" xr:uid="{E2807C17-5B0E-454D-8537-EA1B670364CB}"/>
    <cellStyle name="Normal 8 2 3 2 2 4 2 3" xfId="12471" xr:uid="{88D0300E-52DA-40CE-9BC7-334ED1C38C64}"/>
    <cellStyle name="Normal 8 2 3 2 2 4 2 4" xfId="20919" xr:uid="{F113A14E-A4C2-4F5C-B846-01A289FB7A2B}"/>
    <cellStyle name="Normal 8 2 3 2 2 4 2 5" xfId="29366" xr:uid="{71CE6C21-91CA-40B6-B29D-857248DDEC8B}"/>
    <cellStyle name="Normal 8 2 3 2 2 4 3" xfId="6094" xr:uid="{00000000-0005-0000-0000-0000A11C0000}"/>
    <cellStyle name="Normal 8 2 3 2 2 4 3 2" xfId="14544" xr:uid="{A468034E-C068-4CA0-8DF5-435EE2D5721E}"/>
    <cellStyle name="Normal 8 2 3 2 2 4 3 3" xfId="22991" xr:uid="{A8B9997F-7B0A-4E3F-9D0F-89D64024B0A2}"/>
    <cellStyle name="Normal 8 2 3 2 2 4 3 4" xfId="31438" xr:uid="{881D89F7-8C96-448C-8E53-E7661AA046CA}"/>
    <cellStyle name="Normal 8 2 3 2 2 4 4" xfId="10326" xr:uid="{1464EB4D-ADF7-4E63-B73F-4D3C37E54EC4}"/>
    <cellStyle name="Normal 8 2 3 2 2 4 5" xfId="18774" xr:uid="{D24E8C1D-14BE-485B-84C0-DC9377D69AB5}"/>
    <cellStyle name="Normal 8 2 3 2 2 4 6" xfId="27221" xr:uid="{044DCCFA-3985-4E35-A639-C6B70D2A7E64}"/>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4D115612-43B3-4891-96F4-318AA7FE5285}"/>
    <cellStyle name="Normal 8 2 3 2 2 5 2 2 3" xfId="25549" xr:uid="{C05247F1-3284-48C8-B8D6-BDF4426A9885}"/>
    <cellStyle name="Normal 8 2 3 2 2 5 2 2 4" xfId="33996" xr:uid="{356924ED-3540-4D58-93EC-5EBE46721069}"/>
    <cellStyle name="Normal 8 2 3 2 2 5 2 3" xfId="12884" xr:uid="{F708C826-676C-4110-8EAE-DE0E769B204D}"/>
    <cellStyle name="Normal 8 2 3 2 2 5 2 4" xfId="21332" xr:uid="{57D9CEC7-4F5F-402B-9958-110E756764C3}"/>
    <cellStyle name="Normal 8 2 3 2 2 5 2 5" xfId="29779" xr:uid="{F4E1A0AE-C2D6-4E1D-A9DB-A6DA0C4C2322}"/>
    <cellStyle name="Normal 8 2 3 2 2 5 3" xfId="6507" xr:uid="{00000000-0005-0000-0000-0000A51C0000}"/>
    <cellStyle name="Normal 8 2 3 2 2 5 3 2" xfId="14957" xr:uid="{0FF03C29-6BD4-424D-BEA1-D49DF37EFE29}"/>
    <cellStyle name="Normal 8 2 3 2 2 5 3 3" xfId="23404" xr:uid="{7EF9F4A4-4B9E-425D-A244-938C5328D43F}"/>
    <cellStyle name="Normal 8 2 3 2 2 5 3 4" xfId="31851" xr:uid="{36AB5AFF-EFD4-4C87-BDE6-8A3109437D37}"/>
    <cellStyle name="Normal 8 2 3 2 2 5 4" xfId="10739" xr:uid="{BCAFF89C-8A19-4849-A83B-EEAB23678429}"/>
    <cellStyle name="Normal 8 2 3 2 2 5 5" xfId="19187" xr:uid="{DED8A090-94E9-4A7D-ADEC-605E28B876F2}"/>
    <cellStyle name="Normal 8 2 3 2 2 5 6" xfId="27634" xr:uid="{DB7FD882-F6F8-4112-8D37-C4FE157FCB91}"/>
    <cellStyle name="Normal 8 2 3 2 2 6" xfId="2637" xr:uid="{00000000-0005-0000-0000-0000A61C0000}"/>
    <cellStyle name="Normal 8 2 3 2 2 6 2" xfId="6920" xr:uid="{00000000-0005-0000-0000-0000A71C0000}"/>
    <cellStyle name="Normal 8 2 3 2 2 6 2 2" xfId="15370" xr:uid="{0F671588-3745-4D28-9589-55BBDBD65098}"/>
    <cellStyle name="Normal 8 2 3 2 2 6 2 3" xfId="23817" xr:uid="{49A83DB1-7DA9-4655-9A59-EDEDD4373F7F}"/>
    <cellStyle name="Normal 8 2 3 2 2 6 2 4" xfId="32264" xr:uid="{DC478C2C-6195-45BA-BEEF-9ADC0DCACAD8}"/>
    <cellStyle name="Normal 8 2 3 2 2 6 3" xfId="11152" xr:uid="{56686781-AE9F-42DA-AA85-FFA21953C39B}"/>
    <cellStyle name="Normal 8 2 3 2 2 6 4" xfId="19600" xr:uid="{6C75198F-60A1-4981-9170-81A19A177B20}"/>
    <cellStyle name="Normal 8 2 3 2 2 6 5" xfId="28047" xr:uid="{72C9A797-B3D2-4997-A23E-783A08937ABE}"/>
    <cellStyle name="Normal 8 2 3 2 2 7" xfId="4855" xr:uid="{00000000-0005-0000-0000-0000A81C0000}"/>
    <cellStyle name="Normal 8 2 3 2 2 7 2" xfId="13305" xr:uid="{804FA72A-D972-480E-8347-D5EE84AC06CC}"/>
    <cellStyle name="Normal 8 2 3 2 2 7 3" xfId="21752" xr:uid="{CA531EEF-9C38-4D41-AF7B-A26450734D60}"/>
    <cellStyle name="Normal 8 2 3 2 2 7 4" xfId="30199" xr:uid="{8AFC9EA5-354C-4596-9A15-8BD7E7EADDFA}"/>
    <cellStyle name="Normal 8 2 3 2 2 8" xfId="9087" xr:uid="{96174938-F063-400D-B57C-E3E422CE9E58}"/>
    <cellStyle name="Normal 8 2 3 2 2 9" xfId="17535" xr:uid="{60A7FA6E-BEF3-442D-8349-58587916AC70}"/>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A80A22BC-190C-4E82-82A2-D1E6EA6615EF}"/>
    <cellStyle name="Normal 8 2 3 2 3 2 2 3" xfId="24309" xr:uid="{C9AF4782-79CF-4007-B25F-65D96C116187}"/>
    <cellStyle name="Normal 8 2 3 2 3 2 2 4" xfId="32756" xr:uid="{F46B1503-FD95-4365-93C3-1FC9261AF877}"/>
    <cellStyle name="Normal 8 2 3 2 3 2 3" xfId="11644" xr:uid="{46EAA68E-402F-43B0-8A67-29109FDFF14E}"/>
    <cellStyle name="Normal 8 2 3 2 3 2 4" xfId="20092" xr:uid="{6BF59C25-999C-4F8E-8484-BDE2AD4FF747}"/>
    <cellStyle name="Normal 8 2 3 2 3 2 5" xfId="28539" xr:uid="{6EF4965C-9F40-4A53-AE2B-E242F764B45F}"/>
    <cellStyle name="Normal 8 2 3 2 3 3" xfId="5267" xr:uid="{00000000-0005-0000-0000-0000AC1C0000}"/>
    <cellStyle name="Normal 8 2 3 2 3 3 2" xfId="13717" xr:uid="{BC5996D9-CDCE-405C-B1F0-B4B61903E010}"/>
    <cellStyle name="Normal 8 2 3 2 3 3 3" xfId="22164" xr:uid="{EA907205-5892-4996-A7DF-00A2B4E222BE}"/>
    <cellStyle name="Normal 8 2 3 2 3 3 4" xfId="30611" xr:uid="{C1882C76-2518-4648-8420-5B0A8F88C542}"/>
    <cellStyle name="Normal 8 2 3 2 3 4" xfId="9499" xr:uid="{B22A4578-5CD9-4CB3-BD36-E86E2BEB9173}"/>
    <cellStyle name="Normal 8 2 3 2 3 5" xfId="17947" xr:uid="{CC008CA8-DEA4-4E4C-83F9-E1989DDB04EC}"/>
    <cellStyle name="Normal 8 2 3 2 3 6" xfId="26394" xr:uid="{907C8F60-327C-4F89-98C4-67F94242EE0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D1694F75-F161-468B-B25E-BF98CF86D046}"/>
    <cellStyle name="Normal 8 2 3 2 4 2 2 3" xfId="24722" xr:uid="{42FAAF29-616F-405A-875B-6991ED49E45C}"/>
    <cellStyle name="Normal 8 2 3 2 4 2 2 4" xfId="33169" xr:uid="{A88A857A-C55A-411F-B449-EC5E805CD3E2}"/>
    <cellStyle name="Normal 8 2 3 2 4 2 3" xfId="12057" xr:uid="{8ACD1A02-D570-4ADD-9A2D-FFED9F018109}"/>
    <cellStyle name="Normal 8 2 3 2 4 2 4" xfId="20505" xr:uid="{884E6CB4-19C8-460E-89C3-BE34217B5DBB}"/>
    <cellStyle name="Normal 8 2 3 2 4 2 5" xfId="28952" xr:uid="{3189624F-3373-4633-B1F9-E59BF2F915C1}"/>
    <cellStyle name="Normal 8 2 3 2 4 3" xfId="5680" xr:uid="{00000000-0005-0000-0000-0000B01C0000}"/>
    <cellStyle name="Normal 8 2 3 2 4 3 2" xfId="14130" xr:uid="{5D1BDD4A-2AFF-491E-A93A-01E19CF1AA4C}"/>
    <cellStyle name="Normal 8 2 3 2 4 3 3" xfId="22577" xr:uid="{EFFCBF49-90FF-4BD7-92AA-379CA0511AAB}"/>
    <cellStyle name="Normal 8 2 3 2 4 3 4" xfId="31024" xr:uid="{AF70F047-8F9F-4D35-9149-262763419D66}"/>
    <cellStyle name="Normal 8 2 3 2 4 4" xfId="9912" xr:uid="{363CDA87-CEAA-4AA6-8F18-138AE6423425}"/>
    <cellStyle name="Normal 8 2 3 2 4 5" xfId="18360" xr:uid="{234A1611-A198-4246-B20E-3E276065FF84}"/>
    <cellStyle name="Normal 8 2 3 2 4 6" xfId="26807" xr:uid="{265957DD-2A1A-4D38-96C5-DECCD6CB2D7E}"/>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F5BBEE30-AA65-40AD-AEC0-3A86E071375F}"/>
    <cellStyle name="Normal 8 2 3 2 5 2 2 3" xfId="25135" xr:uid="{B7634C34-A08B-4C27-8301-72290A9C3AB1}"/>
    <cellStyle name="Normal 8 2 3 2 5 2 2 4" xfId="33582" xr:uid="{B5A4CFC6-E122-4C87-97E9-45B8A6BDF442}"/>
    <cellStyle name="Normal 8 2 3 2 5 2 3" xfId="12470" xr:uid="{39FBCA45-BAA0-4AA6-9F99-EF44775EB6CC}"/>
    <cellStyle name="Normal 8 2 3 2 5 2 4" xfId="20918" xr:uid="{D3DA5738-1A54-4EEC-B988-F1E0CD95BCB4}"/>
    <cellStyle name="Normal 8 2 3 2 5 2 5" xfId="29365" xr:uid="{8130385D-8337-4928-AF97-212CA0B7FD53}"/>
    <cellStyle name="Normal 8 2 3 2 5 3" xfId="6093" xr:uid="{00000000-0005-0000-0000-0000B41C0000}"/>
    <cellStyle name="Normal 8 2 3 2 5 3 2" xfId="14543" xr:uid="{36134846-18C5-4361-AFF2-DF2156ED64D0}"/>
    <cellStyle name="Normal 8 2 3 2 5 3 3" xfId="22990" xr:uid="{0ED8C5D4-75D2-4E52-BB36-6D030872B0E1}"/>
    <cellStyle name="Normal 8 2 3 2 5 3 4" xfId="31437" xr:uid="{D282BA7A-3FEA-49EF-B1F8-A2447C3BF4D8}"/>
    <cellStyle name="Normal 8 2 3 2 5 4" xfId="10325" xr:uid="{94FE080A-0251-4461-87F9-276C67E06E44}"/>
    <cellStyle name="Normal 8 2 3 2 5 5" xfId="18773" xr:uid="{20AF566A-E785-43B2-8DBE-23F253618611}"/>
    <cellStyle name="Normal 8 2 3 2 5 6" xfId="27220" xr:uid="{5EC04F18-B166-4977-A3B8-C8F2BFE3ADD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B4802B0E-43A9-420E-96A8-EA4F2718C30E}"/>
    <cellStyle name="Normal 8 2 3 2 6 2 2 3" xfId="25548" xr:uid="{C70E84FE-9B91-4629-9B56-12D54FC4FF24}"/>
    <cellStyle name="Normal 8 2 3 2 6 2 2 4" xfId="33995" xr:uid="{51A97494-25CB-438F-822E-2DC555493732}"/>
    <cellStyle name="Normal 8 2 3 2 6 2 3" xfId="12883" xr:uid="{FA95E3C3-70CF-4A64-A2BE-E24E31106EF0}"/>
    <cellStyle name="Normal 8 2 3 2 6 2 4" xfId="21331" xr:uid="{7B3BF8BF-CF5F-435B-8EBF-7174447CB23D}"/>
    <cellStyle name="Normal 8 2 3 2 6 2 5" xfId="29778" xr:uid="{AFC38DB5-6591-44BB-96B2-F78DCDD2DCAB}"/>
    <cellStyle name="Normal 8 2 3 2 6 3" xfId="6506" xr:uid="{00000000-0005-0000-0000-0000B81C0000}"/>
    <cellStyle name="Normal 8 2 3 2 6 3 2" xfId="14956" xr:uid="{EF920339-AA49-4588-86EB-AF867F6BF417}"/>
    <cellStyle name="Normal 8 2 3 2 6 3 3" xfId="23403" xr:uid="{692E64CE-FABC-4AFB-B030-9B0D29A452EF}"/>
    <cellStyle name="Normal 8 2 3 2 6 3 4" xfId="31850" xr:uid="{E7521F31-58E5-4A66-9AB1-C3C52DFA2F58}"/>
    <cellStyle name="Normal 8 2 3 2 6 4" xfId="10738" xr:uid="{A750CEC2-946A-489D-A951-8D839141FF78}"/>
    <cellStyle name="Normal 8 2 3 2 6 5" xfId="19186" xr:uid="{4F25EC4F-8005-4C5E-89DA-211F87C55895}"/>
    <cellStyle name="Normal 8 2 3 2 6 6" xfId="27633" xr:uid="{47E6E6BD-6FEC-44A4-82A7-7700A46D7A8E}"/>
    <cellStyle name="Normal 8 2 3 2 7" xfId="2636" xr:uid="{00000000-0005-0000-0000-0000B91C0000}"/>
    <cellStyle name="Normal 8 2 3 2 7 2" xfId="6919" xr:uid="{00000000-0005-0000-0000-0000BA1C0000}"/>
    <cellStyle name="Normal 8 2 3 2 7 2 2" xfId="15369" xr:uid="{47D7181D-AA5D-4987-87CC-C3BFC676088F}"/>
    <cellStyle name="Normal 8 2 3 2 7 2 3" xfId="23816" xr:uid="{CB2428EE-1260-446D-9593-62D8B6EABC9D}"/>
    <cellStyle name="Normal 8 2 3 2 7 2 4" xfId="32263" xr:uid="{9E4F3FB5-ED7F-49E3-85D1-E973376A1949}"/>
    <cellStyle name="Normal 8 2 3 2 7 3" xfId="11151" xr:uid="{4720D59B-D575-4B93-9CE7-C55FFEC2F96A}"/>
    <cellStyle name="Normal 8 2 3 2 7 4" xfId="19599" xr:uid="{82EF2C60-1CD8-4DC2-8EA3-A53C1E687278}"/>
    <cellStyle name="Normal 8 2 3 2 7 5" xfId="28046" xr:uid="{15710C9B-9C3C-4D4C-A593-DAA84A1716F9}"/>
    <cellStyle name="Normal 8 2 3 2 8" xfId="4854" xr:uid="{00000000-0005-0000-0000-0000BB1C0000}"/>
    <cellStyle name="Normal 8 2 3 2 8 2" xfId="13304" xr:uid="{93BC7C59-70C2-4DC1-B8A5-E10F246BF5E0}"/>
    <cellStyle name="Normal 8 2 3 2 8 3" xfId="21751" xr:uid="{75F10958-00D0-4412-882B-51A3C9C0E15E}"/>
    <cellStyle name="Normal 8 2 3 2 8 4" xfId="30198" xr:uid="{C97FE011-4E30-4CA0-BD6A-8CEF2F8057AF}"/>
    <cellStyle name="Normal 8 2 3 2 9" xfId="9086" xr:uid="{FF321FAF-5FE3-4B39-94B0-6FA0EACC8379}"/>
    <cellStyle name="Normal 8 2 3 3" xfId="491" xr:uid="{00000000-0005-0000-0000-0000BC1C0000}"/>
    <cellStyle name="Normal 8 2 3 3 10" xfId="25983" xr:uid="{A7BD6863-DA9F-4056-9523-3ACB5F5B74C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567F84F7-9A29-4479-BFED-3C87F37B9939}"/>
    <cellStyle name="Normal 8 2 3 3 2 2 2 3" xfId="24311" xr:uid="{06BDD90D-38CF-477A-8086-208F952E266B}"/>
    <cellStyle name="Normal 8 2 3 3 2 2 2 4" xfId="32758" xr:uid="{87A1F2F9-9FB9-4C23-9C60-4673C5D1AED6}"/>
    <cellStyle name="Normal 8 2 3 3 2 2 3" xfId="11646" xr:uid="{FFE59BEC-C971-4C29-9010-D66E5CFA0E42}"/>
    <cellStyle name="Normal 8 2 3 3 2 2 4" xfId="20094" xr:uid="{B5B37430-310A-45EB-9F17-77E463A1EB18}"/>
    <cellStyle name="Normal 8 2 3 3 2 2 5" xfId="28541" xr:uid="{7A81E478-1C4F-42FD-8BD4-768A7F2DEE59}"/>
    <cellStyle name="Normal 8 2 3 3 2 3" xfId="5269" xr:uid="{00000000-0005-0000-0000-0000C01C0000}"/>
    <cellStyle name="Normal 8 2 3 3 2 3 2" xfId="13719" xr:uid="{2AC08B9A-BC0B-41ED-9AE7-1743D7398CB2}"/>
    <cellStyle name="Normal 8 2 3 3 2 3 3" xfId="22166" xr:uid="{98AB9FEB-C72B-4D27-8175-68A7CA920ED6}"/>
    <cellStyle name="Normal 8 2 3 3 2 3 4" xfId="30613" xr:uid="{C168274A-1002-4652-8952-C3B6E6DEE77F}"/>
    <cellStyle name="Normal 8 2 3 3 2 4" xfId="9501" xr:uid="{021185AB-6048-48B5-8C75-84566CA78A28}"/>
    <cellStyle name="Normal 8 2 3 3 2 5" xfId="17949" xr:uid="{BFB5BA55-CA8C-4BA6-9789-F1D2EFF6A15F}"/>
    <cellStyle name="Normal 8 2 3 3 2 6" xfId="26396" xr:uid="{CF0FEC71-34AB-48BD-B528-44329A54E460}"/>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A92A1A2F-20B5-4F28-AB20-EB10D3C70FF6}"/>
    <cellStyle name="Normal 8 2 3 3 3 2 2 3" xfId="24724" xr:uid="{660A72F5-4D9D-4940-BBAB-1332F3D1124F}"/>
    <cellStyle name="Normal 8 2 3 3 3 2 2 4" xfId="33171" xr:uid="{4FE40040-31C0-42D5-97A8-0D091B871733}"/>
    <cellStyle name="Normal 8 2 3 3 3 2 3" xfId="12059" xr:uid="{68345969-B674-4AA7-8D06-7A2356AE8703}"/>
    <cellStyle name="Normal 8 2 3 3 3 2 4" xfId="20507" xr:uid="{7EF03D72-C819-4751-9013-E79485E144C7}"/>
    <cellStyle name="Normal 8 2 3 3 3 2 5" xfId="28954" xr:uid="{021A7008-61A9-42D2-8114-2D72C7784895}"/>
    <cellStyle name="Normal 8 2 3 3 3 3" xfId="5682" xr:uid="{00000000-0005-0000-0000-0000C41C0000}"/>
    <cellStyle name="Normal 8 2 3 3 3 3 2" xfId="14132" xr:uid="{46AC5AD9-AA8B-4711-99EB-6B6FB7B9ED07}"/>
    <cellStyle name="Normal 8 2 3 3 3 3 3" xfId="22579" xr:uid="{4341DAD0-7203-4FDE-812B-F705F18ED2D7}"/>
    <cellStyle name="Normal 8 2 3 3 3 3 4" xfId="31026" xr:uid="{8C7D07EE-C65C-400E-94CC-6DEBE7CF82D8}"/>
    <cellStyle name="Normal 8 2 3 3 3 4" xfId="9914" xr:uid="{85AFB483-537C-4A98-BE44-342B2C4D74F3}"/>
    <cellStyle name="Normal 8 2 3 3 3 5" xfId="18362" xr:uid="{3C89787A-268A-4EE5-8C09-26A4A67ACE40}"/>
    <cellStyle name="Normal 8 2 3 3 3 6" xfId="26809" xr:uid="{F7AAB8AE-8119-4B4C-AFB6-7182C17978F6}"/>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C4C2FF29-6D85-4980-866C-E0F3006226E5}"/>
    <cellStyle name="Normal 8 2 3 3 4 2 2 3" xfId="25137" xr:uid="{9A197061-0B9B-463B-BBE2-EFDDF908B81B}"/>
    <cellStyle name="Normal 8 2 3 3 4 2 2 4" xfId="33584" xr:uid="{B11364B7-3F4A-41C6-9F6A-69C1DCA7B38B}"/>
    <cellStyle name="Normal 8 2 3 3 4 2 3" xfId="12472" xr:uid="{81E9219B-0CD7-4D91-8A8B-D99759B012B1}"/>
    <cellStyle name="Normal 8 2 3 3 4 2 4" xfId="20920" xr:uid="{53BAEA62-00A8-4D9F-AB55-761E31E64E42}"/>
    <cellStyle name="Normal 8 2 3 3 4 2 5" xfId="29367" xr:uid="{B04D05B9-B98A-4CE9-A5C2-6F2863F044F1}"/>
    <cellStyle name="Normal 8 2 3 3 4 3" xfId="6095" xr:uid="{00000000-0005-0000-0000-0000C81C0000}"/>
    <cellStyle name="Normal 8 2 3 3 4 3 2" xfId="14545" xr:uid="{2F0F3973-81B8-470F-A66E-E239E90CF83A}"/>
    <cellStyle name="Normal 8 2 3 3 4 3 3" xfId="22992" xr:uid="{D1627316-C4EE-469D-9BB9-DEC1761FCB15}"/>
    <cellStyle name="Normal 8 2 3 3 4 3 4" xfId="31439" xr:uid="{E339CF1F-C18B-4D87-BC7F-8212B063B310}"/>
    <cellStyle name="Normal 8 2 3 3 4 4" xfId="10327" xr:uid="{0F0893FF-73E9-415C-B1BC-4FBAFAC00B79}"/>
    <cellStyle name="Normal 8 2 3 3 4 5" xfId="18775" xr:uid="{43658F9A-4290-4D35-8377-E280FA8853DD}"/>
    <cellStyle name="Normal 8 2 3 3 4 6" xfId="27222" xr:uid="{6948F955-AA78-4217-8FE4-F3DF5FCCE8C6}"/>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917BC730-AD79-451D-9493-23D75BCA1737}"/>
    <cellStyle name="Normal 8 2 3 3 5 2 2 3" xfId="25550" xr:uid="{8CD4DF66-3388-41A8-854C-F132D941EFF0}"/>
    <cellStyle name="Normal 8 2 3 3 5 2 2 4" xfId="33997" xr:uid="{15AD2198-852E-48BF-B760-910CC9C58915}"/>
    <cellStyle name="Normal 8 2 3 3 5 2 3" xfId="12885" xr:uid="{4272CB41-0670-41F5-87A0-23AF1E6F2760}"/>
    <cellStyle name="Normal 8 2 3 3 5 2 4" xfId="21333" xr:uid="{88EA4C4C-3307-4282-B026-8AE3155F56BD}"/>
    <cellStyle name="Normal 8 2 3 3 5 2 5" xfId="29780" xr:uid="{2FFDF85A-CEA6-4365-818D-564A4A7534DC}"/>
    <cellStyle name="Normal 8 2 3 3 5 3" xfId="6508" xr:uid="{00000000-0005-0000-0000-0000CC1C0000}"/>
    <cellStyle name="Normal 8 2 3 3 5 3 2" xfId="14958" xr:uid="{9AFE4098-D9FB-4056-B95D-E523341EC274}"/>
    <cellStyle name="Normal 8 2 3 3 5 3 3" xfId="23405" xr:uid="{E35EDB3C-CEFC-46C8-948B-8777F73CED9F}"/>
    <cellStyle name="Normal 8 2 3 3 5 3 4" xfId="31852" xr:uid="{92E72439-0773-4289-82A5-49D112B7D0EA}"/>
    <cellStyle name="Normal 8 2 3 3 5 4" xfId="10740" xr:uid="{0901D043-5659-4685-92EE-47B8CFB6C6C1}"/>
    <cellStyle name="Normal 8 2 3 3 5 5" xfId="19188" xr:uid="{D2D2008A-747E-4A3B-B22D-9B6E90213E08}"/>
    <cellStyle name="Normal 8 2 3 3 5 6" xfId="27635" xr:uid="{05F174C9-01D7-4AD6-97E4-C8C11B0DF28D}"/>
    <cellStyle name="Normal 8 2 3 3 6" xfId="2638" xr:uid="{00000000-0005-0000-0000-0000CD1C0000}"/>
    <cellStyle name="Normal 8 2 3 3 6 2" xfId="6921" xr:uid="{00000000-0005-0000-0000-0000CE1C0000}"/>
    <cellStyle name="Normal 8 2 3 3 6 2 2" xfId="15371" xr:uid="{31DE500B-B0C9-4473-86EB-20A9B6392A6A}"/>
    <cellStyle name="Normal 8 2 3 3 6 2 3" xfId="23818" xr:uid="{E1CCC34D-2BB1-4E6D-8216-5F068171500C}"/>
    <cellStyle name="Normal 8 2 3 3 6 2 4" xfId="32265" xr:uid="{4748DDA5-64AD-46F7-B315-3B71507F7BF0}"/>
    <cellStyle name="Normal 8 2 3 3 6 3" xfId="11153" xr:uid="{0A494A64-43A2-4180-B89D-1892DC037B82}"/>
    <cellStyle name="Normal 8 2 3 3 6 4" xfId="19601" xr:uid="{CCF02325-F8B6-4A5A-BE59-EEF9ADF9250B}"/>
    <cellStyle name="Normal 8 2 3 3 6 5" xfId="28048" xr:uid="{AA3D79E1-60D1-4049-92AA-B80FA31BB95C}"/>
    <cellStyle name="Normal 8 2 3 3 7" xfId="4856" xr:uid="{00000000-0005-0000-0000-0000CF1C0000}"/>
    <cellStyle name="Normal 8 2 3 3 7 2" xfId="13306" xr:uid="{427E61E2-85FD-4905-80CD-67FB1462CF32}"/>
    <cellStyle name="Normal 8 2 3 3 7 3" xfId="21753" xr:uid="{967A66DC-BC67-4D28-8C86-E72C52025F2F}"/>
    <cellStyle name="Normal 8 2 3 3 7 4" xfId="30200" xr:uid="{29B7F898-014D-4449-AC82-B66605102CC9}"/>
    <cellStyle name="Normal 8 2 3 3 8" xfId="9088" xr:uid="{FDB30511-1B38-4201-8691-3D209CC93DA6}"/>
    <cellStyle name="Normal 8 2 3 3 9" xfId="17536" xr:uid="{2B0E72F3-F6EB-4973-89BB-D47391BE3AE8}"/>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C2362680-A765-4FF4-90D7-56A2DD94C415}"/>
    <cellStyle name="Normal 8 2 3 4 2 2 3" xfId="24308" xr:uid="{171B6A09-31C4-4FA0-B9E7-0BCD4C9C065E}"/>
    <cellStyle name="Normal 8 2 3 4 2 2 4" xfId="32755" xr:uid="{5C2864EE-49BD-49DA-950C-A7AF2FF62EFD}"/>
    <cellStyle name="Normal 8 2 3 4 2 3" xfId="11643" xr:uid="{3C520B9D-6D75-4F83-98EC-A5AC73D20BFD}"/>
    <cellStyle name="Normal 8 2 3 4 2 4" xfId="20091" xr:uid="{72313BFA-F394-48D9-B9F9-6237D24CB843}"/>
    <cellStyle name="Normal 8 2 3 4 2 5" xfId="28538" xr:uid="{3391E383-AB3F-4EE8-9C7B-C6FBF813BBDE}"/>
    <cellStyle name="Normal 8 2 3 4 3" xfId="5266" xr:uid="{00000000-0005-0000-0000-0000D31C0000}"/>
    <cellStyle name="Normal 8 2 3 4 3 2" xfId="13716" xr:uid="{E9BCA781-2A0E-4E6B-8AA8-47AE54FD0810}"/>
    <cellStyle name="Normal 8 2 3 4 3 3" xfId="22163" xr:uid="{ECB47A84-DA53-47BE-A859-311813BFD0FE}"/>
    <cellStyle name="Normal 8 2 3 4 3 4" xfId="30610" xr:uid="{860DB77C-3110-4E5B-A5C1-285FA8E53E82}"/>
    <cellStyle name="Normal 8 2 3 4 4" xfId="9498" xr:uid="{2B956B00-A469-4FF4-BD29-3F192228E0EE}"/>
    <cellStyle name="Normal 8 2 3 4 5" xfId="17946" xr:uid="{52CE7E74-BAB8-45BB-8266-A66846BD40E6}"/>
    <cellStyle name="Normal 8 2 3 4 6" xfId="26393" xr:uid="{E9E9E1FF-0DE9-43AF-9C0B-104959BB8DC9}"/>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D9D969C5-4CF9-4A94-ACA9-D8CEF3848C4D}"/>
    <cellStyle name="Normal 8 2 3 5 2 2 3" xfId="24721" xr:uid="{65D0AFFD-84DD-4EB8-86A1-BAE4439171B5}"/>
    <cellStyle name="Normal 8 2 3 5 2 2 4" xfId="33168" xr:uid="{92DD584E-76F3-41BF-B3CD-AB3BC2C10D10}"/>
    <cellStyle name="Normal 8 2 3 5 2 3" xfId="12056" xr:uid="{73458391-5031-4962-830E-D021E7C77AAD}"/>
    <cellStyle name="Normal 8 2 3 5 2 4" xfId="20504" xr:uid="{5B1BC25C-91AF-4F4D-9EF1-6B588205AC94}"/>
    <cellStyle name="Normal 8 2 3 5 2 5" xfId="28951" xr:uid="{696B2005-0DCA-4951-9A6E-BDC50E3E2536}"/>
    <cellStyle name="Normal 8 2 3 5 3" xfId="5679" xr:uid="{00000000-0005-0000-0000-0000D71C0000}"/>
    <cellStyle name="Normal 8 2 3 5 3 2" xfId="14129" xr:uid="{EC2890D6-C891-474F-A875-C861B308F3DD}"/>
    <cellStyle name="Normal 8 2 3 5 3 3" xfId="22576" xr:uid="{FA318504-70D9-483E-9C0D-563695F6238D}"/>
    <cellStyle name="Normal 8 2 3 5 3 4" xfId="31023" xr:uid="{57386BBB-B549-44EC-BA06-3B0F958CFE81}"/>
    <cellStyle name="Normal 8 2 3 5 4" xfId="9911" xr:uid="{E0E9E790-1504-47B3-A067-AD4499676B2F}"/>
    <cellStyle name="Normal 8 2 3 5 5" xfId="18359" xr:uid="{2B1D638A-15ED-42C2-B43E-04D0E7D90510}"/>
    <cellStyle name="Normal 8 2 3 5 6" xfId="26806" xr:uid="{8AC0F845-C124-40D7-AD0E-4EC2F5D5C0C6}"/>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DB88593F-157A-4ABD-8B35-B5DFE3DD1D41}"/>
    <cellStyle name="Normal 8 2 3 6 2 2 3" xfId="25134" xr:uid="{BA9157A1-6816-4070-A5AC-846A64CA3EAF}"/>
    <cellStyle name="Normal 8 2 3 6 2 2 4" xfId="33581" xr:uid="{452700AF-9D40-4212-B189-DE2019373AA0}"/>
    <cellStyle name="Normal 8 2 3 6 2 3" xfId="12469" xr:uid="{ED68FB47-494A-480E-BBE3-4B60FC1C5EF9}"/>
    <cellStyle name="Normal 8 2 3 6 2 4" xfId="20917" xr:uid="{57F8CE03-2CD0-4B6C-A4FB-9A3630959AB8}"/>
    <cellStyle name="Normal 8 2 3 6 2 5" xfId="29364" xr:uid="{733C1F28-B703-4230-AE6C-6A200E39CBAB}"/>
    <cellStyle name="Normal 8 2 3 6 3" xfId="6092" xr:uid="{00000000-0005-0000-0000-0000DB1C0000}"/>
    <cellStyle name="Normal 8 2 3 6 3 2" xfId="14542" xr:uid="{616ABB2D-0FC7-4FB5-B4BC-569E251B5D60}"/>
    <cellStyle name="Normal 8 2 3 6 3 3" xfId="22989" xr:uid="{2C4B4F8C-1147-486E-A455-2852F0155CDF}"/>
    <cellStyle name="Normal 8 2 3 6 3 4" xfId="31436" xr:uid="{2C091F7C-CCBF-4B3B-BFD7-12A88A90F8AC}"/>
    <cellStyle name="Normal 8 2 3 6 4" xfId="10324" xr:uid="{9B29AE5E-9AE9-4495-9B4C-FD7B907A1030}"/>
    <cellStyle name="Normal 8 2 3 6 5" xfId="18772" xr:uid="{116987D6-AE99-436D-8148-1F21DA7BAC87}"/>
    <cellStyle name="Normal 8 2 3 6 6" xfId="27219" xr:uid="{9C4AEE5A-95AA-4CC8-B600-88F9392D4807}"/>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1990FC9C-048F-4312-9907-0ACBD12A605B}"/>
    <cellStyle name="Normal 8 2 3 7 2 2 3" xfId="25547" xr:uid="{9FBEFBB5-4EE0-432E-B4ED-23F1E4703898}"/>
    <cellStyle name="Normal 8 2 3 7 2 2 4" xfId="33994" xr:uid="{883D01B6-1A4F-40DC-BFDF-2D9AA7681CD0}"/>
    <cellStyle name="Normal 8 2 3 7 2 3" xfId="12882" xr:uid="{6A583777-34F9-40DB-B354-D61CD2AE1FA8}"/>
    <cellStyle name="Normal 8 2 3 7 2 4" xfId="21330" xr:uid="{843296CC-64A9-4CEF-86B3-2CAC8B8CF794}"/>
    <cellStyle name="Normal 8 2 3 7 2 5" xfId="29777" xr:uid="{82402D5C-C709-4826-B17E-2147B0324301}"/>
    <cellStyle name="Normal 8 2 3 7 3" xfId="6505" xr:uid="{00000000-0005-0000-0000-0000DF1C0000}"/>
    <cellStyle name="Normal 8 2 3 7 3 2" xfId="14955" xr:uid="{7A4C7EB4-F170-4656-BE62-BDFE91F18BF0}"/>
    <cellStyle name="Normal 8 2 3 7 3 3" xfId="23402" xr:uid="{DD077FA3-7D94-49FD-AAC0-2D418FBDF854}"/>
    <cellStyle name="Normal 8 2 3 7 3 4" xfId="31849" xr:uid="{EBF775B1-4A1C-49D1-82A9-BCAD82D22DF0}"/>
    <cellStyle name="Normal 8 2 3 7 4" xfId="10737" xr:uid="{F4AAD4C2-BB16-4A3A-A2F6-EEB6BF415C23}"/>
    <cellStyle name="Normal 8 2 3 7 5" xfId="19185" xr:uid="{2AF7CA95-476C-4459-BA78-F76EBBE1EA5A}"/>
    <cellStyle name="Normal 8 2 3 7 6" xfId="27632" xr:uid="{06A461F0-AEAC-4C18-AC51-EC3BA3519E6D}"/>
    <cellStyle name="Normal 8 2 3 8" xfId="2635" xr:uid="{00000000-0005-0000-0000-0000E01C0000}"/>
    <cellStyle name="Normal 8 2 3 8 2" xfId="6918" xr:uid="{00000000-0005-0000-0000-0000E11C0000}"/>
    <cellStyle name="Normal 8 2 3 8 2 2" xfId="15368" xr:uid="{77218E0E-9B17-4CCF-B255-2A132E2D1555}"/>
    <cellStyle name="Normal 8 2 3 8 2 3" xfId="23815" xr:uid="{FE39BDA8-4FFE-493D-B2AD-AF02845B3B59}"/>
    <cellStyle name="Normal 8 2 3 8 2 4" xfId="32262" xr:uid="{187364CC-B572-4F7A-B7A3-CDEFAC2DC925}"/>
    <cellStyle name="Normal 8 2 3 8 3" xfId="11150" xr:uid="{27C44987-D0B8-46F1-B30F-A4668E9D8FDE}"/>
    <cellStyle name="Normal 8 2 3 8 4" xfId="19598" xr:uid="{8FF92F56-33E2-4793-A50C-A3501836418B}"/>
    <cellStyle name="Normal 8 2 3 8 5" xfId="28045" xr:uid="{8DAA31E8-FA2F-426A-A803-5CF41773E85E}"/>
    <cellStyle name="Normal 8 2 3 9" xfId="4853" xr:uid="{00000000-0005-0000-0000-0000E21C0000}"/>
    <cellStyle name="Normal 8 2 3 9 2" xfId="13303" xr:uid="{7851A045-AFD8-4F69-A21A-1487A11176E1}"/>
    <cellStyle name="Normal 8 2 3 9 3" xfId="21750" xr:uid="{5FBADE95-EE29-4712-B9A7-82547438F545}"/>
    <cellStyle name="Normal 8 2 3 9 4" xfId="30197" xr:uid="{B9BE16EB-B416-4C2C-8744-B8606A96825C}"/>
    <cellStyle name="Normal 8 2 4" xfId="492" xr:uid="{00000000-0005-0000-0000-0000E31C0000}"/>
    <cellStyle name="Normal 8 2 4 10" xfId="17537" xr:uid="{5BCCF8FE-B37C-4764-8166-74F36666C4C0}"/>
    <cellStyle name="Normal 8 2 4 11" xfId="25984" xr:uid="{9EE89EA7-1869-4994-B1D0-3EA279B4E6D4}"/>
    <cellStyle name="Normal 8 2 4 2" xfId="493" xr:uid="{00000000-0005-0000-0000-0000E41C0000}"/>
    <cellStyle name="Normal 8 2 4 2 10" xfId="25985" xr:uid="{522A6733-70DF-41EB-9B14-CE2AAD66C992}"/>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DDA287FE-185E-4E2C-BA5B-9A841567D214}"/>
    <cellStyle name="Normal 8 2 4 2 2 2 2 3" xfId="24313" xr:uid="{FF898E9C-F2ED-4536-AF12-00A6E94FE93C}"/>
    <cellStyle name="Normal 8 2 4 2 2 2 2 4" xfId="32760" xr:uid="{1FC1B756-FED1-4B71-8A60-37103CABEB0B}"/>
    <cellStyle name="Normal 8 2 4 2 2 2 3" xfId="11648" xr:uid="{34FE2772-86B2-478B-9227-178580D9ABFE}"/>
    <cellStyle name="Normal 8 2 4 2 2 2 4" xfId="20096" xr:uid="{B5C9B5C9-9F65-42A8-B875-320DBF969ABD}"/>
    <cellStyle name="Normal 8 2 4 2 2 2 5" xfId="28543" xr:uid="{BEEE016B-483A-41C1-934D-9338EF5D7388}"/>
    <cellStyle name="Normal 8 2 4 2 2 3" xfId="5271" xr:uid="{00000000-0005-0000-0000-0000E81C0000}"/>
    <cellStyle name="Normal 8 2 4 2 2 3 2" xfId="13721" xr:uid="{68B60A9C-1E32-4DD4-A0F2-6B50A71F10DC}"/>
    <cellStyle name="Normal 8 2 4 2 2 3 3" xfId="22168" xr:uid="{DC754DF4-7090-4A9B-A143-3DC551B75FD3}"/>
    <cellStyle name="Normal 8 2 4 2 2 3 4" xfId="30615" xr:uid="{84577C51-6635-4DE1-A02F-C24D3045178A}"/>
    <cellStyle name="Normal 8 2 4 2 2 4" xfId="9503" xr:uid="{0CA628D3-7E89-4F6F-8649-25DAD654E185}"/>
    <cellStyle name="Normal 8 2 4 2 2 5" xfId="17951" xr:uid="{7F739C69-0159-4C6B-91E5-A4A9D1311909}"/>
    <cellStyle name="Normal 8 2 4 2 2 6" xfId="26398" xr:uid="{E1CBC653-FBC6-42A6-9FC8-C32D8B117CB5}"/>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2EFCF03A-ECAC-49A2-926D-27A17920E8DD}"/>
    <cellStyle name="Normal 8 2 4 2 3 2 2 3" xfId="24726" xr:uid="{16B8E414-152C-4383-9689-99B5C6B885E7}"/>
    <cellStyle name="Normal 8 2 4 2 3 2 2 4" xfId="33173" xr:uid="{9B41D4AA-103C-4E88-A8BC-8D20FEE3F112}"/>
    <cellStyle name="Normal 8 2 4 2 3 2 3" xfId="12061" xr:uid="{30F208FC-49AD-460A-BA9A-A61A9C56EC36}"/>
    <cellStyle name="Normal 8 2 4 2 3 2 4" xfId="20509" xr:uid="{1EAF7B5C-181C-4129-95AD-1A77A07C6F5C}"/>
    <cellStyle name="Normal 8 2 4 2 3 2 5" xfId="28956" xr:uid="{0DF74CA3-CD6C-4D1C-A108-91E06180DB6F}"/>
    <cellStyle name="Normal 8 2 4 2 3 3" xfId="5684" xr:uid="{00000000-0005-0000-0000-0000EC1C0000}"/>
    <cellStyle name="Normal 8 2 4 2 3 3 2" xfId="14134" xr:uid="{B88431CE-08EC-42F3-B0B0-034C058A618C}"/>
    <cellStyle name="Normal 8 2 4 2 3 3 3" xfId="22581" xr:uid="{89A0B363-4505-495A-8307-3AA2603A24FC}"/>
    <cellStyle name="Normal 8 2 4 2 3 3 4" xfId="31028" xr:uid="{BF06FD64-8A1B-473D-A187-F3F36CBD4D70}"/>
    <cellStyle name="Normal 8 2 4 2 3 4" xfId="9916" xr:uid="{24AF885C-BB59-4A0E-A14D-27C44B21D315}"/>
    <cellStyle name="Normal 8 2 4 2 3 5" xfId="18364" xr:uid="{E2E84BD0-CDFD-4B0C-A022-38387AAA8202}"/>
    <cellStyle name="Normal 8 2 4 2 3 6" xfId="26811" xr:uid="{1E8C6504-2E40-49D1-B69E-0C69D9CF3C4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AF61584A-653E-4BA0-832E-D1423A978F19}"/>
    <cellStyle name="Normal 8 2 4 2 4 2 2 3" xfId="25139" xr:uid="{8DE18C8F-697B-4C31-A477-33D45ADA43F6}"/>
    <cellStyle name="Normal 8 2 4 2 4 2 2 4" xfId="33586" xr:uid="{59E0649C-2C63-4BAF-A5E8-711373F79932}"/>
    <cellStyle name="Normal 8 2 4 2 4 2 3" xfId="12474" xr:uid="{028F8219-448E-42A0-8935-84AD95B160BF}"/>
    <cellStyle name="Normal 8 2 4 2 4 2 4" xfId="20922" xr:uid="{9D2E12E2-38AB-45B3-B2AA-84B3DB35F15F}"/>
    <cellStyle name="Normal 8 2 4 2 4 2 5" xfId="29369" xr:uid="{C6E1B966-A50F-4B59-9C3B-BCB05640BC3B}"/>
    <cellStyle name="Normal 8 2 4 2 4 3" xfId="6097" xr:uid="{00000000-0005-0000-0000-0000F01C0000}"/>
    <cellStyle name="Normal 8 2 4 2 4 3 2" xfId="14547" xr:uid="{C1D5CEA6-9543-4C2F-BA8D-4E54BADB0ACF}"/>
    <cellStyle name="Normal 8 2 4 2 4 3 3" xfId="22994" xr:uid="{53D8DCD3-256F-4069-9AE3-5E87A4145115}"/>
    <cellStyle name="Normal 8 2 4 2 4 3 4" xfId="31441" xr:uid="{6F217A8F-E93E-462B-9A7A-1E2A738527FF}"/>
    <cellStyle name="Normal 8 2 4 2 4 4" xfId="10329" xr:uid="{37D3F7EE-D75B-4248-B639-3472244E6054}"/>
    <cellStyle name="Normal 8 2 4 2 4 5" xfId="18777" xr:uid="{E5474247-0C85-4590-ADBD-334CA0A5A410}"/>
    <cellStyle name="Normal 8 2 4 2 4 6" xfId="27224" xr:uid="{31F2B34A-1965-4351-B85B-28E8D73FAB6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266E9170-E142-4256-BC21-67E950A6F7BD}"/>
    <cellStyle name="Normal 8 2 4 2 5 2 2 3" xfId="25552" xr:uid="{07A22695-146C-4417-A73B-04F0EB7AC38D}"/>
    <cellStyle name="Normal 8 2 4 2 5 2 2 4" xfId="33999" xr:uid="{49F7B18B-C00D-4441-A442-610139EC6B75}"/>
    <cellStyle name="Normal 8 2 4 2 5 2 3" xfId="12887" xr:uid="{7D946F76-9F0A-4CAA-B962-E39459A52477}"/>
    <cellStyle name="Normal 8 2 4 2 5 2 4" xfId="21335" xr:uid="{C4D077D0-E729-4EE7-951D-0EFCBA7F9D94}"/>
    <cellStyle name="Normal 8 2 4 2 5 2 5" xfId="29782" xr:uid="{82010BF8-A4D9-4111-A0A2-687368CD52C7}"/>
    <cellStyle name="Normal 8 2 4 2 5 3" xfId="6510" xr:uid="{00000000-0005-0000-0000-0000F41C0000}"/>
    <cellStyle name="Normal 8 2 4 2 5 3 2" xfId="14960" xr:uid="{7D526EBB-7230-4951-A547-D0D7EBA46F44}"/>
    <cellStyle name="Normal 8 2 4 2 5 3 3" xfId="23407" xr:uid="{BDFFED46-7BF1-40FA-B825-FADD0A4753C1}"/>
    <cellStyle name="Normal 8 2 4 2 5 3 4" xfId="31854" xr:uid="{A551A007-CD2D-4F7D-B4E4-1CDE6A369A80}"/>
    <cellStyle name="Normal 8 2 4 2 5 4" xfId="10742" xr:uid="{3F49E1DF-6C81-4E4C-A487-B9A7F7583C86}"/>
    <cellStyle name="Normal 8 2 4 2 5 5" xfId="19190" xr:uid="{FCDDC51B-290A-4219-BFE6-16E9B31EE4A3}"/>
    <cellStyle name="Normal 8 2 4 2 5 6" xfId="27637" xr:uid="{5DCC7B2A-17E4-46F3-82EA-20E5DA28A8FF}"/>
    <cellStyle name="Normal 8 2 4 2 6" xfId="2640" xr:uid="{00000000-0005-0000-0000-0000F51C0000}"/>
    <cellStyle name="Normal 8 2 4 2 6 2" xfId="6923" xr:uid="{00000000-0005-0000-0000-0000F61C0000}"/>
    <cellStyle name="Normal 8 2 4 2 6 2 2" xfId="15373" xr:uid="{B21DA088-B6A8-4668-90A5-FEF949A7348B}"/>
    <cellStyle name="Normal 8 2 4 2 6 2 3" xfId="23820" xr:uid="{BA285F44-73B5-4FB6-965A-F315BA9FCB45}"/>
    <cellStyle name="Normal 8 2 4 2 6 2 4" xfId="32267" xr:uid="{EF2A80AD-1338-46AD-8769-34EDF1C7E96D}"/>
    <cellStyle name="Normal 8 2 4 2 6 3" xfId="11155" xr:uid="{FA68827F-E19C-4DEA-B5CF-36E066AB13C9}"/>
    <cellStyle name="Normal 8 2 4 2 6 4" xfId="19603" xr:uid="{997E9B4D-FFCB-4869-9881-F120F75C2B4E}"/>
    <cellStyle name="Normal 8 2 4 2 6 5" xfId="28050" xr:uid="{00F84A9E-2633-41FE-A456-60ECC4DFFE15}"/>
    <cellStyle name="Normal 8 2 4 2 7" xfId="4858" xr:uid="{00000000-0005-0000-0000-0000F71C0000}"/>
    <cellStyle name="Normal 8 2 4 2 7 2" xfId="13308" xr:uid="{BEDED820-28E1-41FA-AED8-C5A90B035253}"/>
    <cellStyle name="Normal 8 2 4 2 7 3" xfId="21755" xr:uid="{493847AE-8B55-45EB-8709-4B5359AD0838}"/>
    <cellStyle name="Normal 8 2 4 2 7 4" xfId="30202" xr:uid="{0A61DD59-9C1B-4089-B060-F124626D5AEF}"/>
    <cellStyle name="Normal 8 2 4 2 8" xfId="9090" xr:uid="{30B27653-18C3-4B69-BA5A-801016E72963}"/>
    <cellStyle name="Normal 8 2 4 2 9" xfId="17538" xr:uid="{497682C0-3321-4565-A051-E39D5253A401}"/>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C7BAAA6C-2FFB-4A27-8A12-E3047B1244EE}"/>
    <cellStyle name="Normal 8 2 4 3 2 2 3" xfId="24312" xr:uid="{10D8234C-7589-407A-87C0-0A8637F4990C}"/>
    <cellStyle name="Normal 8 2 4 3 2 2 4" xfId="32759" xr:uid="{9E422790-0772-4E1A-B8CF-AE838248D3D2}"/>
    <cellStyle name="Normal 8 2 4 3 2 3" xfId="11647" xr:uid="{2F91DAD2-1241-4038-8720-B614C8602EF6}"/>
    <cellStyle name="Normal 8 2 4 3 2 4" xfId="20095" xr:uid="{7692BFD1-29DF-4D9B-AA80-3FADB0841ACC}"/>
    <cellStyle name="Normal 8 2 4 3 2 5" xfId="28542" xr:uid="{6392A942-09F3-4C93-825A-4E907042C619}"/>
    <cellStyle name="Normal 8 2 4 3 3" xfId="5270" xr:uid="{00000000-0005-0000-0000-0000FB1C0000}"/>
    <cellStyle name="Normal 8 2 4 3 3 2" xfId="13720" xr:uid="{3C8248D9-356E-47E5-83AE-E1892C471F18}"/>
    <cellStyle name="Normal 8 2 4 3 3 3" xfId="22167" xr:uid="{3A572A4D-66A2-4A02-82F0-95EE7883000B}"/>
    <cellStyle name="Normal 8 2 4 3 3 4" xfId="30614" xr:uid="{8DD6558B-D363-4EC6-BC63-FAB3A17CCDBB}"/>
    <cellStyle name="Normal 8 2 4 3 4" xfId="9502" xr:uid="{886A2A69-B66C-4E59-8D56-FBF6971EE146}"/>
    <cellStyle name="Normal 8 2 4 3 5" xfId="17950" xr:uid="{D45BB5D9-0935-478D-81FD-E2F5685D2EAB}"/>
    <cellStyle name="Normal 8 2 4 3 6" xfId="26397" xr:uid="{0A502E08-93A1-4A43-A330-50C14093E8E0}"/>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F87C9CEA-8A99-4DB4-AC48-C276D3A59C31}"/>
    <cellStyle name="Normal 8 2 4 4 2 2 3" xfId="24725" xr:uid="{1A996361-7B50-4180-8006-D0C4FB6CB130}"/>
    <cellStyle name="Normal 8 2 4 4 2 2 4" xfId="33172" xr:uid="{E9E89E01-CC6A-47F8-BF1B-645BAA8C8910}"/>
    <cellStyle name="Normal 8 2 4 4 2 3" xfId="12060" xr:uid="{27BADB52-4C12-47D3-B220-418C74495A99}"/>
    <cellStyle name="Normal 8 2 4 4 2 4" xfId="20508" xr:uid="{527159A2-4E79-4A6F-B799-30337AF8E4D0}"/>
    <cellStyle name="Normal 8 2 4 4 2 5" xfId="28955" xr:uid="{6554C276-106B-44B4-91C2-2852A96CB6E4}"/>
    <cellStyle name="Normal 8 2 4 4 3" xfId="5683" xr:uid="{00000000-0005-0000-0000-0000FF1C0000}"/>
    <cellStyle name="Normal 8 2 4 4 3 2" xfId="14133" xr:uid="{FFDA04EE-5349-4270-8C6F-B7CA9083CA2F}"/>
    <cellStyle name="Normal 8 2 4 4 3 3" xfId="22580" xr:uid="{5C2BCE9B-25F2-486D-A403-A243F5231750}"/>
    <cellStyle name="Normal 8 2 4 4 3 4" xfId="31027" xr:uid="{30828E46-8A04-4B31-BD16-7F2E7567C223}"/>
    <cellStyle name="Normal 8 2 4 4 4" xfId="9915" xr:uid="{7A9F92C9-6C09-4B6E-955B-5AECD4E83399}"/>
    <cellStyle name="Normal 8 2 4 4 5" xfId="18363" xr:uid="{974A6875-693F-4570-BD50-20F1BCE44FA1}"/>
    <cellStyle name="Normal 8 2 4 4 6" xfId="26810" xr:uid="{8ED28527-FD26-4983-B1EB-DADAFA228DA8}"/>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ECCB369F-3069-45BB-85DF-737A37FC990A}"/>
    <cellStyle name="Normal 8 2 4 5 2 2 3" xfId="25138" xr:uid="{08781C9A-85F2-44D3-B8EE-90F8E9BA56A7}"/>
    <cellStyle name="Normal 8 2 4 5 2 2 4" xfId="33585" xr:uid="{47E2AE8E-0528-48A0-B184-1320E3DAD795}"/>
    <cellStyle name="Normal 8 2 4 5 2 3" xfId="12473" xr:uid="{48797979-F9A2-4F6C-8B2C-538C4972E172}"/>
    <cellStyle name="Normal 8 2 4 5 2 4" xfId="20921" xr:uid="{78FA459E-33FD-4288-9403-CA37677429E7}"/>
    <cellStyle name="Normal 8 2 4 5 2 5" xfId="29368" xr:uid="{148CA0FC-D723-4ED2-AA5C-E762A3DBFC84}"/>
    <cellStyle name="Normal 8 2 4 5 3" xfId="6096" xr:uid="{00000000-0005-0000-0000-0000031D0000}"/>
    <cellStyle name="Normal 8 2 4 5 3 2" xfId="14546" xr:uid="{8D92B965-9FD6-426A-8549-99BFBEBFE2D8}"/>
    <cellStyle name="Normal 8 2 4 5 3 3" xfId="22993" xr:uid="{BE6B2E14-29AB-4807-8EDF-611E6E56C57F}"/>
    <cellStyle name="Normal 8 2 4 5 3 4" xfId="31440" xr:uid="{F86A5D68-144F-4118-9EBB-60181F1D1488}"/>
    <cellStyle name="Normal 8 2 4 5 4" xfId="10328" xr:uid="{EAB7D685-AD00-4F91-9C8A-70849E2C13E8}"/>
    <cellStyle name="Normal 8 2 4 5 5" xfId="18776" xr:uid="{4E0CE49F-9E82-4DB7-8FB9-D5E495AF0FC0}"/>
    <cellStyle name="Normal 8 2 4 5 6" xfId="27223" xr:uid="{378A8A90-8052-479D-B484-3593F79CF045}"/>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DACEBC36-B7A3-4EE3-B6A1-0C561680D7C3}"/>
    <cellStyle name="Normal 8 2 4 6 2 2 3" xfId="25551" xr:uid="{7A6EC979-2A15-47D4-A9B9-B58153C4BDFC}"/>
    <cellStyle name="Normal 8 2 4 6 2 2 4" xfId="33998" xr:uid="{AF7B15E6-40A3-4181-9E32-DEB60588A581}"/>
    <cellStyle name="Normal 8 2 4 6 2 3" xfId="12886" xr:uid="{42914BD1-8944-4C1D-8B70-1F1EC440EA77}"/>
    <cellStyle name="Normal 8 2 4 6 2 4" xfId="21334" xr:uid="{CA8891EB-FA7A-4ECE-8B0B-0362E4ACD873}"/>
    <cellStyle name="Normal 8 2 4 6 2 5" xfId="29781" xr:uid="{362C7125-9205-487D-80F2-81C631BE499B}"/>
    <cellStyle name="Normal 8 2 4 6 3" xfId="6509" xr:uid="{00000000-0005-0000-0000-0000071D0000}"/>
    <cellStyle name="Normal 8 2 4 6 3 2" xfId="14959" xr:uid="{2D2391F2-FDFE-4B2E-A4CD-9D150E738115}"/>
    <cellStyle name="Normal 8 2 4 6 3 3" xfId="23406" xr:uid="{0D96651A-91F3-4327-A509-7FF26C7781FD}"/>
    <cellStyle name="Normal 8 2 4 6 3 4" xfId="31853" xr:uid="{F7007A95-7D33-4777-92F7-719943F68399}"/>
    <cellStyle name="Normal 8 2 4 6 4" xfId="10741" xr:uid="{2126F616-01F2-431A-B07A-5CA8CBA653CF}"/>
    <cellStyle name="Normal 8 2 4 6 5" xfId="19189" xr:uid="{8D882975-2FC2-4E9A-A773-C8D7AAFBF834}"/>
    <cellStyle name="Normal 8 2 4 6 6" xfId="27636" xr:uid="{6E24EE34-4234-4883-B078-FE7F18128FD1}"/>
    <cellStyle name="Normal 8 2 4 7" xfId="2639" xr:uid="{00000000-0005-0000-0000-0000081D0000}"/>
    <cellStyle name="Normal 8 2 4 7 2" xfId="6922" xr:uid="{00000000-0005-0000-0000-0000091D0000}"/>
    <cellStyle name="Normal 8 2 4 7 2 2" xfId="15372" xr:uid="{1E0C820D-7E04-406E-B374-2587CDD689D2}"/>
    <cellStyle name="Normal 8 2 4 7 2 3" xfId="23819" xr:uid="{5940BF8C-BDFA-4878-89A6-16D08A842695}"/>
    <cellStyle name="Normal 8 2 4 7 2 4" xfId="32266" xr:uid="{C53D17F2-0B99-4020-82D0-1A238208542A}"/>
    <cellStyle name="Normal 8 2 4 7 3" xfId="11154" xr:uid="{8E8D9ABB-45AA-4A3A-9211-E826D15947CC}"/>
    <cellStyle name="Normal 8 2 4 7 4" xfId="19602" xr:uid="{F983BD71-A4F1-4091-8254-FF22AB62F949}"/>
    <cellStyle name="Normal 8 2 4 7 5" xfId="28049" xr:uid="{7D42D85C-1629-42BC-AAD6-B8401DECC461}"/>
    <cellStyle name="Normal 8 2 4 8" xfId="4857" xr:uid="{00000000-0005-0000-0000-00000A1D0000}"/>
    <cellStyle name="Normal 8 2 4 8 2" xfId="13307" xr:uid="{DA19F1AE-18D6-4F1A-A327-48AB85D7D0E4}"/>
    <cellStyle name="Normal 8 2 4 8 3" xfId="21754" xr:uid="{B54B807A-1F8F-4DAB-8E89-711FDC090F3B}"/>
    <cellStyle name="Normal 8 2 4 8 4" xfId="30201" xr:uid="{05CBC028-18C8-4B5C-93AD-15A4BFF2C9D2}"/>
    <cellStyle name="Normal 8 2 4 9" xfId="9089" xr:uid="{82A01794-F1FA-426D-810F-F110ED3973FC}"/>
    <cellStyle name="Normal 8 2 5" xfId="494" xr:uid="{00000000-0005-0000-0000-00000B1D0000}"/>
    <cellStyle name="Normal 8 2 5 10" xfId="25986" xr:uid="{6EE64D3F-D099-458A-A3F3-10A846453909}"/>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C0D510B4-F06D-46E6-B7D4-EA28B8F61B2C}"/>
    <cellStyle name="Normal 8 2 5 2 2 2 3" xfId="24314" xr:uid="{B0AB8519-EF2E-4C7A-BEDA-1230C55B2BC3}"/>
    <cellStyle name="Normal 8 2 5 2 2 2 4" xfId="32761" xr:uid="{FDA96FFC-563C-4E9F-838F-BC3112AABBDF}"/>
    <cellStyle name="Normal 8 2 5 2 2 3" xfId="11649" xr:uid="{DB5EB4E2-E077-4976-9E93-2DDCFF909C10}"/>
    <cellStyle name="Normal 8 2 5 2 2 4" xfId="20097" xr:uid="{0978C421-8098-4B59-9FFA-63CB01C2EB67}"/>
    <cellStyle name="Normal 8 2 5 2 2 5" xfId="28544" xr:uid="{26FCDB76-FE8F-42F5-BE82-A78D9CA65426}"/>
    <cellStyle name="Normal 8 2 5 2 3" xfId="5272" xr:uid="{00000000-0005-0000-0000-00000F1D0000}"/>
    <cellStyle name="Normal 8 2 5 2 3 2" xfId="13722" xr:uid="{CD1025CB-39E4-4C25-9684-7C0C79FD21DB}"/>
    <cellStyle name="Normal 8 2 5 2 3 3" xfId="22169" xr:uid="{A9A008A6-56C7-4BC9-A8CA-24F860A9D2B0}"/>
    <cellStyle name="Normal 8 2 5 2 3 4" xfId="30616" xr:uid="{AF8BECF3-DD8C-46D9-8D47-33CEDBB0533B}"/>
    <cellStyle name="Normal 8 2 5 2 4" xfId="9504" xr:uid="{45653DCC-A375-4643-A400-EDCD6B2FFF72}"/>
    <cellStyle name="Normal 8 2 5 2 5" xfId="17952" xr:uid="{F9A2430D-2CB9-4B77-9A78-74E3CA50B281}"/>
    <cellStyle name="Normal 8 2 5 2 6" xfId="26399" xr:uid="{04B139C7-126A-47D4-9958-DBC3215341CB}"/>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806E1A68-D4D5-4039-B86E-E16BFF45C6EB}"/>
    <cellStyle name="Normal 8 2 5 3 2 2 3" xfId="24727" xr:uid="{C005950D-72C2-43A0-B033-D2F4DC7424F0}"/>
    <cellStyle name="Normal 8 2 5 3 2 2 4" xfId="33174" xr:uid="{24950443-5DFC-4F6E-813D-66F6F247B420}"/>
    <cellStyle name="Normal 8 2 5 3 2 3" xfId="12062" xr:uid="{ED254A97-F06D-461F-913C-5E298F8BC196}"/>
    <cellStyle name="Normal 8 2 5 3 2 4" xfId="20510" xr:uid="{A785D4EF-BE2E-40DE-95F1-7830BCDE9B05}"/>
    <cellStyle name="Normal 8 2 5 3 2 5" xfId="28957" xr:uid="{9ADC0F67-2D4E-43C6-9193-EEB57D7DD8D4}"/>
    <cellStyle name="Normal 8 2 5 3 3" xfId="5685" xr:uid="{00000000-0005-0000-0000-0000131D0000}"/>
    <cellStyle name="Normal 8 2 5 3 3 2" xfId="14135" xr:uid="{9F6819F9-0E02-4695-A1C3-DDF176B14D67}"/>
    <cellStyle name="Normal 8 2 5 3 3 3" xfId="22582" xr:uid="{2DD3E118-01B0-435A-AB01-6DA00F77B1BC}"/>
    <cellStyle name="Normal 8 2 5 3 3 4" xfId="31029" xr:uid="{424FE0BA-F8B3-4E8A-A0A8-BB5BB71D4651}"/>
    <cellStyle name="Normal 8 2 5 3 4" xfId="9917" xr:uid="{CF95494F-C8C5-45B0-8711-B72AE79BFD28}"/>
    <cellStyle name="Normal 8 2 5 3 5" xfId="18365" xr:uid="{B915AABE-AB5E-46C5-B17B-06BFF531A181}"/>
    <cellStyle name="Normal 8 2 5 3 6" xfId="26812" xr:uid="{AB36ADA9-17DD-4AC6-B71A-D611DD06FDCF}"/>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853DC553-7D3F-44B7-8E34-261C0D96F419}"/>
    <cellStyle name="Normal 8 2 5 4 2 2 3" xfId="25140" xr:uid="{84F872B0-E88A-4901-962E-49EFED575966}"/>
    <cellStyle name="Normal 8 2 5 4 2 2 4" xfId="33587" xr:uid="{281CB452-E0E8-4E0F-A727-2A94E7A17C79}"/>
    <cellStyle name="Normal 8 2 5 4 2 3" xfId="12475" xr:uid="{60FAD4AA-E8AC-43EF-B168-BDF7385D28C1}"/>
    <cellStyle name="Normal 8 2 5 4 2 4" xfId="20923" xr:uid="{B042C5AF-B6E8-4C16-8F10-9CF7109B443E}"/>
    <cellStyle name="Normal 8 2 5 4 2 5" xfId="29370" xr:uid="{D5155457-98CA-491A-BDF0-8235ACB67900}"/>
    <cellStyle name="Normal 8 2 5 4 3" xfId="6098" xr:uid="{00000000-0005-0000-0000-0000171D0000}"/>
    <cellStyle name="Normal 8 2 5 4 3 2" xfId="14548" xr:uid="{AEF31300-BBFE-4CDB-9C60-15E8C6EBF8A1}"/>
    <cellStyle name="Normal 8 2 5 4 3 3" xfId="22995" xr:uid="{48404E29-436E-44DB-9237-78069F0CCA78}"/>
    <cellStyle name="Normal 8 2 5 4 3 4" xfId="31442" xr:uid="{CF7FE7A2-2366-419F-B9F4-2E70432E4AB4}"/>
    <cellStyle name="Normal 8 2 5 4 4" xfId="10330" xr:uid="{C3217DC1-41FF-4C9E-B1C7-BB221E31AACF}"/>
    <cellStyle name="Normal 8 2 5 4 5" xfId="18778" xr:uid="{7A2F4E5B-A0E8-4F87-BCFB-AE837CB863B4}"/>
    <cellStyle name="Normal 8 2 5 4 6" xfId="27225" xr:uid="{9FCE664E-8642-42D6-990D-559B07901BE1}"/>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E8FF9079-5C57-4955-BB96-D256F10868B4}"/>
    <cellStyle name="Normal 8 2 5 5 2 2 3" xfId="25553" xr:uid="{ECB50123-C616-45B5-AE11-59ADCE59C32B}"/>
    <cellStyle name="Normal 8 2 5 5 2 2 4" xfId="34000" xr:uid="{AA3A491A-1573-46F5-A080-D50C145673C3}"/>
    <cellStyle name="Normal 8 2 5 5 2 3" xfId="12888" xr:uid="{41B87FDF-C111-4B96-8EBA-4A459DC9CEBD}"/>
    <cellStyle name="Normal 8 2 5 5 2 4" xfId="21336" xr:uid="{BD702F8B-D80D-4A4B-98C1-68EA2E59D84A}"/>
    <cellStyle name="Normal 8 2 5 5 2 5" xfId="29783" xr:uid="{F13A1A76-3E6B-4E4D-B69B-E0D4175E8289}"/>
    <cellStyle name="Normal 8 2 5 5 3" xfId="6511" xr:uid="{00000000-0005-0000-0000-00001B1D0000}"/>
    <cellStyle name="Normal 8 2 5 5 3 2" xfId="14961" xr:uid="{B061B435-6DF3-4A0C-AF16-04EE28AEF998}"/>
    <cellStyle name="Normal 8 2 5 5 3 3" xfId="23408" xr:uid="{439E04E6-F392-4D78-8EF5-C2D394D738CA}"/>
    <cellStyle name="Normal 8 2 5 5 3 4" xfId="31855" xr:uid="{08F8DA55-EE51-4305-91EC-038F0A60193C}"/>
    <cellStyle name="Normal 8 2 5 5 4" xfId="10743" xr:uid="{6FBE479A-64C6-421B-BE42-690BD5C8640E}"/>
    <cellStyle name="Normal 8 2 5 5 5" xfId="19191" xr:uid="{964DDB2D-D1D7-45A1-81B5-F8E9FD1BE3A9}"/>
    <cellStyle name="Normal 8 2 5 5 6" xfId="27638" xr:uid="{3BB8EA4A-61DA-40DD-AC8C-8DA54AF95430}"/>
    <cellStyle name="Normal 8 2 5 6" xfId="2641" xr:uid="{00000000-0005-0000-0000-00001C1D0000}"/>
    <cellStyle name="Normal 8 2 5 6 2" xfId="6924" xr:uid="{00000000-0005-0000-0000-00001D1D0000}"/>
    <cellStyle name="Normal 8 2 5 6 2 2" xfId="15374" xr:uid="{FAAAAF32-7187-4015-8A8F-0D9FE49905EF}"/>
    <cellStyle name="Normal 8 2 5 6 2 3" xfId="23821" xr:uid="{701CFAD4-5309-43F1-AF17-BEB8C4617439}"/>
    <cellStyle name="Normal 8 2 5 6 2 4" xfId="32268" xr:uid="{D992B7A2-30BC-44FA-AA1C-DD0DB0D20E4B}"/>
    <cellStyle name="Normal 8 2 5 6 3" xfId="11156" xr:uid="{3318570F-36B6-4562-BE13-095F4E09C67A}"/>
    <cellStyle name="Normal 8 2 5 6 4" xfId="19604" xr:uid="{94A2AC9C-CE20-49DA-A399-80095D561853}"/>
    <cellStyle name="Normal 8 2 5 6 5" xfId="28051" xr:uid="{60179B56-E150-44AA-B70D-A9E3871BA0E9}"/>
    <cellStyle name="Normal 8 2 5 7" xfId="4859" xr:uid="{00000000-0005-0000-0000-00001E1D0000}"/>
    <cellStyle name="Normal 8 2 5 7 2" xfId="13309" xr:uid="{ACC13B4C-15DF-47E1-B91A-8DF17586618B}"/>
    <cellStyle name="Normal 8 2 5 7 3" xfId="21756" xr:uid="{03D070EA-CE99-4FB4-A0AF-85E58A509C2A}"/>
    <cellStyle name="Normal 8 2 5 7 4" xfId="30203" xr:uid="{3E251603-4BF6-42D1-9379-6324A99B171B}"/>
    <cellStyle name="Normal 8 2 5 8" xfId="9091" xr:uid="{5D6A9D3F-0262-4F39-9638-C270EF199DFE}"/>
    <cellStyle name="Normal 8 2 5 9" xfId="17539" xr:uid="{8D578E02-4B88-47ED-89EC-76B30374F413}"/>
    <cellStyle name="Normal 8 2 6" xfId="946" xr:uid="{00000000-0005-0000-0000-00001F1D0000}"/>
    <cellStyle name="Normal 8 2 6 2" xfId="3180" xr:uid="{00000000-0005-0000-0000-0000201D0000}"/>
    <cellStyle name="Normal 8 2 6 2 2" xfId="7402" xr:uid="{00000000-0005-0000-0000-0000211D0000}"/>
    <cellStyle name="Normal 8 2 6 2 2 2" xfId="15852" xr:uid="{504ED74E-C052-4D0E-84FE-FE17E674065F}"/>
    <cellStyle name="Normal 8 2 6 2 2 3" xfId="24299" xr:uid="{53315641-B0BB-4CE7-B960-50A9286FBD01}"/>
    <cellStyle name="Normal 8 2 6 2 2 4" xfId="32746" xr:uid="{FDC3B558-0686-4030-AE2B-4B623ED2C326}"/>
    <cellStyle name="Normal 8 2 6 2 3" xfId="11634" xr:uid="{3543FBFD-13FE-4B31-B52D-6FDB51BCF330}"/>
    <cellStyle name="Normal 8 2 6 2 4" xfId="20082" xr:uid="{02E11B48-EADE-4436-8EF0-6E24C68BE684}"/>
    <cellStyle name="Normal 8 2 6 2 5" xfId="28529" xr:uid="{606C3B1D-7B82-4B94-825E-E8F754A48797}"/>
    <cellStyle name="Normal 8 2 6 3" xfId="5257" xr:uid="{00000000-0005-0000-0000-0000221D0000}"/>
    <cellStyle name="Normal 8 2 6 3 2" xfId="13707" xr:uid="{53C072E2-B44D-4350-8BC6-4995DDB69F19}"/>
    <cellStyle name="Normal 8 2 6 3 3" xfId="22154" xr:uid="{13B8E9EF-7327-4D2E-8D5C-20A8AB14CF99}"/>
    <cellStyle name="Normal 8 2 6 3 4" xfId="30601" xr:uid="{7624D011-35E1-4585-B5B9-8FEF3460CDD1}"/>
    <cellStyle name="Normal 8 2 6 4" xfId="9489" xr:uid="{9B13FE93-6DC3-4EE6-A97D-F16267F65C4A}"/>
    <cellStyle name="Normal 8 2 6 5" xfId="17937" xr:uid="{568206C1-7A6F-4F91-82ED-544FF310D1DA}"/>
    <cellStyle name="Normal 8 2 6 6" xfId="26384" xr:uid="{FD40E8CE-FE14-4A60-9FFC-CCECFD030960}"/>
    <cellStyle name="Normal 8 2 7" xfId="1363" xr:uid="{00000000-0005-0000-0000-0000231D0000}"/>
    <cellStyle name="Normal 8 2 7 2" xfId="3593" xr:uid="{00000000-0005-0000-0000-0000241D0000}"/>
    <cellStyle name="Normal 8 2 7 2 2" xfId="7815" xr:uid="{00000000-0005-0000-0000-0000251D0000}"/>
    <cellStyle name="Normal 8 2 7 2 2 2" xfId="16265" xr:uid="{681C24BC-BFAF-4C41-8269-9C976FFF963A}"/>
    <cellStyle name="Normal 8 2 7 2 2 3" xfId="24712" xr:uid="{936BA394-387D-4A16-8AB8-37E6717A9832}"/>
    <cellStyle name="Normal 8 2 7 2 2 4" xfId="33159" xr:uid="{4155E134-6B44-494B-987B-FE052AA1D77F}"/>
    <cellStyle name="Normal 8 2 7 2 3" xfId="12047" xr:uid="{C780772C-6826-4C18-8842-C601116ED4E8}"/>
    <cellStyle name="Normal 8 2 7 2 4" xfId="20495" xr:uid="{7F9C16A7-6F3B-4432-AE6F-9CBD97AD85E6}"/>
    <cellStyle name="Normal 8 2 7 2 5" xfId="28942" xr:uid="{6B14F53D-D654-4BBD-B726-4B50CCCB5809}"/>
    <cellStyle name="Normal 8 2 7 3" xfId="5670" xr:uid="{00000000-0005-0000-0000-0000261D0000}"/>
    <cellStyle name="Normal 8 2 7 3 2" xfId="14120" xr:uid="{D2C00824-E5FF-400F-9B65-D22B4AEF4915}"/>
    <cellStyle name="Normal 8 2 7 3 3" xfId="22567" xr:uid="{A4FCE861-AE11-499E-B9EF-3F1A7AA98C6E}"/>
    <cellStyle name="Normal 8 2 7 3 4" xfId="31014" xr:uid="{CA5117E5-5DE9-4949-947A-F418CEF082E7}"/>
    <cellStyle name="Normal 8 2 7 4" xfId="9902" xr:uid="{DB5E3C48-4BA1-4B9C-A053-33E572B43A12}"/>
    <cellStyle name="Normal 8 2 7 5" xfId="18350" xr:uid="{1FA89B9C-57D6-40D2-8C9D-7D2EE3B3C762}"/>
    <cellStyle name="Normal 8 2 7 6" xfId="26797" xr:uid="{00A8EAF5-B8E0-4B28-BD6B-833E9842CEF1}"/>
    <cellStyle name="Normal 8 2 8" xfId="1776" xr:uid="{00000000-0005-0000-0000-0000271D0000}"/>
    <cellStyle name="Normal 8 2 8 2" xfId="4006" xr:uid="{00000000-0005-0000-0000-0000281D0000}"/>
    <cellStyle name="Normal 8 2 8 2 2" xfId="8228" xr:uid="{00000000-0005-0000-0000-0000291D0000}"/>
    <cellStyle name="Normal 8 2 8 2 2 2" xfId="16678" xr:uid="{B2451E7B-9347-4FF9-99CE-2A0E481CF697}"/>
    <cellStyle name="Normal 8 2 8 2 2 3" xfId="25125" xr:uid="{5B40AC1C-D5D2-41E7-B7DC-C1F6F3CEBD3A}"/>
    <cellStyle name="Normal 8 2 8 2 2 4" xfId="33572" xr:uid="{09BD8FBF-434C-40C8-A46F-9F8BCB2A927D}"/>
    <cellStyle name="Normal 8 2 8 2 3" xfId="12460" xr:uid="{D4F4FF04-B993-41B8-8DB6-BA00FA176BDA}"/>
    <cellStyle name="Normal 8 2 8 2 4" xfId="20908" xr:uid="{7CF65F8A-416E-4E00-90B2-BEF424BA3252}"/>
    <cellStyle name="Normal 8 2 8 2 5" xfId="29355" xr:uid="{3725F39E-DB7D-46AA-9061-9EB11B17B114}"/>
    <cellStyle name="Normal 8 2 8 3" xfId="6083" xr:uid="{00000000-0005-0000-0000-00002A1D0000}"/>
    <cellStyle name="Normal 8 2 8 3 2" xfId="14533" xr:uid="{44B45E20-3942-4F9F-884E-5AD70E8EBEF6}"/>
    <cellStyle name="Normal 8 2 8 3 3" xfId="22980" xr:uid="{5E1B1004-12DF-41FA-9031-DA49D90B2B6F}"/>
    <cellStyle name="Normal 8 2 8 3 4" xfId="31427" xr:uid="{2125730D-25E2-4945-AF8F-5EDD95AE4E5B}"/>
    <cellStyle name="Normal 8 2 8 4" xfId="10315" xr:uid="{4ADAEE36-0EB3-4D29-8ADD-4025434DC724}"/>
    <cellStyle name="Normal 8 2 8 5" xfId="18763" xr:uid="{1BAB5D8F-E5DA-404E-8A0C-CA2B09FAA28B}"/>
    <cellStyle name="Normal 8 2 8 6" xfId="27210" xr:uid="{7D725425-5381-4CF2-B941-C52F23B70913}"/>
    <cellStyle name="Normal 8 2 9" xfId="2190" xr:uid="{00000000-0005-0000-0000-00002B1D0000}"/>
    <cellStyle name="Normal 8 2 9 2" xfId="4419" xr:uid="{00000000-0005-0000-0000-00002C1D0000}"/>
    <cellStyle name="Normal 8 2 9 2 2" xfId="8641" xr:uid="{00000000-0005-0000-0000-00002D1D0000}"/>
    <cellStyle name="Normal 8 2 9 2 2 2" xfId="17091" xr:uid="{D8391E1C-9599-493A-9B51-F785C864937E}"/>
    <cellStyle name="Normal 8 2 9 2 2 3" xfId="25538" xr:uid="{D1A7730C-04EA-4C21-B879-2CDFB9EFA85D}"/>
    <cellStyle name="Normal 8 2 9 2 2 4" xfId="33985" xr:uid="{0BA22163-1ECB-46D2-97CD-9597A91843F3}"/>
    <cellStyle name="Normal 8 2 9 2 3" xfId="12873" xr:uid="{819A74F3-FEAF-4F90-A936-FADCF3799DEB}"/>
    <cellStyle name="Normal 8 2 9 2 4" xfId="21321" xr:uid="{010F340F-F751-4297-9196-7FB3F6DB9B00}"/>
    <cellStyle name="Normal 8 2 9 2 5" xfId="29768" xr:uid="{7907FFFE-30E7-4AE6-B4F4-2082D2489BB4}"/>
    <cellStyle name="Normal 8 2 9 3" xfId="6496" xr:uid="{00000000-0005-0000-0000-00002E1D0000}"/>
    <cellStyle name="Normal 8 2 9 3 2" xfId="14946" xr:uid="{51CEC83E-A457-49C8-9D9D-CF0C63A62DD8}"/>
    <cellStyle name="Normal 8 2 9 3 3" xfId="23393" xr:uid="{AB6497AF-C4C8-440B-848B-CE374DFAD568}"/>
    <cellStyle name="Normal 8 2 9 3 4" xfId="31840" xr:uid="{0AC5B3CA-B705-4F96-B321-4E0FB22F6562}"/>
    <cellStyle name="Normal 8 2 9 4" xfId="10728" xr:uid="{3D846128-D687-45FB-A6A1-553FEE0E0B2F}"/>
    <cellStyle name="Normal 8 2 9 5" xfId="19176" xr:uid="{88659312-CE2C-46DD-946D-66132A3D0D01}"/>
    <cellStyle name="Normal 8 2 9 6" xfId="27623" xr:uid="{285C47CB-D1E0-4E7C-BD60-2CBA12A28A9E}"/>
    <cellStyle name="Normal 8 3" xfId="495" xr:uid="{00000000-0005-0000-0000-00002F1D0000}"/>
    <cellStyle name="Normal 8 3 10" xfId="4860" xr:uid="{00000000-0005-0000-0000-0000301D0000}"/>
    <cellStyle name="Normal 8 3 10 2" xfId="13310" xr:uid="{C0B8B00E-DC23-49B5-B457-1D3685C2F078}"/>
    <cellStyle name="Normal 8 3 10 3" xfId="21757" xr:uid="{F537287E-95B0-424D-BD11-B60924E14284}"/>
    <cellStyle name="Normal 8 3 10 4" xfId="30204" xr:uid="{ED241491-D5EB-452A-BF94-6518506DE5F7}"/>
    <cellStyle name="Normal 8 3 11" xfId="9092" xr:uid="{F1C5D8EA-99D5-4EA9-9EBB-C54E027A648D}"/>
    <cellStyle name="Normal 8 3 12" xfId="17540" xr:uid="{7145BD6E-4ED9-49DA-83F6-82082389C7A8}"/>
    <cellStyle name="Normal 8 3 13" xfId="25987" xr:uid="{154BBA7D-3A30-4765-BC9F-C71F36F0D6DF}"/>
    <cellStyle name="Normal 8 3 2" xfId="496" xr:uid="{00000000-0005-0000-0000-0000311D0000}"/>
    <cellStyle name="Normal 8 3 2 10" xfId="9093" xr:uid="{54418665-56E3-46DD-84D7-D978B48C79D5}"/>
    <cellStyle name="Normal 8 3 2 11" xfId="17541" xr:uid="{759A9C2B-4F39-4851-A56D-341892D6D861}"/>
    <cellStyle name="Normal 8 3 2 12" xfId="25988" xr:uid="{84DA00FC-9DF2-4501-88A8-3FC43E9D7541}"/>
    <cellStyle name="Normal 8 3 2 2" xfId="497" xr:uid="{00000000-0005-0000-0000-0000321D0000}"/>
    <cellStyle name="Normal 8 3 2 2 10" xfId="17542" xr:uid="{9F115B99-B12E-42BA-9AC1-124BA068CC2D}"/>
    <cellStyle name="Normal 8 3 2 2 11" xfId="25989" xr:uid="{3DE23FF1-AC31-41AA-B00D-CFD9EC806DA0}"/>
    <cellStyle name="Normal 8 3 2 2 2" xfId="498" xr:uid="{00000000-0005-0000-0000-0000331D0000}"/>
    <cellStyle name="Normal 8 3 2 2 2 10" xfId="25990" xr:uid="{2689DCFB-1CA4-4C6D-BB78-4B8885E29395}"/>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B05892B8-8CC9-4066-B56C-A238777882D4}"/>
    <cellStyle name="Normal 8 3 2 2 2 2 2 2 3" xfId="24318" xr:uid="{CFBC0160-03E1-45B4-9342-EF0C16232006}"/>
    <cellStyle name="Normal 8 3 2 2 2 2 2 2 4" xfId="32765" xr:uid="{B8E291E2-451B-42DA-8E56-EB94B09233C7}"/>
    <cellStyle name="Normal 8 3 2 2 2 2 2 3" xfId="11653" xr:uid="{90D6AF9A-649E-462B-84E3-15196E6A2004}"/>
    <cellStyle name="Normal 8 3 2 2 2 2 2 4" xfId="20101" xr:uid="{2B384D52-0562-445C-91AB-E46E6E52D8A5}"/>
    <cellStyle name="Normal 8 3 2 2 2 2 2 5" xfId="28548" xr:uid="{8955DD8F-7D7E-4EF7-A1EE-3D7AF6221CAC}"/>
    <cellStyle name="Normal 8 3 2 2 2 2 3" xfId="5276" xr:uid="{00000000-0005-0000-0000-0000371D0000}"/>
    <cellStyle name="Normal 8 3 2 2 2 2 3 2" xfId="13726" xr:uid="{258E9903-B2DC-4ADC-9AAC-7BEBEB906204}"/>
    <cellStyle name="Normal 8 3 2 2 2 2 3 3" xfId="22173" xr:uid="{B4E67FB7-4F0C-41A7-B397-B93041BB3956}"/>
    <cellStyle name="Normal 8 3 2 2 2 2 3 4" xfId="30620" xr:uid="{7281E937-FADB-4D9B-9A70-924E0FB5918F}"/>
    <cellStyle name="Normal 8 3 2 2 2 2 4" xfId="9508" xr:uid="{C3543694-3121-4097-B707-427E97DABDCB}"/>
    <cellStyle name="Normal 8 3 2 2 2 2 5" xfId="17956" xr:uid="{109167DA-1772-47E6-A0B5-A3714EB4EAE4}"/>
    <cellStyle name="Normal 8 3 2 2 2 2 6" xfId="26403" xr:uid="{C7DEB098-6591-4276-BF8C-5C11514AE27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730E5E2D-CB88-4ED2-86F3-981298BE2CA0}"/>
    <cellStyle name="Normal 8 3 2 2 2 3 2 2 3" xfId="24731" xr:uid="{5332FC26-BE61-4D1C-A910-8F6BA624BE91}"/>
    <cellStyle name="Normal 8 3 2 2 2 3 2 2 4" xfId="33178" xr:uid="{61DB2512-29BF-41E8-AE59-5284ACD2BE96}"/>
    <cellStyle name="Normal 8 3 2 2 2 3 2 3" xfId="12066" xr:uid="{B93461E4-EFD9-47B7-B688-D39D2AC0FA66}"/>
    <cellStyle name="Normal 8 3 2 2 2 3 2 4" xfId="20514" xr:uid="{2017493C-5CD4-4A56-9D05-035A247BE71D}"/>
    <cellStyle name="Normal 8 3 2 2 2 3 2 5" xfId="28961" xr:uid="{B594660F-5496-4EA3-B036-2A4A9AB9F87C}"/>
    <cellStyle name="Normal 8 3 2 2 2 3 3" xfId="5689" xr:uid="{00000000-0005-0000-0000-00003B1D0000}"/>
    <cellStyle name="Normal 8 3 2 2 2 3 3 2" xfId="14139" xr:uid="{8A91C75D-2CD2-4FED-A952-F293C82DB7B6}"/>
    <cellStyle name="Normal 8 3 2 2 2 3 3 3" xfId="22586" xr:uid="{54B3E81B-9A64-4610-AD8B-B0EF10780EC2}"/>
    <cellStyle name="Normal 8 3 2 2 2 3 3 4" xfId="31033" xr:uid="{58EF1C34-B258-430F-9A47-DAD99491AB4C}"/>
    <cellStyle name="Normal 8 3 2 2 2 3 4" xfId="9921" xr:uid="{0B133C1E-67E4-4065-A974-7085C46B80AC}"/>
    <cellStyle name="Normal 8 3 2 2 2 3 5" xfId="18369" xr:uid="{5E73DBD8-7B43-4C38-B0A3-BA3F093C2710}"/>
    <cellStyle name="Normal 8 3 2 2 2 3 6" xfId="26816" xr:uid="{BB0BAF58-FA60-419D-B531-0A512C5EEE4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1684594D-A55C-45EE-9E62-567873B0A8CE}"/>
    <cellStyle name="Normal 8 3 2 2 2 4 2 2 3" xfId="25144" xr:uid="{0BF06DEB-8D21-42D8-96B9-E695DDD4854D}"/>
    <cellStyle name="Normal 8 3 2 2 2 4 2 2 4" xfId="33591" xr:uid="{3C16CE70-E3A6-4191-83AB-9E28FECA408E}"/>
    <cellStyle name="Normal 8 3 2 2 2 4 2 3" xfId="12479" xr:uid="{B886EBDC-EAFD-48DE-B38D-B743DB734243}"/>
    <cellStyle name="Normal 8 3 2 2 2 4 2 4" xfId="20927" xr:uid="{333918F7-BD59-4897-920D-F4A20BA57D19}"/>
    <cellStyle name="Normal 8 3 2 2 2 4 2 5" xfId="29374" xr:uid="{3B68BAE9-0ABC-433E-A44D-ABE88E81489A}"/>
    <cellStyle name="Normal 8 3 2 2 2 4 3" xfId="6102" xr:uid="{00000000-0005-0000-0000-00003F1D0000}"/>
    <cellStyle name="Normal 8 3 2 2 2 4 3 2" xfId="14552" xr:uid="{BF79F526-73C6-4752-AFCF-911E72DC4677}"/>
    <cellStyle name="Normal 8 3 2 2 2 4 3 3" xfId="22999" xr:uid="{46C87701-F2DC-40FA-B998-C70B405657B6}"/>
    <cellStyle name="Normal 8 3 2 2 2 4 3 4" xfId="31446" xr:uid="{C5EF57BF-59D2-48CE-911D-90293B5A9566}"/>
    <cellStyle name="Normal 8 3 2 2 2 4 4" xfId="10334" xr:uid="{AF1180A8-E05C-4988-BD0B-C417A7143F66}"/>
    <cellStyle name="Normal 8 3 2 2 2 4 5" xfId="18782" xr:uid="{3598C23C-E301-4527-83D1-0FE76E4DCF8F}"/>
    <cellStyle name="Normal 8 3 2 2 2 4 6" xfId="27229" xr:uid="{E5296F0E-4282-40BD-B35D-09E474BE14E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5837DA20-2792-4F16-BBE3-4793CAB8B2B9}"/>
    <cellStyle name="Normal 8 3 2 2 2 5 2 2 3" xfId="25557" xr:uid="{433C7972-C18F-4E66-9E9A-3101D9FC928E}"/>
    <cellStyle name="Normal 8 3 2 2 2 5 2 2 4" xfId="34004" xr:uid="{A1D5B192-A217-4982-8841-550101AAF5F8}"/>
    <cellStyle name="Normal 8 3 2 2 2 5 2 3" xfId="12892" xr:uid="{F4A9C243-314B-44F7-B53C-268D6BB5F7F0}"/>
    <cellStyle name="Normal 8 3 2 2 2 5 2 4" xfId="21340" xr:uid="{F181DA2F-192A-4B16-9B0F-1DF52D4B5B91}"/>
    <cellStyle name="Normal 8 3 2 2 2 5 2 5" xfId="29787" xr:uid="{5FF4F6BF-F799-49F7-AB55-5A7B67BB3999}"/>
    <cellStyle name="Normal 8 3 2 2 2 5 3" xfId="6515" xr:uid="{00000000-0005-0000-0000-0000431D0000}"/>
    <cellStyle name="Normal 8 3 2 2 2 5 3 2" xfId="14965" xr:uid="{8E42D773-0473-48B7-B7BA-DFE8B83B0D60}"/>
    <cellStyle name="Normal 8 3 2 2 2 5 3 3" xfId="23412" xr:uid="{BD992DA6-CA10-4336-9450-9AE463DD1149}"/>
    <cellStyle name="Normal 8 3 2 2 2 5 3 4" xfId="31859" xr:uid="{825F0F64-D74F-4CC5-A7DD-C275EDFB6C8F}"/>
    <cellStyle name="Normal 8 3 2 2 2 5 4" xfId="10747" xr:uid="{F470CE3D-A72E-40E4-9DF6-2175050573CE}"/>
    <cellStyle name="Normal 8 3 2 2 2 5 5" xfId="19195" xr:uid="{CA57DE23-CD72-45DE-916A-D60101E48422}"/>
    <cellStyle name="Normal 8 3 2 2 2 5 6" xfId="27642" xr:uid="{069CBCA6-6715-445C-B619-34F72FF225A6}"/>
    <cellStyle name="Normal 8 3 2 2 2 6" xfId="2645" xr:uid="{00000000-0005-0000-0000-0000441D0000}"/>
    <cellStyle name="Normal 8 3 2 2 2 6 2" xfId="6928" xr:uid="{00000000-0005-0000-0000-0000451D0000}"/>
    <cellStyle name="Normal 8 3 2 2 2 6 2 2" xfId="15378" xr:uid="{2A9639A7-3740-4245-BFAF-EBE27ED321E8}"/>
    <cellStyle name="Normal 8 3 2 2 2 6 2 3" xfId="23825" xr:uid="{8020357C-815B-4F19-9567-B5A9EC9754BE}"/>
    <cellStyle name="Normal 8 3 2 2 2 6 2 4" xfId="32272" xr:uid="{6BE3ABAB-B4AB-444D-8537-892504EBEF11}"/>
    <cellStyle name="Normal 8 3 2 2 2 6 3" xfId="11160" xr:uid="{8208B1DA-BB2A-42EB-9ECA-CC46C06AE1E9}"/>
    <cellStyle name="Normal 8 3 2 2 2 6 4" xfId="19608" xr:uid="{F193A79F-5AB2-400A-AA59-8CD803723EFB}"/>
    <cellStyle name="Normal 8 3 2 2 2 6 5" xfId="28055" xr:uid="{AD871AA1-4763-4DF6-9EBA-2DD90B18DB06}"/>
    <cellStyle name="Normal 8 3 2 2 2 7" xfId="4863" xr:uid="{00000000-0005-0000-0000-0000461D0000}"/>
    <cellStyle name="Normal 8 3 2 2 2 7 2" xfId="13313" xr:uid="{0243C510-2C3B-413D-BF9C-F9571C0234E8}"/>
    <cellStyle name="Normal 8 3 2 2 2 7 3" xfId="21760" xr:uid="{421EAE03-57C3-4DBC-8DDD-0BA2752A0178}"/>
    <cellStyle name="Normal 8 3 2 2 2 7 4" xfId="30207" xr:uid="{2675AE41-EDC7-40B3-AA16-2A8DC46EFF20}"/>
    <cellStyle name="Normal 8 3 2 2 2 8" xfId="9095" xr:uid="{69F048F2-01EE-4312-AAE2-9B95E01E22F4}"/>
    <cellStyle name="Normal 8 3 2 2 2 9" xfId="17543" xr:uid="{9D2DB0CF-6F44-420F-8194-C11134C78F39}"/>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DF334C7C-1711-49B9-8E30-F0801BE7D25E}"/>
    <cellStyle name="Normal 8 3 2 2 3 2 2 3" xfId="24317" xr:uid="{78EE9E78-D037-4DDC-BCF6-50F36AC4A9FC}"/>
    <cellStyle name="Normal 8 3 2 2 3 2 2 4" xfId="32764" xr:uid="{9E30C69E-03DE-4C9A-9403-0384789B425E}"/>
    <cellStyle name="Normal 8 3 2 2 3 2 3" xfId="11652" xr:uid="{ED09C813-6104-4081-B72F-DDC837D3D480}"/>
    <cellStyle name="Normal 8 3 2 2 3 2 4" xfId="20100" xr:uid="{36B08EDC-4BBC-4DFB-88AC-1F51BF879CF1}"/>
    <cellStyle name="Normal 8 3 2 2 3 2 5" xfId="28547" xr:uid="{2FDA1906-7C04-4237-8BC8-4289EF0333BF}"/>
    <cellStyle name="Normal 8 3 2 2 3 3" xfId="5275" xr:uid="{00000000-0005-0000-0000-00004A1D0000}"/>
    <cellStyle name="Normal 8 3 2 2 3 3 2" xfId="13725" xr:uid="{731F201D-74D2-418D-BD00-8F49A0A95253}"/>
    <cellStyle name="Normal 8 3 2 2 3 3 3" xfId="22172" xr:uid="{AE03E5D9-C1E1-4686-A639-F4093904B68B}"/>
    <cellStyle name="Normal 8 3 2 2 3 3 4" xfId="30619" xr:uid="{CDA9E421-8F41-4CE4-A6E1-210A11A95BCB}"/>
    <cellStyle name="Normal 8 3 2 2 3 4" xfId="9507" xr:uid="{6BBCC8FC-C647-4BD4-854E-3F0D128D8DF7}"/>
    <cellStyle name="Normal 8 3 2 2 3 5" xfId="17955" xr:uid="{9F95C1E8-D4D9-457B-8E9F-B9B24AD3C724}"/>
    <cellStyle name="Normal 8 3 2 2 3 6" xfId="26402" xr:uid="{26A648F0-96DB-4C45-8E5C-D1A16B24E12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BCC7B8F8-1D5A-4EA2-820C-61FACF4A51EA}"/>
    <cellStyle name="Normal 8 3 2 2 4 2 2 3" xfId="24730" xr:uid="{32B38711-63BB-4EF9-9115-30F9BA8B268E}"/>
    <cellStyle name="Normal 8 3 2 2 4 2 2 4" xfId="33177" xr:uid="{DCD8B711-C65B-4AF0-A9BC-F06C872011AC}"/>
    <cellStyle name="Normal 8 3 2 2 4 2 3" xfId="12065" xr:uid="{425B6FE8-169E-4351-AD1A-37B22B0AEB05}"/>
    <cellStyle name="Normal 8 3 2 2 4 2 4" xfId="20513" xr:uid="{3EF3E992-AB87-4D30-8A11-70ED5B762832}"/>
    <cellStyle name="Normal 8 3 2 2 4 2 5" xfId="28960" xr:uid="{D96AF227-8A12-4747-9C84-ECBE694451E7}"/>
    <cellStyle name="Normal 8 3 2 2 4 3" xfId="5688" xr:uid="{00000000-0005-0000-0000-00004E1D0000}"/>
    <cellStyle name="Normal 8 3 2 2 4 3 2" xfId="14138" xr:uid="{3177B051-F5D9-430C-B572-661974C77655}"/>
    <cellStyle name="Normal 8 3 2 2 4 3 3" xfId="22585" xr:uid="{99400FB8-C064-4134-906F-DA01E58A297B}"/>
    <cellStyle name="Normal 8 3 2 2 4 3 4" xfId="31032" xr:uid="{183B3134-0E57-4B94-9381-F45C14E18334}"/>
    <cellStyle name="Normal 8 3 2 2 4 4" xfId="9920" xr:uid="{C7EC31D8-3BC0-429E-8222-BE5CC119F7A5}"/>
    <cellStyle name="Normal 8 3 2 2 4 5" xfId="18368" xr:uid="{57A0E018-ABB8-49AA-BB50-CEA4BC329932}"/>
    <cellStyle name="Normal 8 3 2 2 4 6" xfId="26815" xr:uid="{D1871D5D-86C8-436C-B1B8-D9F69858396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2F2CEA8E-8455-4C2A-9235-235AE29BDF0F}"/>
    <cellStyle name="Normal 8 3 2 2 5 2 2 3" xfId="25143" xr:uid="{ABF7A073-4DEF-4B8C-B350-92C585E50D83}"/>
    <cellStyle name="Normal 8 3 2 2 5 2 2 4" xfId="33590" xr:uid="{8A3CAE92-6F20-4618-A1D2-6547F21757CF}"/>
    <cellStyle name="Normal 8 3 2 2 5 2 3" xfId="12478" xr:uid="{428D332A-DA49-49F0-8922-061FBCDFD1F7}"/>
    <cellStyle name="Normal 8 3 2 2 5 2 4" xfId="20926" xr:uid="{ECC331A7-4FFD-4575-ACD4-093152DC2921}"/>
    <cellStyle name="Normal 8 3 2 2 5 2 5" xfId="29373" xr:uid="{A3D73655-AAC3-4618-8786-1FBD1D9C31CB}"/>
    <cellStyle name="Normal 8 3 2 2 5 3" xfId="6101" xr:uid="{00000000-0005-0000-0000-0000521D0000}"/>
    <cellStyle name="Normal 8 3 2 2 5 3 2" xfId="14551" xr:uid="{7EE2A112-E5E5-43DD-80FE-2AD89F560F31}"/>
    <cellStyle name="Normal 8 3 2 2 5 3 3" xfId="22998" xr:uid="{6DD671AF-84D1-48F7-8FE4-BF07360D2EFE}"/>
    <cellStyle name="Normal 8 3 2 2 5 3 4" xfId="31445" xr:uid="{57EB863F-4764-44E5-92A9-94E96103D66C}"/>
    <cellStyle name="Normal 8 3 2 2 5 4" xfId="10333" xr:uid="{B74B7BF6-DFDE-4BD5-8152-2AC2F7A6B0CB}"/>
    <cellStyle name="Normal 8 3 2 2 5 5" xfId="18781" xr:uid="{FFBEC512-AFF8-47D9-BE22-AC1481BC702E}"/>
    <cellStyle name="Normal 8 3 2 2 5 6" xfId="27228" xr:uid="{00577934-DCEC-451C-A2F0-1F4D00A19633}"/>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10E390B5-3D12-4B8F-BA5B-7B71AF0E3EF0}"/>
    <cellStyle name="Normal 8 3 2 2 6 2 2 3" xfId="25556" xr:uid="{E65BA502-4926-4474-A296-E52143935BFA}"/>
    <cellStyle name="Normal 8 3 2 2 6 2 2 4" xfId="34003" xr:uid="{C419E712-AD71-4C24-BFA3-370A59F85FA1}"/>
    <cellStyle name="Normal 8 3 2 2 6 2 3" xfId="12891" xr:uid="{BFC0002C-BCF6-4664-BAE7-77857A32BDF2}"/>
    <cellStyle name="Normal 8 3 2 2 6 2 4" xfId="21339" xr:uid="{397F6D57-19FD-4BEF-A545-04683B065811}"/>
    <cellStyle name="Normal 8 3 2 2 6 2 5" xfId="29786" xr:uid="{B331969A-6C43-45AF-91B0-1C0F802D5A04}"/>
    <cellStyle name="Normal 8 3 2 2 6 3" xfId="6514" xr:uid="{00000000-0005-0000-0000-0000561D0000}"/>
    <cellStyle name="Normal 8 3 2 2 6 3 2" xfId="14964" xr:uid="{76B24143-E95B-48CF-9691-C21BFE924EFB}"/>
    <cellStyle name="Normal 8 3 2 2 6 3 3" xfId="23411" xr:uid="{7812C8C9-102E-45BB-A36E-46B00D429924}"/>
    <cellStyle name="Normal 8 3 2 2 6 3 4" xfId="31858" xr:uid="{32D89C1D-47C3-48A4-BC69-94AFFE4EFB27}"/>
    <cellStyle name="Normal 8 3 2 2 6 4" xfId="10746" xr:uid="{A0B985B4-9EAA-4779-8FE0-12E09F1D7060}"/>
    <cellStyle name="Normal 8 3 2 2 6 5" xfId="19194" xr:uid="{63E9F480-8ABE-46E3-9E06-D15902D40074}"/>
    <cellStyle name="Normal 8 3 2 2 6 6" xfId="27641" xr:uid="{A57D53EA-88D2-4D61-AF33-C0230DAAA358}"/>
    <cellStyle name="Normal 8 3 2 2 7" xfId="2644" xr:uid="{00000000-0005-0000-0000-0000571D0000}"/>
    <cellStyle name="Normal 8 3 2 2 7 2" xfId="6927" xr:uid="{00000000-0005-0000-0000-0000581D0000}"/>
    <cellStyle name="Normal 8 3 2 2 7 2 2" xfId="15377" xr:uid="{FFCB102D-B570-4664-B516-557FC4B5F1C4}"/>
    <cellStyle name="Normal 8 3 2 2 7 2 3" xfId="23824" xr:uid="{42057AE2-74E9-4755-B70E-07A52CDD45C1}"/>
    <cellStyle name="Normal 8 3 2 2 7 2 4" xfId="32271" xr:uid="{1CFAA985-0EF6-4ECF-80B3-8F277B5DBD1E}"/>
    <cellStyle name="Normal 8 3 2 2 7 3" xfId="11159" xr:uid="{07EE5576-CC9E-4F25-BDC2-DAF8D41875EE}"/>
    <cellStyle name="Normal 8 3 2 2 7 4" xfId="19607" xr:uid="{72E1731D-436F-4441-ADB1-CE33CF79A758}"/>
    <cellStyle name="Normal 8 3 2 2 7 5" xfId="28054" xr:uid="{2310DF52-3EDD-4D1D-A136-34DAF44648E4}"/>
    <cellStyle name="Normal 8 3 2 2 8" xfId="4862" xr:uid="{00000000-0005-0000-0000-0000591D0000}"/>
    <cellStyle name="Normal 8 3 2 2 8 2" xfId="13312" xr:uid="{14630220-0010-454C-B6B3-B680F53EFDEB}"/>
    <cellStyle name="Normal 8 3 2 2 8 3" xfId="21759" xr:uid="{E913E115-668D-4B36-BE29-D8BFDEB700A5}"/>
    <cellStyle name="Normal 8 3 2 2 8 4" xfId="30206" xr:uid="{A4C48471-7BA6-4A21-A052-FDCD0369BB42}"/>
    <cellStyle name="Normal 8 3 2 2 9" xfId="9094" xr:uid="{5BA058E5-88B9-4FAB-8597-8CD5E3864ABA}"/>
    <cellStyle name="Normal 8 3 2 3" xfId="499" xr:uid="{00000000-0005-0000-0000-00005A1D0000}"/>
    <cellStyle name="Normal 8 3 2 3 10" xfId="25991" xr:uid="{CD7D7020-DC74-43E3-A035-4CA5CA552D21}"/>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EF3994B1-514B-460B-8634-D972BA201426}"/>
    <cellStyle name="Normal 8 3 2 3 2 2 2 3" xfId="24319" xr:uid="{48C496F3-A829-4143-B0AF-D9D6D15514A3}"/>
    <cellStyle name="Normal 8 3 2 3 2 2 2 4" xfId="32766" xr:uid="{D438F600-CC57-4AEF-86B7-FBF368B60FC2}"/>
    <cellStyle name="Normal 8 3 2 3 2 2 3" xfId="11654" xr:uid="{DAA1ABBE-BED1-4B89-8063-6658530E1735}"/>
    <cellStyle name="Normal 8 3 2 3 2 2 4" xfId="20102" xr:uid="{6EF0BF81-0ADB-4572-89D8-1609D111B933}"/>
    <cellStyle name="Normal 8 3 2 3 2 2 5" xfId="28549" xr:uid="{B67F85F5-3A58-489F-9E75-FA9ABDF8BA5F}"/>
    <cellStyle name="Normal 8 3 2 3 2 3" xfId="5277" xr:uid="{00000000-0005-0000-0000-00005E1D0000}"/>
    <cellStyle name="Normal 8 3 2 3 2 3 2" xfId="13727" xr:uid="{3CFB7001-B08E-4DE7-8BEC-26113D75EBF7}"/>
    <cellStyle name="Normal 8 3 2 3 2 3 3" xfId="22174" xr:uid="{89027F22-2D9E-4E89-BF5E-CF619E394C85}"/>
    <cellStyle name="Normal 8 3 2 3 2 3 4" xfId="30621" xr:uid="{FABBE298-E1B1-48D5-A57E-8DA136D7595E}"/>
    <cellStyle name="Normal 8 3 2 3 2 4" xfId="9509" xr:uid="{22D4656C-BDDF-492C-B640-A05E97638366}"/>
    <cellStyle name="Normal 8 3 2 3 2 5" xfId="17957" xr:uid="{B99F9E4D-B5F8-4829-AA50-745D3364D82A}"/>
    <cellStyle name="Normal 8 3 2 3 2 6" xfId="26404" xr:uid="{6F67491E-4048-4C33-8060-7AF744ED48E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AFF55740-920F-4A66-A14A-6159B353FECE}"/>
    <cellStyle name="Normal 8 3 2 3 3 2 2 3" xfId="24732" xr:uid="{EA6DE973-8EA8-4A2A-B7B6-46E71D6290B9}"/>
    <cellStyle name="Normal 8 3 2 3 3 2 2 4" xfId="33179" xr:uid="{53FE3084-C0B4-4831-B68E-31B3B4D742E1}"/>
    <cellStyle name="Normal 8 3 2 3 3 2 3" xfId="12067" xr:uid="{EEDE6A06-8D38-4106-99C7-AAD0389105B8}"/>
    <cellStyle name="Normal 8 3 2 3 3 2 4" xfId="20515" xr:uid="{D0EFAFBB-0CAC-4EED-A04E-068A7480307B}"/>
    <cellStyle name="Normal 8 3 2 3 3 2 5" xfId="28962" xr:uid="{5A18E0C1-275C-40CF-B089-28B855AD9696}"/>
    <cellStyle name="Normal 8 3 2 3 3 3" xfId="5690" xr:uid="{00000000-0005-0000-0000-0000621D0000}"/>
    <cellStyle name="Normal 8 3 2 3 3 3 2" xfId="14140" xr:uid="{02E29580-16FF-4A6B-8714-9D4BC27DF979}"/>
    <cellStyle name="Normal 8 3 2 3 3 3 3" xfId="22587" xr:uid="{86977691-A7A4-4443-AF83-EAB8009E139E}"/>
    <cellStyle name="Normal 8 3 2 3 3 3 4" xfId="31034" xr:uid="{18EC2B4F-3135-4074-A05E-2C2E5E956394}"/>
    <cellStyle name="Normal 8 3 2 3 3 4" xfId="9922" xr:uid="{943848CE-F1A7-4073-9B2C-1D0410767F94}"/>
    <cellStyle name="Normal 8 3 2 3 3 5" xfId="18370" xr:uid="{6219CF0E-1BD6-485F-B93C-C408BB6C5313}"/>
    <cellStyle name="Normal 8 3 2 3 3 6" xfId="26817" xr:uid="{E3668CFF-040C-493B-B774-A4871D034A0E}"/>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DBC92216-6788-45B6-B70C-78779C03AD71}"/>
    <cellStyle name="Normal 8 3 2 3 4 2 2 3" xfId="25145" xr:uid="{349FFB8C-2292-49F8-AD76-2D88E4F0E514}"/>
    <cellStyle name="Normal 8 3 2 3 4 2 2 4" xfId="33592" xr:uid="{62E6B7ED-1C9C-449F-AD33-640F50A3F85A}"/>
    <cellStyle name="Normal 8 3 2 3 4 2 3" xfId="12480" xr:uid="{52BB6B6F-BE72-44A5-82CA-42C04B09F858}"/>
    <cellStyle name="Normal 8 3 2 3 4 2 4" xfId="20928" xr:uid="{BE85E670-E5EE-4F01-B3EC-F9734F53A158}"/>
    <cellStyle name="Normal 8 3 2 3 4 2 5" xfId="29375" xr:uid="{92DAA5C9-AB14-4F3B-A498-B445E164EBCA}"/>
    <cellStyle name="Normal 8 3 2 3 4 3" xfId="6103" xr:uid="{00000000-0005-0000-0000-0000661D0000}"/>
    <cellStyle name="Normal 8 3 2 3 4 3 2" xfId="14553" xr:uid="{3188ABC5-BE74-4C3A-B15D-7C50AA7BB9C3}"/>
    <cellStyle name="Normal 8 3 2 3 4 3 3" xfId="23000" xr:uid="{DE1442BF-91FA-44D7-B4EF-C9D8B09F177E}"/>
    <cellStyle name="Normal 8 3 2 3 4 3 4" xfId="31447" xr:uid="{AB1F2619-F4DE-41F9-8430-B1592498EEF0}"/>
    <cellStyle name="Normal 8 3 2 3 4 4" xfId="10335" xr:uid="{85702311-1889-42AB-B87B-4589A79B1BE2}"/>
    <cellStyle name="Normal 8 3 2 3 4 5" xfId="18783" xr:uid="{EED9D460-5E90-4FA6-848B-FFB45F293867}"/>
    <cellStyle name="Normal 8 3 2 3 4 6" xfId="27230" xr:uid="{EE35F350-61A3-4153-BFDA-3DE51634B0F3}"/>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A14E8440-0B09-4D4E-A9A2-9EF6011A6E5D}"/>
    <cellStyle name="Normal 8 3 2 3 5 2 2 3" xfId="25558" xr:uid="{259CACBB-08CE-4D0F-B64C-3A6A21DC3138}"/>
    <cellStyle name="Normal 8 3 2 3 5 2 2 4" xfId="34005" xr:uid="{19DDE879-25F6-4C68-91F4-1B6542B99B88}"/>
    <cellStyle name="Normal 8 3 2 3 5 2 3" xfId="12893" xr:uid="{0141BAD8-596C-4719-B846-115833907184}"/>
    <cellStyle name="Normal 8 3 2 3 5 2 4" xfId="21341" xr:uid="{46733A8D-5E1B-4C8B-A8E0-7C7CF34A226D}"/>
    <cellStyle name="Normal 8 3 2 3 5 2 5" xfId="29788" xr:uid="{AE41C51F-0BCB-4893-A666-EE43E603B7C3}"/>
    <cellStyle name="Normal 8 3 2 3 5 3" xfId="6516" xr:uid="{00000000-0005-0000-0000-00006A1D0000}"/>
    <cellStyle name="Normal 8 3 2 3 5 3 2" xfId="14966" xr:uid="{8B6BD62B-049E-4F39-AC43-55C15B02101D}"/>
    <cellStyle name="Normal 8 3 2 3 5 3 3" xfId="23413" xr:uid="{56C85903-015A-4CCD-9602-A22B9CE6CEFC}"/>
    <cellStyle name="Normal 8 3 2 3 5 3 4" xfId="31860" xr:uid="{6A118CAD-D67A-4037-9190-EA17E702E516}"/>
    <cellStyle name="Normal 8 3 2 3 5 4" xfId="10748" xr:uid="{890BF4AC-8312-4078-B540-B32B1D58A75E}"/>
    <cellStyle name="Normal 8 3 2 3 5 5" xfId="19196" xr:uid="{D375379C-AAF6-4912-875A-546301F2641E}"/>
    <cellStyle name="Normal 8 3 2 3 5 6" xfId="27643" xr:uid="{403027A5-F2AD-4C2B-B80A-BD16172BD529}"/>
    <cellStyle name="Normal 8 3 2 3 6" xfId="2646" xr:uid="{00000000-0005-0000-0000-00006B1D0000}"/>
    <cellStyle name="Normal 8 3 2 3 6 2" xfId="6929" xr:uid="{00000000-0005-0000-0000-00006C1D0000}"/>
    <cellStyle name="Normal 8 3 2 3 6 2 2" xfId="15379" xr:uid="{C482C54C-E642-4E1B-9E9B-6DF68A5242FE}"/>
    <cellStyle name="Normal 8 3 2 3 6 2 3" xfId="23826" xr:uid="{53502C66-102A-43B2-8544-F41877DA3BA1}"/>
    <cellStyle name="Normal 8 3 2 3 6 2 4" xfId="32273" xr:uid="{90A08D4B-E61C-4ACE-840D-9509BFDA10E7}"/>
    <cellStyle name="Normal 8 3 2 3 6 3" xfId="11161" xr:uid="{5C9E71AE-DBC7-4754-A1FE-BD74D07BFBB7}"/>
    <cellStyle name="Normal 8 3 2 3 6 4" xfId="19609" xr:uid="{147637E4-2DF3-4BD3-B8EF-67CC5211AE5D}"/>
    <cellStyle name="Normal 8 3 2 3 6 5" xfId="28056" xr:uid="{3183669C-58A8-4851-8FBD-DD9E3BE247F2}"/>
    <cellStyle name="Normal 8 3 2 3 7" xfId="4864" xr:uid="{00000000-0005-0000-0000-00006D1D0000}"/>
    <cellStyle name="Normal 8 3 2 3 7 2" xfId="13314" xr:uid="{8BAD3F08-CA11-4B3E-A8BE-F8D2C7DA82FF}"/>
    <cellStyle name="Normal 8 3 2 3 7 3" xfId="21761" xr:uid="{63772A75-EC5A-41F8-9CE5-BF21F7E65B0C}"/>
    <cellStyle name="Normal 8 3 2 3 7 4" xfId="30208" xr:uid="{60A4C13F-FCAB-44D3-8434-2355602BECEB}"/>
    <cellStyle name="Normal 8 3 2 3 8" xfId="9096" xr:uid="{9912D566-4ADD-436E-A348-41AD79AE61F1}"/>
    <cellStyle name="Normal 8 3 2 3 9" xfId="17544" xr:uid="{358569EB-157E-465E-A0F3-A8DA25CB1BED}"/>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E0552D8D-5D9F-4F71-801E-452430F8ACA4}"/>
    <cellStyle name="Normal 8 3 2 4 2 2 3" xfId="24316" xr:uid="{3DFCD0B3-C180-479E-8466-D8B652DB0877}"/>
    <cellStyle name="Normal 8 3 2 4 2 2 4" xfId="32763" xr:uid="{0C2AFDE3-016B-4618-9BC5-3E8EC91A104D}"/>
    <cellStyle name="Normal 8 3 2 4 2 3" xfId="11651" xr:uid="{6155D1D5-C527-4B1F-9B4D-CDF21AFF264B}"/>
    <cellStyle name="Normal 8 3 2 4 2 4" xfId="20099" xr:uid="{B34FBFC9-2786-4932-9F3E-EDCA6856E2D2}"/>
    <cellStyle name="Normal 8 3 2 4 2 5" xfId="28546" xr:uid="{C48E4A22-38FC-49DD-BA36-C242B9589C56}"/>
    <cellStyle name="Normal 8 3 2 4 3" xfId="5274" xr:uid="{00000000-0005-0000-0000-0000711D0000}"/>
    <cellStyle name="Normal 8 3 2 4 3 2" xfId="13724" xr:uid="{796D75D2-C22D-41DD-99B8-0F6BB0448A3D}"/>
    <cellStyle name="Normal 8 3 2 4 3 3" xfId="22171" xr:uid="{E296A88A-0748-4323-8A49-39F9B8FF1D87}"/>
    <cellStyle name="Normal 8 3 2 4 3 4" xfId="30618" xr:uid="{9C199B5D-5C9F-475A-B171-828AED4D84D4}"/>
    <cellStyle name="Normal 8 3 2 4 4" xfId="9506" xr:uid="{55B48E51-E6E5-4DB4-9B98-8C58F4925DDD}"/>
    <cellStyle name="Normal 8 3 2 4 5" xfId="17954" xr:uid="{06762FF1-D436-473A-A2FB-BCB73D383F3F}"/>
    <cellStyle name="Normal 8 3 2 4 6" xfId="26401" xr:uid="{0242974F-3973-47D3-8D8B-B05474BBBBB2}"/>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9EF22D76-3C0A-4E5B-9C7D-429BA6CEF847}"/>
    <cellStyle name="Normal 8 3 2 5 2 2 3" xfId="24729" xr:uid="{394E2EDB-9CBD-4D0D-B260-CD353D007975}"/>
    <cellStyle name="Normal 8 3 2 5 2 2 4" xfId="33176" xr:uid="{987B95AF-E7D4-476D-A917-62E5815048D8}"/>
    <cellStyle name="Normal 8 3 2 5 2 3" xfId="12064" xr:uid="{827B52AC-3320-485B-A365-236717B13C9D}"/>
    <cellStyle name="Normal 8 3 2 5 2 4" xfId="20512" xr:uid="{78C989FB-D356-49E7-B691-E5DA8F7F9D2A}"/>
    <cellStyle name="Normal 8 3 2 5 2 5" xfId="28959" xr:uid="{D7A69EFD-0F00-4DB5-91F8-CFF56814071B}"/>
    <cellStyle name="Normal 8 3 2 5 3" xfId="5687" xr:uid="{00000000-0005-0000-0000-0000751D0000}"/>
    <cellStyle name="Normal 8 3 2 5 3 2" xfId="14137" xr:uid="{8F5D0C76-8260-43E7-910C-2356C8EB5086}"/>
    <cellStyle name="Normal 8 3 2 5 3 3" xfId="22584" xr:uid="{74BCB15C-683F-4570-B37C-5CF23E8C0BAD}"/>
    <cellStyle name="Normal 8 3 2 5 3 4" xfId="31031" xr:uid="{70DA2B5B-CDFD-47DC-93A2-2109F9A8A94E}"/>
    <cellStyle name="Normal 8 3 2 5 4" xfId="9919" xr:uid="{32C07CF5-B5B4-4FF3-A30A-423EE32910D9}"/>
    <cellStyle name="Normal 8 3 2 5 5" xfId="18367" xr:uid="{D017A02C-4C48-4F22-B927-E394A7D1F54B}"/>
    <cellStyle name="Normal 8 3 2 5 6" xfId="26814" xr:uid="{18024F3E-E780-4BCD-AC43-AC6B2DE6504C}"/>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75C8B333-84EF-4C75-A699-0FCB9537A2AE}"/>
    <cellStyle name="Normal 8 3 2 6 2 2 3" xfId="25142" xr:uid="{09404E4E-27E3-4107-BD7F-B5D286074AB8}"/>
    <cellStyle name="Normal 8 3 2 6 2 2 4" xfId="33589" xr:uid="{070D7AF7-8C75-42C0-B2AE-9A2DBF564EB6}"/>
    <cellStyle name="Normal 8 3 2 6 2 3" xfId="12477" xr:uid="{5058204B-266B-47AC-8802-F187BE2A009C}"/>
    <cellStyle name="Normal 8 3 2 6 2 4" xfId="20925" xr:uid="{4A0F0CBC-ABBC-4425-8E07-3F6EA6B1D509}"/>
    <cellStyle name="Normal 8 3 2 6 2 5" xfId="29372" xr:uid="{E5DC44B1-9372-4DBC-907D-6ECFD55F099C}"/>
    <cellStyle name="Normal 8 3 2 6 3" xfId="6100" xr:uid="{00000000-0005-0000-0000-0000791D0000}"/>
    <cellStyle name="Normal 8 3 2 6 3 2" xfId="14550" xr:uid="{677B0523-C2FD-445F-9BF5-BD4AA9CF3CA2}"/>
    <cellStyle name="Normal 8 3 2 6 3 3" xfId="22997" xr:uid="{9BBC461D-5020-40E5-91AC-41BC540757FC}"/>
    <cellStyle name="Normal 8 3 2 6 3 4" xfId="31444" xr:uid="{4EB0E38B-0AD3-46B8-BB0F-BC1A37A7B45C}"/>
    <cellStyle name="Normal 8 3 2 6 4" xfId="10332" xr:uid="{63229FCB-7320-4DFA-8B94-82F297C3D816}"/>
    <cellStyle name="Normal 8 3 2 6 5" xfId="18780" xr:uid="{B456F7E3-1B0F-4D1C-ACDA-140B3B8D5D83}"/>
    <cellStyle name="Normal 8 3 2 6 6" xfId="27227" xr:uid="{1F45C6BA-5ADC-4238-8D1B-C1D5DD750030}"/>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311E4176-9641-41C8-BE8A-9B70CA92A30A}"/>
    <cellStyle name="Normal 8 3 2 7 2 2 3" xfId="25555" xr:uid="{350147A7-AF64-471B-8759-59271A8C7347}"/>
    <cellStyle name="Normal 8 3 2 7 2 2 4" xfId="34002" xr:uid="{027473FB-A150-4ADB-8E37-F711F87F7994}"/>
    <cellStyle name="Normal 8 3 2 7 2 3" xfId="12890" xr:uid="{848ABAA9-2B1D-4317-805A-7B1449FCBCFC}"/>
    <cellStyle name="Normal 8 3 2 7 2 4" xfId="21338" xr:uid="{27756975-0091-4448-B1B5-7F6A99D91398}"/>
    <cellStyle name="Normal 8 3 2 7 2 5" xfId="29785" xr:uid="{E42BC30D-788E-4A12-AFAA-CDA33E01A4F9}"/>
    <cellStyle name="Normal 8 3 2 7 3" xfId="6513" xr:uid="{00000000-0005-0000-0000-00007D1D0000}"/>
    <cellStyle name="Normal 8 3 2 7 3 2" xfId="14963" xr:uid="{A0CB85A6-0F5D-452F-B1C7-075E497D0187}"/>
    <cellStyle name="Normal 8 3 2 7 3 3" xfId="23410" xr:uid="{8A270AF9-9443-4537-B32E-1F3AD5C1C7A3}"/>
    <cellStyle name="Normal 8 3 2 7 3 4" xfId="31857" xr:uid="{5822BDDD-8EFF-4C07-A182-DAD0713D2BF1}"/>
    <cellStyle name="Normal 8 3 2 7 4" xfId="10745" xr:uid="{21166662-F802-46FC-BCF0-5B7B5D908C6A}"/>
    <cellStyle name="Normal 8 3 2 7 5" xfId="19193" xr:uid="{16675D7E-6D8E-4574-BD65-62C03F812632}"/>
    <cellStyle name="Normal 8 3 2 7 6" xfId="27640" xr:uid="{7CD0AA32-058B-4CFF-AC3D-96AF3AFAF323}"/>
    <cellStyle name="Normal 8 3 2 8" xfId="2643" xr:uid="{00000000-0005-0000-0000-00007E1D0000}"/>
    <cellStyle name="Normal 8 3 2 8 2" xfId="6926" xr:uid="{00000000-0005-0000-0000-00007F1D0000}"/>
    <cellStyle name="Normal 8 3 2 8 2 2" xfId="15376" xr:uid="{2E09152B-3EC9-4BB0-92A5-0848F26EEC0D}"/>
    <cellStyle name="Normal 8 3 2 8 2 3" xfId="23823" xr:uid="{6EDD822D-FB5D-41B5-B9CA-C492D5BD6099}"/>
    <cellStyle name="Normal 8 3 2 8 2 4" xfId="32270" xr:uid="{3CB599A4-14F8-4552-BC6D-147FCF0743CB}"/>
    <cellStyle name="Normal 8 3 2 8 3" xfId="11158" xr:uid="{3F929FAB-17FD-466C-AA0A-3DCB0CB90501}"/>
    <cellStyle name="Normal 8 3 2 8 4" xfId="19606" xr:uid="{EB234229-0C41-4EEE-93A3-6B23A4757EB6}"/>
    <cellStyle name="Normal 8 3 2 8 5" xfId="28053" xr:uid="{2D075786-51AA-4C92-B64B-FF4839BFEE2C}"/>
    <cellStyle name="Normal 8 3 2 9" xfId="4861" xr:uid="{00000000-0005-0000-0000-0000801D0000}"/>
    <cellStyle name="Normal 8 3 2 9 2" xfId="13311" xr:uid="{8D219196-ACED-4734-8647-3991BF243FD7}"/>
    <cellStyle name="Normal 8 3 2 9 3" xfId="21758" xr:uid="{2F7BF66A-0D14-44A3-B9BE-9D2BD4BF9606}"/>
    <cellStyle name="Normal 8 3 2 9 4" xfId="30205" xr:uid="{6E0F94D9-F6CD-4D5B-89D3-1AD22C727652}"/>
    <cellStyle name="Normal 8 3 3" xfId="500" xr:uid="{00000000-0005-0000-0000-0000811D0000}"/>
    <cellStyle name="Normal 8 3 3 10" xfId="17545" xr:uid="{8CF21A09-6401-4930-A67D-CB29F65EACE8}"/>
    <cellStyle name="Normal 8 3 3 11" xfId="25992" xr:uid="{F34612AD-F0DF-4139-BB88-F001CED6ADB7}"/>
    <cellStyle name="Normal 8 3 3 2" xfId="501" xr:uid="{00000000-0005-0000-0000-0000821D0000}"/>
    <cellStyle name="Normal 8 3 3 2 10" xfId="25993" xr:uid="{397962B4-84C0-4C4E-89F8-20DEE39E7638}"/>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C86EDAE6-81E4-4D69-8053-F0CBD358D4AA}"/>
    <cellStyle name="Normal 8 3 3 2 2 2 2 3" xfId="24321" xr:uid="{6FDCE84C-23AE-4074-BC1E-5F907B58CFD4}"/>
    <cellStyle name="Normal 8 3 3 2 2 2 2 4" xfId="32768" xr:uid="{7688C56E-6AAF-4EC9-B636-53BEEA843C51}"/>
    <cellStyle name="Normal 8 3 3 2 2 2 3" xfId="11656" xr:uid="{495CE534-A7BC-4D10-B365-CE0D2687BA90}"/>
    <cellStyle name="Normal 8 3 3 2 2 2 4" xfId="20104" xr:uid="{237C6BCE-21CF-496D-AEFE-4F023CED68AE}"/>
    <cellStyle name="Normal 8 3 3 2 2 2 5" xfId="28551" xr:uid="{A4EE3E2F-A62C-48A9-ACE3-EBACCACAD5DC}"/>
    <cellStyle name="Normal 8 3 3 2 2 3" xfId="5279" xr:uid="{00000000-0005-0000-0000-0000861D0000}"/>
    <cellStyle name="Normal 8 3 3 2 2 3 2" xfId="13729" xr:uid="{1D639D8A-FE41-467B-AEAF-6A27B8488521}"/>
    <cellStyle name="Normal 8 3 3 2 2 3 3" xfId="22176" xr:uid="{36DD6BF7-936F-4759-94A9-A56DBD7D970A}"/>
    <cellStyle name="Normal 8 3 3 2 2 3 4" xfId="30623" xr:uid="{F38B4784-888D-464C-AB84-1AEDCD238158}"/>
    <cellStyle name="Normal 8 3 3 2 2 4" xfId="9511" xr:uid="{568469B5-3505-4C3E-ABE2-87F3D997BE90}"/>
    <cellStyle name="Normal 8 3 3 2 2 5" xfId="17959" xr:uid="{D238B9D4-9876-4503-A3AA-C9815B230961}"/>
    <cellStyle name="Normal 8 3 3 2 2 6" xfId="26406" xr:uid="{25064D29-5F6F-47E6-9AD8-1106CA0CB96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CE81E498-C126-46B4-A9B9-18D97BF2ADEE}"/>
    <cellStyle name="Normal 8 3 3 2 3 2 2 3" xfId="24734" xr:uid="{AFCCC349-0119-4609-A60B-BAFAE70D5113}"/>
    <cellStyle name="Normal 8 3 3 2 3 2 2 4" xfId="33181" xr:uid="{E6E36993-3310-48DC-B890-49303C178E6B}"/>
    <cellStyle name="Normal 8 3 3 2 3 2 3" xfId="12069" xr:uid="{963A976C-EDAF-4F22-8C52-3D5EE035B0A4}"/>
    <cellStyle name="Normal 8 3 3 2 3 2 4" xfId="20517" xr:uid="{AF26F46D-6236-4490-9BE0-E16D87E4DFF0}"/>
    <cellStyle name="Normal 8 3 3 2 3 2 5" xfId="28964" xr:uid="{68D05F36-2C70-4C0F-BED5-40BB063722DD}"/>
    <cellStyle name="Normal 8 3 3 2 3 3" xfId="5692" xr:uid="{00000000-0005-0000-0000-00008A1D0000}"/>
    <cellStyle name="Normal 8 3 3 2 3 3 2" xfId="14142" xr:uid="{549C2E0D-9707-4CB4-94C0-A3122584A109}"/>
    <cellStyle name="Normal 8 3 3 2 3 3 3" xfId="22589" xr:uid="{72A5EA39-26F7-49E0-A5EF-F08E9811E921}"/>
    <cellStyle name="Normal 8 3 3 2 3 3 4" xfId="31036" xr:uid="{76CD939F-D03A-496C-9916-D2A5B4FB7957}"/>
    <cellStyle name="Normal 8 3 3 2 3 4" xfId="9924" xr:uid="{1E5C86D3-6C2E-40CB-93B6-6FBD0F3685D4}"/>
    <cellStyle name="Normal 8 3 3 2 3 5" xfId="18372" xr:uid="{B7D3F22A-21F4-4408-A21A-6A9987997B19}"/>
    <cellStyle name="Normal 8 3 3 2 3 6" xfId="26819" xr:uid="{8A3E83DF-DFE7-4DB8-9D7E-C48B97436E7F}"/>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11A63047-DBB1-4229-A25D-1AE52AAD3D36}"/>
    <cellStyle name="Normal 8 3 3 2 4 2 2 3" xfId="25147" xr:uid="{58126AC4-D537-4E2C-93E6-3B08C83767B8}"/>
    <cellStyle name="Normal 8 3 3 2 4 2 2 4" xfId="33594" xr:uid="{645B08AE-2440-453B-AE9D-DF5C4C60E4D1}"/>
    <cellStyle name="Normal 8 3 3 2 4 2 3" xfId="12482" xr:uid="{CDB636E4-14EA-4303-98EC-4262E4178E1B}"/>
    <cellStyle name="Normal 8 3 3 2 4 2 4" xfId="20930" xr:uid="{FEF4AB31-1F39-4746-AF6F-FF696A6575DB}"/>
    <cellStyle name="Normal 8 3 3 2 4 2 5" xfId="29377" xr:uid="{2310CFB0-51C8-4DE4-A570-737212ECCA2E}"/>
    <cellStyle name="Normal 8 3 3 2 4 3" xfId="6105" xr:uid="{00000000-0005-0000-0000-00008E1D0000}"/>
    <cellStyle name="Normal 8 3 3 2 4 3 2" xfId="14555" xr:uid="{5CA6FBD6-48CC-4B8E-A77B-F2C77050509C}"/>
    <cellStyle name="Normal 8 3 3 2 4 3 3" xfId="23002" xr:uid="{77B651F8-E4C0-472F-B113-3E0F9F1CEAB7}"/>
    <cellStyle name="Normal 8 3 3 2 4 3 4" xfId="31449" xr:uid="{F247D198-6D7E-4CBD-B3F0-4961C37D7B6B}"/>
    <cellStyle name="Normal 8 3 3 2 4 4" xfId="10337" xr:uid="{8C736439-A67A-4ED4-BEB9-954DCCBE0571}"/>
    <cellStyle name="Normal 8 3 3 2 4 5" xfId="18785" xr:uid="{C6CF8255-1FC4-4B33-8ECD-26C09563A37D}"/>
    <cellStyle name="Normal 8 3 3 2 4 6" xfId="27232" xr:uid="{418A28E1-15CB-4FC2-99A6-A8D1483D800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5BEE8818-B65A-474A-B3D7-53C81FB208F0}"/>
    <cellStyle name="Normal 8 3 3 2 5 2 2 3" xfId="25560" xr:uid="{2901B825-DA51-439D-8810-9BEC1BFD1E67}"/>
    <cellStyle name="Normal 8 3 3 2 5 2 2 4" xfId="34007" xr:uid="{7C572E3D-0FB1-4431-A113-FD693CFFA4F5}"/>
    <cellStyle name="Normal 8 3 3 2 5 2 3" xfId="12895" xr:uid="{6BBEB209-683B-4CA7-8785-43E5B1D565F5}"/>
    <cellStyle name="Normal 8 3 3 2 5 2 4" xfId="21343" xr:uid="{21269CC7-41AA-4E39-9F24-CD396F8D7894}"/>
    <cellStyle name="Normal 8 3 3 2 5 2 5" xfId="29790" xr:uid="{E904BA64-292E-4C0B-BA56-BA4D4522DA79}"/>
    <cellStyle name="Normal 8 3 3 2 5 3" xfId="6518" xr:uid="{00000000-0005-0000-0000-0000921D0000}"/>
    <cellStyle name="Normal 8 3 3 2 5 3 2" xfId="14968" xr:uid="{B00503C2-38F6-487E-BC5E-26A32E6DB9CE}"/>
    <cellStyle name="Normal 8 3 3 2 5 3 3" xfId="23415" xr:uid="{1B3855A1-2414-4C04-8B84-831AB041FAD5}"/>
    <cellStyle name="Normal 8 3 3 2 5 3 4" xfId="31862" xr:uid="{3B95D449-F51C-46CE-BF02-99E152001A3A}"/>
    <cellStyle name="Normal 8 3 3 2 5 4" xfId="10750" xr:uid="{4F9A45E4-D8DB-4B82-A9EE-ADB1421EA56B}"/>
    <cellStyle name="Normal 8 3 3 2 5 5" xfId="19198" xr:uid="{26065EA8-E7D8-4A91-BABB-48C34F0030C3}"/>
    <cellStyle name="Normal 8 3 3 2 5 6" xfId="27645" xr:uid="{4CB3C451-C32B-435A-9A9C-04CB537BC6FE}"/>
    <cellStyle name="Normal 8 3 3 2 6" xfId="2648" xr:uid="{00000000-0005-0000-0000-0000931D0000}"/>
    <cellStyle name="Normal 8 3 3 2 6 2" xfId="6931" xr:uid="{00000000-0005-0000-0000-0000941D0000}"/>
    <cellStyle name="Normal 8 3 3 2 6 2 2" xfId="15381" xr:uid="{226E857F-DECF-450F-9844-11F64DB426A8}"/>
    <cellStyle name="Normal 8 3 3 2 6 2 3" xfId="23828" xr:uid="{754EB938-2149-40A1-811B-43BE29844C26}"/>
    <cellStyle name="Normal 8 3 3 2 6 2 4" xfId="32275" xr:uid="{6FF0E08F-8EC5-4F99-BA40-32D4FCA0FDC2}"/>
    <cellStyle name="Normal 8 3 3 2 6 3" xfId="11163" xr:uid="{19CACAB9-73DD-4607-81F5-8668CF673123}"/>
    <cellStyle name="Normal 8 3 3 2 6 4" xfId="19611" xr:uid="{08B509FB-7BA0-4D5E-8085-4BC954B4DD34}"/>
    <cellStyle name="Normal 8 3 3 2 6 5" xfId="28058" xr:uid="{5D2FFE8F-4619-49C2-80F4-F6DC4F36EB6D}"/>
    <cellStyle name="Normal 8 3 3 2 7" xfId="4866" xr:uid="{00000000-0005-0000-0000-0000951D0000}"/>
    <cellStyle name="Normal 8 3 3 2 7 2" xfId="13316" xr:uid="{5D8130D2-3F19-44A5-AF46-8BAB868D80E4}"/>
    <cellStyle name="Normal 8 3 3 2 7 3" xfId="21763" xr:uid="{97136181-83EE-4CF3-A664-125DEE22D25D}"/>
    <cellStyle name="Normal 8 3 3 2 7 4" xfId="30210" xr:uid="{7552F1C1-6EDC-4624-B29B-FF5F44708EEC}"/>
    <cellStyle name="Normal 8 3 3 2 8" xfId="9098" xr:uid="{CE3482C9-7CA2-42F4-BE9D-639F49891103}"/>
    <cellStyle name="Normal 8 3 3 2 9" xfId="17546" xr:uid="{6AC83FA7-B7D0-4C46-9B82-906D3F23EFE3}"/>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18AF232B-144F-45BD-8F04-D9A2C84CEB0E}"/>
    <cellStyle name="Normal 8 3 3 3 2 2 3" xfId="24320" xr:uid="{CDB2024E-60B6-4EA1-8EAE-732D667868F4}"/>
    <cellStyle name="Normal 8 3 3 3 2 2 4" xfId="32767" xr:uid="{A2B5F0B9-A783-4224-8A41-B15689A12EEA}"/>
    <cellStyle name="Normal 8 3 3 3 2 3" xfId="11655" xr:uid="{533A8AEE-F8BD-4AF5-8B96-054D64A3D806}"/>
    <cellStyle name="Normal 8 3 3 3 2 4" xfId="20103" xr:uid="{35F6B152-9775-4871-8602-72AF45E55241}"/>
    <cellStyle name="Normal 8 3 3 3 2 5" xfId="28550" xr:uid="{FB8976F0-93B7-4E4E-9E53-82F1268F9CB8}"/>
    <cellStyle name="Normal 8 3 3 3 3" xfId="5278" xr:uid="{00000000-0005-0000-0000-0000991D0000}"/>
    <cellStyle name="Normal 8 3 3 3 3 2" xfId="13728" xr:uid="{2C6646B6-1831-4309-809E-7E14DC146DDF}"/>
    <cellStyle name="Normal 8 3 3 3 3 3" xfId="22175" xr:uid="{8B69CAB0-5653-4DC8-92AE-AFFE22C8CF35}"/>
    <cellStyle name="Normal 8 3 3 3 3 4" xfId="30622" xr:uid="{5278ACFA-9ADB-4F80-B889-2FC92D1FB681}"/>
    <cellStyle name="Normal 8 3 3 3 4" xfId="9510" xr:uid="{6D23F782-C2B4-4C48-88EE-862B2DE12AE0}"/>
    <cellStyle name="Normal 8 3 3 3 5" xfId="17958" xr:uid="{1ED2E322-AFE1-4FBB-B9AB-EC8831922805}"/>
    <cellStyle name="Normal 8 3 3 3 6" xfId="26405" xr:uid="{A897A105-A3D3-45C3-AF96-B9604E32F14C}"/>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54C1DAFD-AC26-427C-A1DD-8B5D8F3B1DAF}"/>
    <cellStyle name="Normal 8 3 3 4 2 2 3" xfId="24733" xr:uid="{BDDA1749-EDD8-4096-A558-FF7F5EE37EB2}"/>
    <cellStyle name="Normal 8 3 3 4 2 2 4" xfId="33180" xr:uid="{82064F57-79AD-4EB0-86B5-7684F0E7C735}"/>
    <cellStyle name="Normal 8 3 3 4 2 3" xfId="12068" xr:uid="{C55D378E-DBAD-46BC-AF5E-94223EADCA3C}"/>
    <cellStyle name="Normal 8 3 3 4 2 4" xfId="20516" xr:uid="{6FCB1E53-6D73-4009-9BE8-1B9E4345E07F}"/>
    <cellStyle name="Normal 8 3 3 4 2 5" xfId="28963" xr:uid="{E34E4660-CFA0-4CD8-88F1-FA6E4E893DB5}"/>
    <cellStyle name="Normal 8 3 3 4 3" xfId="5691" xr:uid="{00000000-0005-0000-0000-00009D1D0000}"/>
    <cellStyle name="Normal 8 3 3 4 3 2" xfId="14141" xr:uid="{692568E6-098B-42BD-B210-F35F03A7E0B4}"/>
    <cellStyle name="Normal 8 3 3 4 3 3" xfId="22588" xr:uid="{5A9A4F88-4052-48A5-A452-92FE60CC349C}"/>
    <cellStyle name="Normal 8 3 3 4 3 4" xfId="31035" xr:uid="{71CC505D-7302-401D-A8DB-397B2760C9C0}"/>
    <cellStyle name="Normal 8 3 3 4 4" xfId="9923" xr:uid="{4FFCB1F0-FC4E-4889-B9C2-B33FEE3DB8F1}"/>
    <cellStyle name="Normal 8 3 3 4 5" xfId="18371" xr:uid="{7601520D-33D3-4E00-9B7C-2CD473791C8A}"/>
    <cellStyle name="Normal 8 3 3 4 6" xfId="26818" xr:uid="{A2677207-D81D-4D28-86E2-113A6C0739ED}"/>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BDD0F3F6-9BD4-4CE0-8442-677391467155}"/>
    <cellStyle name="Normal 8 3 3 5 2 2 3" xfId="25146" xr:uid="{5993B62E-4A72-4C07-A9D7-3307B5970227}"/>
    <cellStyle name="Normal 8 3 3 5 2 2 4" xfId="33593" xr:uid="{D0368BA5-E5F3-4E52-9C8F-A155500D87AE}"/>
    <cellStyle name="Normal 8 3 3 5 2 3" xfId="12481" xr:uid="{009A3629-2376-49BD-9B03-7BD578149CA9}"/>
    <cellStyle name="Normal 8 3 3 5 2 4" xfId="20929" xr:uid="{9FF804A1-BA05-4DC3-A51E-94EA2D02962C}"/>
    <cellStyle name="Normal 8 3 3 5 2 5" xfId="29376" xr:uid="{BA7D07D2-8294-4739-A3D9-D453B4A59D2A}"/>
    <cellStyle name="Normal 8 3 3 5 3" xfId="6104" xr:uid="{00000000-0005-0000-0000-0000A11D0000}"/>
    <cellStyle name="Normal 8 3 3 5 3 2" xfId="14554" xr:uid="{C8768E67-4D81-4B79-9846-F7490CC08314}"/>
    <cellStyle name="Normal 8 3 3 5 3 3" xfId="23001" xr:uid="{2BF07003-D6CB-4BD5-82B9-3AE750D2EA20}"/>
    <cellStyle name="Normal 8 3 3 5 3 4" xfId="31448" xr:uid="{6C3BE8D5-D7FD-406F-98CF-01D29A4A3874}"/>
    <cellStyle name="Normal 8 3 3 5 4" xfId="10336" xr:uid="{EE64731E-56DD-494A-8D12-3A039331A83E}"/>
    <cellStyle name="Normal 8 3 3 5 5" xfId="18784" xr:uid="{AE69FC09-8C2D-4105-8806-2F3E26BA1F3F}"/>
    <cellStyle name="Normal 8 3 3 5 6" xfId="27231" xr:uid="{92DF9EC3-F3D4-48BC-BA2E-95F2845A758C}"/>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CF500188-93AA-4CE7-952D-B456282A3CE3}"/>
    <cellStyle name="Normal 8 3 3 6 2 2 3" xfId="25559" xr:uid="{10D85BDB-9A17-4058-8740-37D2B03FC9F2}"/>
    <cellStyle name="Normal 8 3 3 6 2 2 4" xfId="34006" xr:uid="{12BAA038-5573-4CB4-BB09-AE6E98191FA4}"/>
    <cellStyle name="Normal 8 3 3 6 2 3" xfId="12894" xr:uid="{93BF1CFA-FC65-4520-8000-5216A628887F}"/>
    <cellStyle name="Normal 8 3 3 6 2 4" xfId="21342" xr:uid="{515025F2-FB34-4542-8F3B-588C2D407C16}"/>
    <cellStyle name="Normal 8 3 3 6 2 5" xfId="29789" xr:uid="{D040724D-92CE-446A-83C5-0DA9F99E3FA3}"/>
    <cellStyle name="Normal 8 3 3 6 3" xfId="6517" xr:uid="{00000000-0005-0000-0000-0000A51D0000}"/>
    <cellStyle name="Normal 8 3 3 6 3 2" xfId="14967" xr:uid="{95A856D9-381B-4191-AD8E-E5A27CD429A6}"/>
    <cellStyle name="Normal 8 3 3 6 3 3" xfId="23414" xr:uid="{EA495E53-DE3B-458E-B32C-CABD24345946}"/>
    <cellStyle name="Normal 8 3 3 6 3 4" xfId="31861" xr:uid="{53B0D905-3C96-47A8-8A00-82FBF4C119B0}"/>
    <cellStyle name="Normal 8 3 3 6 4" xfId="10749" xr:uid="{C7255CBB-5687-4F89-B8A2-158E02A3486D}"/>
    <cellStyle name="Normal 8 3 3 6 5" xfId="19197" xr:uid="{8FE3DAFC-5D81-49B0-B1F6-DAE7EA2AD90F}"/>
    <cellStyle name="Normal 8 3 3 6 6" xfId="27644" xr:uid="{FC63F034-58DE-4237-98E2-F00886ED6748}"/>
    <cellStyle name="Normal 8 3 3 7" xfId="2647" xr:uid="{00000000-0005-0000-0000-0000A61D0000}"/>
    <cellStyle name="Normal 8 3 3 7 2" xfId="6930" xr:uid="{00000000-0005-0000-0000-0000A71D0000}"/>
    <cellStyle name="Normal 8 3 3 7 2 2" xfId="15380" xr:uid="{981A6AA8-2A89-4EED-9828-EAAF1D7F387E}"/>
    <cellStyle name="Normal 8 3 3 7 2 3" xfId="23827" xr:uid="{29FAD78D-8786-40B5-A3B0-7085B917BA5F}"/>
    <cellStyle name="Normal 8 3 3 7 2 4" xfId="32274" xr:uid="{822E86BD-713E-4ECA-81BE-8E26684E544E}"/>
    <cellStyle name="Normal 8 3 3 7 3" xfId="11162" xr:uid="{BC881E2F-DB6B-4D0F-A56D-A01C513EC4FA}"/>
    <cellStyle name="Normal 8 3 3 7 4" xfId="19610" xr:uid="{0B9E320D-C2B6-4B7E-9E89-74AE236D07BC}"/>
    <cellStyle name="Normal 8 3 3 7 5" xfId="28057" xr:uid="{0887E7D9-8FD5-4825-AAE7-E726467462DD}"/>
    <cellStyle name="Normal 8 3 3 8" xfId="4865" xr:uid="{00000000-0005-0000-0000-0000A81D0000}"/>
    <cellStyle name="Normal 8 3 3 8 2" xfId="13315" xr:uid="{4F82B908-118B-4A70-A4E2-4E8117EF7FC0}"/>
    <cellStyle name="Normal 8 3 3 8 3" xfId="21762" xr:uid="{647E2921-B96A-4EAB-B6C6-BEB099CEA152}"/>
    <cellStyle name="Normal 8 3 3 8 4" xfId="30209" xr:uid="{49837349-83B9-40D6-9364-5BB9C6394464}"/>
    <cellStyle name="Normal 8 3 3 9" xfId="9097" xr:uid="{01408999-B144-493A-8B64-E9787128ABFA}"/>
    <cellStyle name="Normal 8 3 4" xfId="502" xr:uid="{00000000-0005-0000-0000-0000A91D0000}"/>
    <cellStyle name="Normal 8 3 4 10" xfId="25994" xr:uid="{EF079260-05A8-4F56-8D81-99EE98B865B5}"/>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E44F3E8D-CB27-42AF-BC9F-E2357635DD39}"/>
    <cellStyle name="Normal 8 3 4 2 2 2 3" xfId="24322" xr:uid="{83F45BF9-7066-46C5-8333-C1D4FBA28F67}"/>
    <cellStyle name="Normal 8 3 4 2 2 2 4" xfId="32769" xr:uid="{B3523A3A-84BF-402B-AA74-A2A3EFCB1525}"/>
    <cellStyle name="Normal 8 3 4 2 2 3" xfId="11657" xr:uid="{A8747EBC-9A93-4FC3-8B51-621BE7C6ED3A}"/>
    <cellStyle name="Normal 8 3 4 2 2 4" xfId="20105" xr:uid="{485822AE-9F5F-45F5-92C2-4110BF92F62D}"/>
    <cellStyle name="Normal 8 3 4 2 2 5" xfId="28552" xr:uid="{BF99F867-E79B-43F7-879A-C290043752B4}"/>
    <cellStyle name="Normal 8 3 4 2 3" xfId="5280" xr:uid="{00000000-0005-0000-0000-0000AD1D0000}"/>
    <cellStyle name="Normal 8 3 4 2 3 2" xfId="13730" xr:uid="{50284CDD-7F4F-4B65-B350-4FFFD7AD9976}"/>
    <cellStyle name="Normal 8 3 4 2 3 3" xfId="22177" xr:uid="{09603AB9-3F63-471C-A134-E16A7113BB41}"/>
    <cellStyle name="Normal 8 3 4 2 3 4" xfId="30624" xr:uid="{157E967B-0306-430F-9B79-B878A1F488BD}"/>
    <cellStyle name="Normal 8 3 4 2 4" xfId="9512" xr:uid="{B06FF59E-DA55-4724-A59D-74460352E4CF}"/>
    <cellStyle name="Normal 8 3 4 2 5" xfId="17960" xr:uid="{FCB3F4E6-FECF-4B35-9C75-526FCF971090}"/>
    <cellStyle name="Normal 8 3 4 2 6" xfId="26407" xr:uid="{2841EFAA-1456-45EA-B28B-771715132675}"/>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C274DBC7-29BA-41B5-9E10-B3CD30D6F30C}"/>
    <cellStyle name="Normal 8 3 4 3 2 2 3" xfId="24735" xr:uid="{CFC03AB9-F2DA-4BD7-ACA2-AA857086291E}"/>
    <cellStyle name="Normal 8 3 4 3 2 2 4" xfId="33182" xr:uid="{C1198111-8D79-4362-A791-6A7688AB323C}"/>
    <cellStyle name="Normal 8 3 4 3 2 3" xfId="12070" xr:uid="{3F5FCC70-15B9-42E8-950E-E246556626CE}"/>
    <cellStyle name="Normal 8 3 4 3 2 4" xfId="20518" xr:uid="{6A3B4A6A-8916-4761-B959-CC7345B7CE92}"/>
    <cellStyle name="Normal 8 3 4 3 2 5" xfId="28965" xr:uid="{E967B498-5E52-49FB-8717-833462AF447C}"/>
    <cellStyle name="Normal 8 3 4 3 3" xfId="5693" xr:uid="{00000000-0005-0000-0000-0000B11D0000}"/>
    <cellStyle name="Normal 8 3 4 3 3 2" xfId="14143" xr:uid="{5F7E533D-F066-4328-B9F3-D65197834A15}"/>
    <cellStyle name="Normal 8 3 4 3 3 3" xfId="22590" xr:uid="{2C0B089F-CD3C-48EF-8EEC-DD9914E5FCDE}"/>
    <cellStyle name="Normal 8 3 4 3 3 4" xfId="31037" xr:uid="{3A192EC5-8E59-4B57-915F-1AF82BCFD772}"/>
    <cellStyle name="Normal 8 3 4 3 4" xfId="9925" xr:uid="{CC436C7B-E559-4C3E-A6AC-D9FC3072F903}"/>
    <cellStyle name="Normal 8 3 4 3 5" xfId="18373" xr:uid="{953E0CB0-42DE-45B4-8988-1EBBC87E526E}"/>
    <cellStyle name="Normal 8 3 4 3 6" xfId="26820" xr:uid="{07E69EE9-6472-4F19-912A-BB24EC81463C}"/>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E7612338-B29E-4355-845B-C995C3B2C790}"/>
    <cellStyle name="Normal 8 3 4 4 2 2 3" xfId="25148" xr:uid="{CB958414-1727-40AF-8489-644636510B60}"/>
    <cellStyle name="Normal 8 3 4 4 2 2 4" xfId="33595" xr:uid="{8E887911-5E9A-44F3-B4C8-9458DE52E31B}"/>
    <cellStyle name="Normal 8 3 4 4 2 3" xfId="12483" xr:uid="{D8135E8D-D702-4C95-8ED6-31DAA21494BC}"/>
    <cellStyle name="Normal 8 3 4 4 2 4" xfId="20931" xr:uid="{84CBE4BC-5C58-4F3B-B92E-2AF437C4AD72}"/>
    <cellStyle name="Normal 8 3 4 4 2 5" xfId="29378" xr:uid="{DB15FE13-F449-4716-B89E-6962AEDA4A9D}"/>
    <cellStyle name="Normal 8 3 4 4 3" xfId="6106" xr:uid="{00000000-0005-0000-0000-0000B51D0000}"/>
    <cellStyle name="Normal 8 3 4 4 3 2" xfId="14556" xr:uid="{F44D2B0D-7797-4815-8EAC-748369E5D1E4}"/>
    <cellStyle name="Normal 8 3 4 4 3 3" xfId="23003" xr:uid="{7023A5B8-261A-43CD-81C8-0C0AEC754A1B}"/>
    <cellStyle name="Normal 8 3 4 4 3 4" xfId="31450" xr:uid="{D5D638A3-3C80-4147-B2C1-FDAD031FD9AB}"/>
    <cellStyle name="Normal 8 3 4 4 4" xfId="10338" xr:uid="{99F6E40B-0CD6-489C-8BFF-9011561227BE}"/>
    <cellStyle name="Normal 8 3 4 4 5" xfId="18786" xr:uid="{DC4C89EB-4EAE-4FFF-8B85-B118F1213113}"/>
    <cellStyle name="Normal 8 3 4 4 6" xfId="27233" xr:uid="{79560680-F3E2-46AF-8C2E-6BF985FE2FB1}"/>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80307AE8-A973-4BB3-B9D5-F34AE79E139B}"/>
    <cellStyle name="Normal 8 3 4 5 2 2 3" xfId="25561" xr:uid="{6D7F628E-7724-495E-9F3F-812BDAF2EB96}"/>
    <cellStyle name="Normal 8 3 4 5 2 2 4" xfId="34008" xr:uid="{85509CF1-2C57-4F03-94DA-A2AF5DF215A6}"/>
    <cellStyle name="Normal 8 3 4 5 2 3" xfId="12896" xr:uid="{F76EB7F1-9D19-47CE-A24F-A82949551E25}"/>
    <cellStyle name="Normal 8 3 4 5 2 4" xfId="21344" xr:uid="{2FBBDB1B-4B94-4E87-B88C-E66789D8098F}"/>
    <cellStyle name="Normal 8 3 4 5 2 5" xfId="29791" xr:uid="{44AF0FCF-A8B8-4254-926C-C97AE3A097FA}"/>
    <cellStyle name="Normal 8 3 4 5 3" xfId="6519" xr:uid="{00000000-0005-0000-0000-0000B91D0000}"/>
    <cellStyle name="Normal 8 3 4 5 3 2" xfId="14969" xr:uid="{ACB9F79B-3053-4A57-8827-4AAB6A6D5D48}"/>
    <cellStyle name="Normal 8 3 4 5 3 3" xfId="23416" xr:uid="{3374F4C3-AD8B-4B04-9311-C68AA83E3DDD}"/>
    <cellStyle name="Normal 8 3 4 5 3 4" xfId="31863" xr:uid="{A9DB7F40-199F-410B-925A-F6BD18DEB9E4}"/>
    <cellStyle name="Normal 8 3 4 5 4" xfId="10751" xr:uid="{2FE71426-15E4-43DF-A4FE-DDFD491BB7E6}"/>
    <cellStyle name="Normal 8 3 4 5 5" xfId="19199" xr:uid="{007C683D-2AE6-4701-A6A9-B0488695A34C}"/>
    <cellStyle name="Normal 8 3 4 5 6" xfId="27646" xr:uid="{F253B9B6-7F04-4EB1-992F-37794A2CA451}"/>
    <cellStyle name="Normal 8 3 4 6" xfId="2649" xr:uid="{00000000-0005-0000-0000-0000BA1D0000}"/>
    <cellStyle name="Normal 8 3 4 6 2" xfId="6932" xr:uid="{00000000-0005-0000-0000-0000BB1D0000}"/>
    <cellStyle name="Normal 8 3 4 6 2 2" xfId="15382" xr:uid="{194C3544-D1D9-491F-9230-EEBF8D16E60E}"/>
    <cellStyle name="Normal 8 3 4 6 2 3" xfId="23829" xr:uid="{500BF0FE-2815-47E7-9DEC-D744DDC88C67}"/>
    <cellStyle name="Normal 8 3 4 6 2 4" xfId="32276" xr:uid="{63344E61-72C6-4DEB-8D62-DED4EAC0A635}"/>
    <cellStyle name="Normal 8 3 4 6 3" xfId="11164" xr:uid="{169EB930-522A-45ED-87FC-653EDF0C87B1}"/>
    <cellStyle name="Normal 8 3 4 6 4" xfId="19612" xr:uid="{C54BBFF7-4662-4C76-9F3F-5D49012B2719}"/>
    <cellStyle name="Normal 8 3 4 6 5" xfId="28059" xr:uid="{7489B3C3-D2C1-444F-9040-2A5D51902D63}"/>
    <cellStyle name="Normal 8 3 4 7" xfId="4867" xr:uid="{00000000-0005-0000-0000-0000BC1D0000}"/>
    <cellStyle name="Normal 8 3 4 7 2" xfId="13317" xr:uid="{462B807D-E5CA-4744-9098-051F4680914D}"/>
    <cellStyle name="Normal 8 3 4 7 3" xfId="21764" xr:uid="{3A12FA95-56DF-4896-93BA-8B5252DD3B8F}"/>
    <cellStyle name="Normal 8 3 4 7 4" xfId="30211" xr:uid="{C792ABA3-26D0-4B2C-9D18-E698214CDCB3}"/>
    <cellStyle name="Normal 8 3 4 8" xfId="9099" xr:uid="{55319D24-0349-4FFD-8081-14863F00BD84}"/>
    <cellStyle name="Normal 8 3 4 9" xfId="17547" xr:uid="{29236FD3-5330-4F95-BC02-27A789C81D67}"/>
    <cellStyle name="Normal 8 3 5" xfId="962" xr:uid="{00000000-0005-0000-0000-0000BD1D0000}"/>
    <cellStyle name="Normal 8 3 5 2" xfId="3196" xr:uid="{00000000-0005-0000-0000-0000BE1D0000}"/>
    <cellStyle name="Normal 8 3 5 2 2" xfId="7418" xr:uid="{00000000-0005-0000-0000-0000BF1D0000}"/>
    <cellStyle name="Normal 8 3 5 2 2 2" xfId="15868" xr:uid="{BC883500-5228-413F-BDEA-D1AE33C0FCF3}"/>
    <cellStyle name="Normal 8 3 5 2 2 3" xfId="24315" xr:uid="{C62E0297-FD86-483C-ABDC-FE8E58EFDDEA}"/>
    <cellStyle name="Normal 8 3 5 2 2 4" xfId="32762" xr:uid="{4B1D849E-3400-404D-9CFB-6694084E3323}"/>
    <cellStyle name="Normal 8 3 5 2 3" xfId="11650" xr:uid="{E56B151E-083A-43BB-AC14-E0854764F787}"/>
    <cellStyle name="Normal 8 3 5 2 4" xfId="20098" xr:uid="{A40FF2FE-96EE-43D2-A86A-931993E983DF}"/>
    <cellStyle name="Normal 8 3 5 2 5" xfId="28545" xr:uid="{B7008402-529C-4E3E-8A98-FF8C426386E4}"/>
    <cellStyle name="Normal 8 3 5 3" xfId="5273" xr:uid="{00000000-0005-0000-0000-0000C01D0000}"/>
    <cellStyle name="Normal 8 3 5 3 2" xfId="13723" xr:uid="{9A58EBD0-37DF-4E75-BD0E-B77542D8E2E7}"/>
    <cellStyle name="Normal 8 3 5 3 3" xfId="22170" xr:uid="{1304D739-DEE1-45E9-B5F5-8E51DCC7BF2D}"/>
    <cellStyle name="Normal 8 3 5 3 4" xfId="30617" xr:uid="{94AFD6C3-630F-46F1-BAFC-87A491D40CAE}"/>
    <cellStyle name="Normal 8 3 5 4" xfId="9505" xr:uid="{FEE2E06A-A9C2-4AF0-9831-F1FE4E627107}"/>
    <cellStyle name="Normal 8 3 5 5" xfId="17953" xr:uid="{8F51A14E-3D0C-467A-B973-9944B4B156D1}"/>
    <cellStyle name="Normal 8 3 5 6" xfId="26400" xr:uid="{AB12D6A9-C522-43ED-B109-CCF0439AE610}"/>
    <cellStyle name="Normal 8 3 6" xfId="1379" xr:uid="{00000000-0005-0000-0000-0000C11D0000}"/>
    <cellStyle name="Normal 8 3 6 2" xfId="3609" xr:uid="{00000000-0005-0000-0000-0000C21D0000}"/>
    <cellStyle name="Normal 8 3 6 2 2" xfId="7831" xr:uid="{00000000-0005-0000-0000-0000C31D0000}"/>
    <cellStyle name="Normal 8 3 6 2 2 2" xfId="16281" xr:uid="{77CF8FA4-C056-44BA-A279-8682D90FDB9B}"/>
    <cellStyle name="Normal 8 3 6 2 2 3" xfId="24728" xr:uid="{901853AE-12C7-41B9-A2B3-C63B203C858C}"/>
    <cellStyle name="Normal 8 3 6 2 2 4" xfId="33175" xr:uid="{B911B13D-5650-4909-B3C3-72D4B81C9586}"/>
    <cellStyle name="Normal 8 3 6 2 3" xfId="12063" xr:uid="{2C0B5CE9-2FA4-495D-907F-5EED8AB3A16A}"/>
    <cellStyle name="Normal 8 3 6 2 4" xfId="20511" xr:uid="{515D93A3-195E-4371-8170-B239EB1546BB}"/>
    <cellStyle name="Normal 8 3 6 2 5" xfId="28958" xr:uid="{90B590B2-9040-4B3E-A737-A3F4EBB54CDA}"/>
    <cellStyle name="Normal 8 3 6 3" xfId="5686" xr:uid="{00000000-0005-0000-0000-0000C41D0000}"/>
    <cellStyle name="Normal 8 3 6 3 2" xfId="14136" xr:uid="{C93F8000-66E7-4252-B37D-EE549349680D}"/>
    <cellStyle name="Normal 8 3 6 3 3" xfId="22583" xr:uid="{870FAFF0-19BA-46A5-A124-300E38A1016E}"/>
    <cellStyle name="Normal 8 3 6 3 4" xfId="31030" xr:uid="{2AA2025D-7A35-4D9C-BC6B-B8233E87FBDE}"/>
    <cellStyle name="Normal 8 3 6 4" xfId="9918" xr:uid="{D7AF9E52-5C7A-46D0-8A44-9F4AA4F64A38}"/>
    <cellStyle name="Normal 8 3 6 5" xfId="18366" xr:uid="{99FD2B39-907C-4A04-BD1F-60BD09A45818}"/>
    <cellStyle name="Normal 8 3 6 6" xfId="26813" xr:uid="{0416B34B-07EB-4C22-8E11-2D8DE1C2AD95}"/>
    <cellStyle name="Normal 8 3 7" xfId="1792" xr:uid="{00000000-0005-0000-0000-0000C51D0000}"/>
    <cellStyle name="Normal 8 3 7 2" xfId="4022" xr:uid="{00000000-0005-0000-0000-0000C61D0000}"/>
    <cellStyle name="Normal 8 3 7 2 2" xfId="8244" xr:uid="{00000000-0005-0000-0000-0000C71D0000}"/>
    <cellStyle name="Normal 8 3 7 2 2 2" xfId="16694" xr:uid="{3BB7AA72-EEA8-40C1-A3C3-2D26AC1951F0}"/>
    <cellStyle name="Normal 8 3 7 2 2 3" xfId="25141" xr:uid="{CE621785-38A0-4FDA-9452-4BC677DD086A}"/>
    <cellStyle name="Normal 8 3 7 2 2 4" xfId="33588" xr:uid="{C6B273B1-4987-4582-92C1-6D7FDEACBEC1}"/>
    <cellStyle name="Normal 8 3 7 2 3" xfId="12476" xr:uid="{AE0571D4-AAAD-42AA-BD4F-6BA514739AB9}"/>
    <cellStyle name="Normal 8 3 7 2 4" xfId="20924" xr:uid="{B28572DA-40A2-4622-B334-F219EDE8CC96}"/>
    <cellStyle name="Normal 8 3 7 2 5" xfId="29371" xr:uid="{9261AC5F-B7A8-47F4-AB6F-F42056612158}"/>
    <cellStyle name="Normal 8 3 7 3" xfId="6099" xr:uid="{00000000-0005-0000-0000-0000C81D0000}"/>
    <cellStyle name="Normal 8 3 7 3 2" xfId="14549" xr:uid="{033ECD55-9B92-43B1-A2C5-B43AF4A06C1B}"/>
    <cellStyle name="Normal 8 3 7 3 3" xfId="22996" xr:uid="{A010314A-E0EB-4C14-9476-F4DA3FAA79B0}"/>
    <cellStyle name="Normal 8 3 7 3 4" xfId="31443" xr:uid="{EA32DFE7-6363-4A92-96AF-059410ADF1CE}"/>
    <cellStyle name="Normal 8 3 7 4" xfId="10331" xr:uid="{322CE63E-13AD-4559-84CD-1684A0C5DE1B}"/>
    <cellStyle name="Normal 8 3 7 5" xfId="18779" xr:uid="{5D05DB81-782C-41B7-973B-4CB508648BF1}"/>
    <cellStyle name="Normal 8 3 7 6" xfId="27226" xr:uid="{F9330FD5-E443-4E0F-A14E-9B299D4D898F}"/>
    <cellStyle name="Normal 8 3 8" xfId="2206" xr:uid="{00000000-0005-0000-0000-0000C91D0000}"/>
    <cellStyle name="Normal 8 3 8 2" xfId="4435" xr:uid="{00000000-0005-0000-0000-0000CA1D0000}"/>
    <cellStyle name="Normal 8 3 8 2 2" xfId="8657" xr:uid="{00000000-0005-0000-0000-0000CB1D0000}"/>
    <cellStyle name="Normal 8 3 8 2 2 2" xfId="17107" xr:uid="{6092B421-9882-4405-8240-C6AB4819027F}"/>
    <cellStyle name="Normal 8 3 8 2 2 3" xfId="25554" xr:uid="{AF1A92C0-6C69-4773-9799-9AB207AEC27F}"/>
    <cellStyle name="Normal 8 3 8 2 2 4" xfId="34001" xr:uid="{1201DBE9-4D28-405C-91E5-0DD6659B9076}"/>
    <cellStyle name="Normal 8 3 8 2 3" xfId="12889" xr:uid="{1B403974-BB94-4A31-9739-3D28E8828B9B}"/>
    <cellStyle name="Normal 8 3 8 2 4" xfId="21337" xr:uid="{A8C64BF7-DE1F-4D7A-9BF5-949D5561F46B}"/>
    <cellStyle name="Normal 8 3 8 2 5" xfId="29784" xr:uid="{1740F353-95C4-4569-A47B-2DA9F1279544}"/>
    <cellStyle name="Normal 8 3 8 3" xfId="6512" xr:uid="{00000000-0005-0000-0000-0000CC1D0000}"/>
    <cellStyle name="Normal 8 3 8 3 2" xfId="14962" xr:uid="{C155C454-8BAB-4162-9A9B-68CDE10D5660}"/>
    <cellStyle name="Normal 8 3 8 3 3" xfId="23409" xr:uid="{6D5EFCFF-C745-4EEB-9DBC-4DC9F6986B56}"/>
    <cellStyle name="Normal 8 3 8 3 4" xfId="31856" xr:uid="{DD58443D-B6D8-40E8-BC2D-CC7D9E270A36}"/>
    <cellStyle name="Normal 8 3 8 4" xfId="10744" xr:uid="{4208A777-A728-4556-BC38-C4513F4E3BC0}"/>
    <cellStyle name="Normal 8 3 8 5" xfId="19192" xr:uid="{2F95332C-FF45-490F-A9BE-CBC69766FAC2}"/>
    <cellStyle name="Normal 8 3 8 6" xfId="27639" xr:uid="{036C5FAF-5E68-4817-B304-1898F489912C}"/>
    <cellStyle name="Normal 8 3 9" xfId="2642" xr:uid="{00000000-0005-0000-0000-0000CD1D0000}"/>
    <cellStyle name="Normal 8 3 9 2" xfId="6925" xr:uid="{00000000-0005-0000-0000-0000CE1D0000}"/>
    <cellStyle name="Normal 8 3 9 2 2" xfId="15375" xr:uid="{6B0B821E-E01D-408D-BAAE-8F50535DC801}"/>
    <cellStyle name="Normal 8 3 9 2 3" xfId="23822" xr:uid="{07599E48-58ED-4852-A86E-DE7B92BA2E92}"/>
    <cellStyle name="Normal 8 3 9 2 4" xfId="32269" xr:uid="{F41BF9CB-91A1-4716-8334-35BF716808EC}"/>
    <cellStyle name="Normal 8 3 9 3" xfId="11157" xr:uid="{E1384805-2C94-4EFB-9DA3-BCE725B04ACB}"/>
    <cellStyle name="Normal 8 3 9 4" xfId="19605" xr:uid="{1EF13A9D-7563-415F-A273-E158CB718F83}"/>
    <cellStyle name="Normal 8 3 9 5" xfId="28052" xr:uid="{51D506B3-F8D6-47B6-A166-5F58DA5A9C27}"/>
    <cellStyle name="Normal 8 4" xfId="503" xr:uid="{00000000-0005-0000-0000-0000CF1D0000}"/>
    <cellStyle name="Normal 8 4 10" xfId="9100" xr:uid="{9ACE870F-D813-4C87-93B9-7442FCC2387D}"/>
    <cellStyle name="Normal 8 4 11" xfId="17548" xr:uid="{12C39730-5CE1-4104-AF43-BC1498C2912A}"/>
    <cellStyle name="Normal 8 4 12" xfId="25995" xr:uid="{0443BF1E-EBF1-4E3B-965F-CB45684D84F6}"/>
    <cellStyle name="Normal 8 4 2" xfId="504" xr:uid="{00000000-0005-0000-0000-0000D01D0000}"/>
    <cellStyle name="Normal 8 4 2 10" xfId="17549" xr:uid="{68E6B33D-99CE-4F5D-8219-EFE3A5C75364}"/>
    <cellStyle name="Normal 8 4 2 11" xfId="25996" xr:uid="{3527DBA5-3A6F-455A-AF0E-03BC3B088C52}"/>
    <cellStyle name="Normal 8 4 2 2" xfId="505" xr:uid="{00000000-0005-0000-0000-0000D11D0000}"/>
    <cellStyle name="Normal 8 4 2 2 10" xfId="25997" xr:uid="{8B9C3D18-D49B-43E4-AF70-0F6B40FC7A5D}"/>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352C2090-5B1B-4D13-9B6E-2A2198799FFD}"/>
    <cellStyle name="Normal 8 4 2 2 2 2 2 3" xfId="24325" xr:uid="{F8184AEC-07A8-4777-BAEB-31528395E031}"/>
    <cellStyle name="Normal 8 4 2 2 2 2 2 4" xfId="32772" xr:uid="{0E78231E-9D3C-4CEF-8604-9DE8FF2FB505}"/>
    <cellStyle name="Normal 8 4 2 2 2 2 3" xfId="11660" xr:uid="{758B40E0-B3CB-45A9-9E8D-8B05134F86BB}"/>
    <cellStyle name="Normal 8 4 2 2 2 2 4" xfId="20108" xr:uid="{03637A35-A75F-4047-81A7-D82904E4E4B9}"/>
    <cellStyle name="Normal 8 4 2 2 2 2 5" xfId="28555" xr:uid="{3F9F762D-84A7-462A-B51E-8C0F9F6B290B}"/>
    <cellStyle name="Normal 8 4 2 2 2 3" xfId="5283" xr:uid="{00000000-0005-0000-0000-0000D51D0000}"/>
    <cellStyle name="Normal 8 4 2 2 2 3 2" xfId="13733" xr:uid="{7DB4375E-8546-49B4-AC61-5081C5578D33}"/>
    <cellStyle name="Normal 8 4 2 2 2 3 3" xfId="22180" xr:uid="{881A2D77-A8DD-4EF8-8105-8528A4C78B7D}"/>
    <cellStyle name="Normal 8 4 2 2 2 3 4" xfId="30627" xr:uid="{D3A917C9-3571-45D9-A169-676B3F94AFEC}"/>
    <cellStyle name="Normal 8 4 2 2 2 4" xfId="9515" xr:uid="{0410E3BA-9CAC-4DF7-B1E7-B160C8704002}"/>
    <cellStyle name="Normal 8 4 2 2 2 5" xfId="17963" xr:uid="{E0CF9EEB-3C77-4DAB-8D46-1765EB2A1E58}"/>
    <cellStyle name="Normal 8 4 2 2 2 6" xfId="26410" xr:uid="{8CD09A8A-B0EE-4CC3-8EEF-4554DD88763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E6A8FBA4-5DC9-42CC-A72E-550C67870B9E}"/>
    <cellStyle name="Normal 8 4 2 2 3 2 2 3" xfId="24738" xr:uid="{28C3BBEA-F60D-4AEE-9DAB-DE689DD51D81}"/>
    <cellStyle name="Normal 8 4 2 2 3 2 2 4" xfId="33185" xr:uid="{E5915664-7881-42AF-B9B8-C8C96587488F}"/>
    <cellStyle name="Normal 8 4 2 2 3 2 3" xfId="12073" xr:uid="{76BBD5B9-D273-4409-AB7C-7A57EB588CAD}"/>
    <cellStyle name="Normal 8 4 2 2 3 2 4" xfId="20521" xr:uid="{860ACE06-9464-41F8-A41F-870EA9C0B212}"/>
    <cellStyle name="Normal 8 4 2 2 3 2 5" xfId="28968" xr:uid="{34115C6C-45DC-49F1-8975-E8BCD0E1F092}"/>
    <cellStyle name="Normal 8 4 2 2 3 3" xfId="5696" xr:uid="{00000000-0005-0000-0000-0000D91D0000}"/>
    <cellStyle name="Normal 8 4 2 2 3 3 2" xfId="14146" xr:uid="{98D2DC32-B942-4CA8-BE7B-74F98BF60077}"/>
    <cellStyle name="Normal 8 4 2 2 3 3 3" xfId="22593" xr:uid="{52931BAC-1A4F-4AD8-9DBD-B043C0143F46}"/>
    <cellStyle name="Normal 8 4 2 2 3 3 4" xfId="31040" xr:uid="{295E8292-BAF7-48DC-8EA0-A07C69A29829}"/>
    <cellStyle name="Normal 8 4 2 2 3 4" xfId="9928" xr:uid="{5D376796-AAF6-471F-AADD-CDFA7DFC816E}"/>
    <cellStyle name="Normal 8 4 2 2 3 5" xfId="18376" xr:uid="{6A070A93-C214-43DB-B117-CF0E14D7A8F9}"/>
    <cellStyle name="Normal 8 4 2 2 3 6" xfId="26823" xr:uid="{E5B78EBB-DA8B-413A-B802-4BEF2DF8E378}"/>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16B92550-B9C9-4804-A021-5C225410DF2C}"/>
    <cellStyle name="Normal 8 4 2 2 4 2 2 3" xfId="25151" xr:uid="{B15F5434-C98E-4009-925B-61A2DADAAF3A}"/>
    <cellStyle name="Normal 8 4 2 2 4 2 2 4" xfId="33598" xr:uid="{4D96A8A3-B9BB-4ABF-B0BA-8BA7A8E0FB70}"/>
    <cellStyle name="Normal 8 4 2 2 4 2 3" xfId="12486" xr:uid="{DA53460D-F12B-4509-9B86-3FFDB70C77CE}"/>
    <cellStyle name="Normal 8 4 2 2 4 2 4" xfId="20934" xr:uid="{F0D2BA6A-E080-4BFE-A7E4-21D90DC44A2E}"/>
    <cellStyle name="Normal 8 4 2 2 4 2 5" xfId="29381" xr:uid="{5BE2D344-8BF1-47EE-B9A0-689C28EC18AB}"/>
    <cellStyle name="Normal 8 4 2 2 4 3" xfId="6109" xr:uid="{00000000-0005-0000-0000-0000DD1D0000}"/>
    <cellStyle name="Normal 8 4 2 2 4 3 2" xfId="14559" xr:uid="{B27FAE8F-5711-46E7-8DFB-224EC2AB6A5D}"/>
    <cellStyle name="Normal 8 4 2 2 4 3 3" xfId="23006" xr:uid="{06914887-1039-4629-8CBE-A6CAE25E4E1A}"/>
    <cellStyle name="Normal 8 4 2 2 4 3 4" xfId="31453" xr:uid="{6F2CE2CB-3585-4334-8F83-7C952763A9CD}"/>
    <cellStyle name="Normal 8 4 2 2 4 4" xfId="10341" xr:uid="{134A43CC-9344-4AAF-88C3-C20320F46D4E}"/>
    <cellStyle name="Normal 8 4 2 2 4 5" xfId="18789" xr:uid="{F9127A99-AC75-4F88-BF6C-EEC37A314E8B}"/>
    <cellStyle name="Normal 8 4 2 2 4 6" xfId="27236" xr:uid="{BAF385AF-B73A-4D8A-A24D-59E381F2C3F6}"/>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0052F5B0-6D44-4327-AE88-770976FD4D45}"/>
    <cellStyle name="Normal 8 4 2 2 5 2 2 3" xfId="25564" xr:uid="{3743CEA2-2CEF-410A-9C72-EF9D339E56E0}"/>
    <cellStyle name="Normal 8 4 2 2 5 2 2 4" xfId="34011" xr:uid="{71B1BE08-AB08-4EC3-A237-0A3D0EE62C75}"/>
    <cellStyle name="Normal 8 4 2 2 5 2 3" xfId="12899" xr:uid="{423E5FE8-2C24-4AA7-981D-23AC39C41EBB}"/>
    <cellStyle name="Normal 8 4 2 2 5 2 4" xfId="21347" xr:uid="{2790DC3F-B217-4ABE-8A63-BE6C0B315D32}"/>
    <cellStyle name="Normal 8 4 2 2 5 2 5" xfId="29794" xr:uid="{33A5EC9F-BEE3-4707-BECB-FFEEDAF1DCDA}"/>
    <cellStyle name="Normal 8 4 2 2 5 3" xfId="6522" xr:uid="{00000000-0005-0000-0000-0000E11D0000}"/>
    <cellStyle name="Normal 8 4 2 2 5 3 2" xfId="14972" xr:uid="{88BCD58A-93B4-4AA9-BE16-7B4407328244}"/>
    <cellStyle name="Normal 8 4 2 2 5 3 3" xfId="23419" xr:uid="{7DC3E68F-5019-4246-96FD-ECF4BA6C9222}"/>
    <cellStyle name="Normal 8 4 2 2 5 3 4" xfId="31866" xr:uid="{F88ADD34-F7B7-42A9-BFB8-8D3299134587}"/>
    <cellStyle name="Normal 8 4 2 2 5 4" xfId="10754" xr:uid="{B8E38859-12A7-4995-9959-202B99C0F2EA}"/>
    <cellStyle name="Normal 8 4 2 2 5 5" xfId="19202" xr:uid="{CA2D0C93-2246-4A05-B0ED-F804812EAD33}"/>
    <cellStyle name="Normal 8 4 2 2 5 6" xfId="27649" xr:uid="{26DBAC81-6CCE-48A4-AD3D-5F58A7E5F58F}"/>
    <cellStyle name="Normal 8 4 2 2 6" xfId="2652" xr:uid="{00000000-0005-0000-0000-0000E21D0000}"/>
    <cellStyle name="Normal 8 4 2 2 6 2" xfId="6935" xr:uid="{00000000-0005-0000-0000-0000E31D0000}"/>
    <cellStyle name="Normal 8 4 2 2 6 2 2" xfId="15385" xr:uid="{5E5637EF-E2BB-4D02-B979-DD8BDE8BA9A6}"/>
    <cellStyle name="Normal 8 4 2 2 6 2 3" xfId="23832" xr:uid="{B74C07AF-CDD0-4A10-BFEF-FC648B1105FE}"/>
    <cellStyle name="Normal 8 4 2 2 6 2 4" xfId="32279" xr:uid="{F02D4C23-E74D-4B97-A9B9-ED26EDDC0EBC}"/>
    <cellStyle name="Normal 8 4 2 2 6 3" xfId="11167" xr:uid="{30DA369D-D401-4748-88DD-F8FE84BBE48C}"/>
    <cellStyle name="Normal 8 4 2 2 6 4" xfId="19615" xr:uid="{6586C608-B17F-4D84-A517-AE6CEA97851D}"/>
    <cellStyle name="Normal 8 4 2 2 6 5" xfId="28062" xr:uid="{5B85FBF2-79FC-49FE-B511-5DF3C780BAC0}"/>
    <cellStyle name="Normal 8 4 2 2 7" xfId="4870" xr:uid="{00000000-0005-0000-0000-0000E41D0000}"/>
    <cellStyle name="Normal 8 4 2 2 7 2" xfId="13320" xr:uid="{DD88FB98-3B7B-40DD-961E-C7AD2B20A6AE}"/>
    <cellStyle name="Normal 8 4 2 2 7 3" xfId="21767" xr:uid="{2EF28466-4096-450F-8E25-0518AD692B8C}"/>
    <cellStyle name="Normal 8 4 2 2 7 4" xfId="30214" xr:uid="{0F990380-2B64-46DC-A569-A4CC62C59A86}"/>
    <cellStyle name="Normal 8 4 2 2 8" xfId="9102" xr:uid="{C40EA8A0-99B8-49FD-9A44-5D37C4AF8743}"/>
    <cellStyle name="Normal 8 4 2 2 9" xfId="17550" xr:uid="{A9F75EC3-11F0-4B59-AA88-B9505F386F26}"/>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2038FB67-57E8-41D3-8DFC-595648811004}"/>
    <cellStyle name="Normal 8 4 2 3 2 2 3" xfId="24324" xr:uid="{3276766B-6E24-4997-9A68-6BEB33F06712}"/>
    <cellStyle name="Normal 8 4 2 3 2 2 4" xfId="32771" xr:uid="{AE1332BD-DEC7-4C72-938A-0DE1BA88105B}"/>
    <cellStyle name="Normal 8 4 2 3 2 3" xfId="11659" xr:uid="{630CAB9E-A257-4295-AE5F-048057E4BD78}"/>
    <cellStyle name="Normal 8 4 2 3 2 4" xfId="20107" xr:uid="{2BD1138C-889B-4339-B123-392377671845}"/>
    <cellStyle name="Normal 8 4 2 3 2 5" xfId="28554" xr:uid="{2D1F9357-46FA-41DA-B041-2F993209AF01}"/>
    <cellStyle name="Normal 8 4 2 3 3" xfId="5282" xr:uid="{00000000-0005-0000-0000-0000E81D0000}"/>
    <cellStyle name="Normal 8 4 2 3 3 2" xfId="13732" xr:uid="{E12DF151-C1CC-4B6E-95E8-16F84606DE2E}"/>
    <cellStyle name="Normal 8 4 2 3 3 3" xfId="22179" xr:uid="{DA07C1AB-FE96-4186-90ED-1D1C2BA551CE}"/>
    <cellStyle name="Normal 8 4 2 3 3 4" xfId="30626" xr:uid="{CE307FDD-C60F-4F9C-B298-EC11B2DA8152}"/>
    <cellStyle name="Normal 8 4 2 3 4" xfId="9514" xr:uid="{D6A19BBD-C0B1-4955-9AE7-A128958DAA54}"/>
    <cellStyle name="Normal 8 4 2 3 5" xfId="17962" xr:uid="{7B6828F6-E016-47AF-A0E4-9F53E457433E}"/>
    <cellStyle name="Normal 8 4 2 3 6" xfId="26409" xr:uid="{393D0D5B-7F17-4881-AA71-27653A302749}"/>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9D2ACCDD-C444-4738-BD75-FB4574E6433B}"/>
    <cellStyle name="Normal 8 4 2 4 2 2 3" xfId="24737" xr:uid="{A1954A8F-6BC3-474D-B199-27D5774E6B90}"/>
    <cellStyle name="Normal 8 4 2 4 2 2 4" xfId="33184" xr:uid="{372EE670-438E-4830-82E4-DC7E2221AFE6}"/>
    <cellStyle name="Normal 8 4 2 4 2 3" xfId="12072" xr:uid="{AA61FC16-F4DF-4EAA-AAB3-77C50412727C}"/>
    <cellStyle name="Normal 8 4 2 4 2 4" xfId="20520" xr:uid="{A0852857-C645-4F94-9C02-7E79C96A10A3}"/>
    <cellStyle name="Normal 8 4 2 4 2 5" xfId="28967" xr:uid="{5C5DEC42-7403-4BB8-92DD-250CC2DFB8B2}"/>
    <cellStyle name="Normal 8 4 2 4 3" xfId="5695" xr:uid="{00000000-0005-0000-0000-0000EC1D0000}"/>
    <cellStyle name="Normal 8 4 2 4 3 2" xfId="14145" xr:uid="{B4586884-E5BB-49E8-A604-2368B50DBE64}"/>
    <cellStyle name="Normal 8 4 2 4 3 3" xfId="22592" xr:uid="{256A4665-157E-4ECB-814B-6C1C4C4BE3F7}"/>
    <cellStyle name="Normal 8 4 2 4 3 4" xfId="31039" xr:uid="{C6596A28-0E92-47EB-A389-7225131859F1}"/>
    <cellStyle name="Normal 8 4 2 4 4" xfId="9927" xr:uid="{E152C20B-32D1-4007-BE2F-4BBC4914EE0E}"/>
    <cellStyle name="Normal 8 4 2 4 5" xfId="18375" xr:uid="{2F2F54C9-E8E3-43AB-94EE-C18283C03509}"/>
    <cellStyle name="Normal 8 4 2 4 6" xfId="26822" xr:uid="{2168E438-8369-4E01-B85C-DEE86A4AEBB2}"/>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BFD1D112-D908-4074-84C6-66B8F9035C4E}"/>
    <cellStyle name="Normal 8 4 2 5 2 2 3" xfId="25150" xr:uid="{4F7A49DB-6072-4738-9536-D6E384F41C54}"/>
    <cellStyle name="Normal 8 4 2 5 2 2 4" xfId="33597" xr:uid="{360B7D54-A5CC-4E23-82B6-2C1DDDC56C2B}"/>
    <cellStyle name="Normal 8 4 2 5 2 3" xfId="12485" xr:uid="{97647BC2-3D96-49D3-B9AE-BA1F19068202}"/>
    <cellStyle name="Normal 8 4 2 5 2 4" xfId="20933" xr:uid="{ED71231F-D5DE-45AE-A3DE-5D521BD44C85}"/>
    <cellStyle name="Normal 8 4 2 5 2 5" xfId="29380" xr:uid="{0F809FA4-60D9-4B5C-8B1F-85769BD8E56F}"/>
    <cellStyle name="Normal 8 4 2 5 3" xfId="6108" xr:uid="{00000000-0005-0000-0000-0000F01D0000}"/>
    <cellStyle name="Normal 8 4 2 5 3 2" xfId="14558" xr:uid="{026F27EF-E1B0-4B9A-BC9B-008E33529C7D}"/>
    <cellStyle name="Normal 8 4 2 5 3 3" xfId="23005" xr:uid="{9A80A665-1F2F-41AE-9EFD-48B4C79B388A}"/>
    <cellStyle name="Normal 8 4 2 5 3 4" xfId="31452" xr:uid="{CDF8DD4E-D3D7-447A-820B-18EB69CE99F4}"/>
    <cellStyle name="Normal 8 4 2 5 4" xfId="10340" xr:uid="{744F7D0A-B7F9-4393-AAD7-6AC1E76D8C22}"/>
    <cellStyle name="Normal 8 4 2 5 5" xfId="18788" xr:uid="{68474CEC-8555-46B8-854D-3CE896F40691}"/>
    <cellStyle name="Normal 8 4 2 5 6" xfId="27235" xr:uid="{292BE42F-C07B-4C18-A26D-8AE51FB0443B}"/>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40C5DF25-1EA8-438A-BC3E-1DF47A4BB332}"/>
    <cellStyle name="Normal 8 4 2 6 2 2 3" xfId="25563" xr:uid="{C7B3C102-0256-40D4-A4FC-F1B87906A598}"/>
    <cellStyle name="Normal 8 4 2 6 2 2 4" xfId="34010" xr:uid="{C48119FB-E7B6-4663-90CA-FE46C636509A}"/>
    <cellStyle name="Normal 8 4 2 6 2 3" xfId="12898" xr:uid="{01B9A7D2-7ACF-49B7-B65E-68D4C26447C7}"/>
    <cellStyle name="Normal 8 4 2 6 2 4" xfId="21346" xr:uid="{A102B895-86E7-407F-8F67-4C01CCE2C470}"/>
    <cellStyle name="Normal 8 4 2 6 2 5" xfId="29793" xr:uid="{14FD68B2-A11F-4391-A2FE-6417F85CBDAE}"/>
    <cellStyle name="Normal 8 4 2 6 3" xfId="6521" xr:uid="{00000000-0005-0000-0000-0000F41D0000}"/>
    <cellStyle name="Normal 8 4 2 6 3 2" xfId="14971" xr:uid="{4303B77C-7B5D-47A4-B678-BC4CED346C02}"/>
    <cellStyle name="Normal 8 4 2 6 3 3" xfId="23418" xr:uid="{D460C8B7-917E-446F-8521-13B013B8AF7F}"/>
    <cellStyle name="Normal 8 4 2 6 3 4" xfId="31865" xr:uid="{69764A45-ECDE-4864-8F74-702E8292DD6D}"/>
    <cellStyle name="Normal 8 4 2 6 4" xfId="10753" xr:uid="{B83118CA-53C0-4B6B-961A-331800E73B8C}"/>
    <cellStyle name="Normal 8 4 2 6 5" xfId="19201" xr:uid="{4E1B9C40-022F-454A-AFEF-D2765876BA2C}"/>
    <cellStyle name="Normal 8 4 2 6 6" xfId="27648" xr:uid="{62D56779-BFB2-4328-8D58-9827D5C5415E}"/>
    <cellStyle name="Normal 8 4 2 7" xfId="2651" xr:uid="{00000000-0005-0000-0000-0000F51D0000}"/>
    <cellStyle name="Normal 8 4 2 7 2" xfId="6934" xr:uid="{00000000-0005-0000-0000-0000F61D0000}"/>
    <cellStyle name="Normal 8 4 2 7 2 2" xfId="15384" xr:uid="{5145853A-2CE0-43EB-9E2D-ED25CCE99F8E}"/>
    <cellStyle name="Normal 8 4 2 7 2 3" xfId="23831" xr:uid="{278A6D31-7DC1-4DD4-877D-0FAA30DFAF82}"/>
    <cellStyle name="Normal 8 4 2 7 2 4" xfId="32278" xr:uid="{7C307ED6-8D81-46BB-8243-311CD02FA69B}"/>
    <cellStyle name="Normal 8 4 2 7 3" xfId="11166" xr:uid="{18B93E77-8250-4B6B-AE7E-6C965A8DC599}"/>
    <cellStyle name="Normal 8 4 2 7 4" xfId="19614" xr:uid="{CAC93A13-56DE-40BF-AAF9-C99DB2A4C071}"/>
    <cellStyle name="Normal 8 4 2 7 5" xfId="28061" xr:uid="{C7ED5FBB-0B87-4EA9-A724-77D3F48372D3}"/>
    <cellStyle name="Normal 8 4 2 8" xfId="4869" xr:uid="{00000000-0005-0000-0000-0000F71D0000}"/>
    <cellStyle name="Normal 8 4 2 8 2" xfId="13319" xr:uid="{3B925849-66A2-4D28-82EE-D432726A0A4F}"/>
    <cellStyle name="Normal 8 4 2 8 3" xfId="21766" xr:uid="{A48E77C9-46FB-446A-A7E6-EB8870E7D05F}"/>
    <cellStyle name="Normal 8 4 2 8 4" xfId="30213" xr:uid="{5DABA40F-5D33-4A4C-9AFC-F1F9F738F9DC}"/>
    <cellStyle name="Normal 8 4 2 9" xfId="9101" xr:uid="{0B5D2959-5F49-4897-AB06-55F6EA615A30}"/>
    <cellStyle name="Normal 8 4 3" xfId="506" xr:uid="{00000000-0005-0000-0000-0000F81D0000}"/>
    <cellStyle name="Normal 8 4 3 10" xfId="25998" xr:uid="{E3ABB416-2607-46D1-A2AA-177960629015}"/>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3B6E8F78-2EB2-4756-AD1E-11FFCA9E01A2}"/>
    <cellStyle name="Normal 8 4 3 2 2 2 3" xfId="24326" xr:uid="{2778FE0F-CE39-4987-9243-079F621A4053}"/>
    <cellStyle name="Normal 8 4 3 2 2 2 4" xfId="32773" xr:uid="{C207152A-CA48-44F2-9046-B235FC8E1C18}"/>
    <cellStyle name="Normal 8 4 3 2 2 3" xfId="11661" xr:uid="{97A3BAAC-2908-477D-B4F5-345B80C0DA24}"/>
    <cellStyle name="Normal 8 4 3 2 2 4" xfId="20109" xr:uid="{912AD5E6-B5E7-4517-BA9B-980B4A8165B1}"/>
    <cellStyle name="Normal 8 4 3 2 2 5" xfId="28556" xr:uid="{51531F17-E4BC-4125-B7D8-94235FA00139}"/>
    <cellStyle name="Normal 8 4 3 2 3" xfId="5284" xr:uid="{00000000-0005-0000-0000-0000FC1D0000}"/>
    <cellStyle name="Normal 8 4 3 2 3 2" xfId="13734" xr:uid="{F3151F70-C9EB-41A0-A1CE-E1CD12377AFE}"/>
    <cellStyle name="Normal 8 4 3 2 3 3" xfId="22181" xr:uid="{81B2E041-C4EE-44B6-9A46-78589D147F91}"/>
    <cellStyle name="Normal 8 4 3 2 3 4" xfId="30628" xr:uid="{B9E4A2C6-EA4A-4E79-BCD5-D250299318D6}"/>
    <cellStyle name="Normal 8 4 3 2 4" xfId="9516" xr:uid="{E9DACB0C-12F1-416D-946A-FA5B41356C8C}"/>
    <cellStyle name="Normal 8 4 3 2 5" xfId="17964" xr:uid="{4DF01C22-C00A-4504-BC69-03CA79AFB29E}"/>
    <cellStyle name="Normal 8 4 3 2 6" xfId="26411" xr:uid="{043B8829-B9DE-46AB-93D7-15ADEF388780}"/>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46DD9492-0411-491C-8A7D-CE1A7001C688}"/>
    <cellStyle name="Normal 8 4 3 3 2 2 3" xfId="24739" xr:uid="{62582FAB-98E8-4850-951D-9A283E4CE0F4}"/>
    <cellStyle name="Normal 8 4 3 3 2 2 4" xfId="33186" xr:uid="{F08543DF-6230-4DBE-BF05-FFE1CB060690}"/>
    <cellStyle name="Normal 8 4 3 3 2 3" xfId="12074" xr:uid="{198075DC-F43D-4B7D-A005-4328D36F092B}"/>
    <cellStyle name="Normal 8 4 3 3 2 4" xfId="20522" xr:uid="{CE147154-D9A0-45D8-9EC7-EFFD231B21B3}"/>
    <cellStyle name="Normal 8 4 3 3 2 5" xfId="28969" xr:uid="{BCD1776D-9393-404D-854B-3CDFC73082D4}"/>
    <cellStyle name="Normal 8 4 3 3 3" xfId="5697" xr:uid="{00000000-0005-0000-0000-0000001E0000}"/>
    <cellStyle name="Normal 8 4 3 3 3 2" xfId="14147" xr:uid="{57AD09B7-4AF3-4F50-9F64-156784EDD8BC}"/>
    <cellStyle name="Normal 8 4 3 3 3 3" xfId="22594" xr:uid="{91F9B1F4-D143-48EE-B9A4-DD60160C45B7}"/>
    <cellStyle name="Normal 8 4 3 3 3 4" xfId="31041" xr:uid="{9DBC0222-C434-4627-B0E0-36E007CEF9EC}"/>
    <cellStyle name="Normal 8 4 3 3 4" xfId="9929" xr:uid="{24D866C6-E2F0-494C-9162-4E85D371538E}"/>
    <cellStyle name="Normal 8 4 3 3 5" xfId="18377" xr:uid="{32B9EE89-C247-48BC-842E-B26CC55A7FAD}"/>
    <cellStyle name="Normal 8 4 3 3 6" xfId="26824" xr:uid="{3668DD08-0D9F-443C-8ED1-A04E74A19349}"/>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36889F9C-3E37-4ACF-99E2-719F973F2F26}"/>
    <cellStyle name="Normal 8 4 3 4 2 2 3" xfId="25152" xr:uid="{2F92E6A1-956C-4B32-9AF4-6AB12F43CCDD}"/>
    <cellStyle name="Normal 8 4 3 4 2 2 4" xfId="33599" xr:uid="{A8D31AEE-C2E1-491F-B108-516B5AD5D090}"/>
    <cellStyle name="Normal 8 4 3 4 2 3" xfId="12487" xr:uid="{34C6B133-D449-4498-8E1E-10044B70952F}"/>
    <cellStyle name="Normal 8 4 3 4 2 4" xfId="20935" xr:uid="{1E32279F-3C8D-439A-BC8E-0B2F431DD147}"/>
    <cellStyle name="Normal 8 4 3 4 2 5" xfId="29382" xr:uid="{1827A31B-3E58-4FE3-94C7-DFC0C3936A71}"/>
    <cellStyle name="Normal 8 4 3 4 3" xfId="6110" xr:uid="{00000000-0005-0000-0000-0000041E0000}"/>
    <cellStyle name="Normal 8 4 3 4 3 2" xfId="14560" xr:uid="{480248F2-7732-4850-BA5A-CE075F93B4ED}"/>
    <cellStyle name="Normal 8 4 3 4 3 3" xfId="23007" xr:uid="{C8E2B32B-B9C4-43F2-B746-EC1882DBA781}"/>
    <cellStyle name="Normal 8 4 3 4 3 4" xfId="31454" xr:uid="{13EB134D-237E-46A1-950F-682CE322D1F0}"/>
    <cellStyle name="Normal 8 4 3 4 4" xfId="10342" xr:uid="{6DECC130-3AF9-464C-98FF-185904A1D1EE}"/>
    <cellStyle name="Normal 8 4 3 4 5" xfId="18790" xr:uid="{70E49B82-F1E8-41D9-B141-088D1496DBD3}"/>
    <cellStyle name="Normal 8 4 3 4 6" xfId="27237" xr:uid="{0937A876-5CA8-4B7D-A34E-A1CACB087622}"/>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0180442-3416-4341-AADF-227BF8773115}"/>
    <cellStyle name="Normal 8 4 3 5 2 2 3" xfId="25565" xr:uid="{CF79A4E9-E76D-46C9-A8A6-A939D040DE69}"/>
    <cellStyle name="Normal 8 4 3 5 2 2 4" xfId="34012" xr:uid="{C6609A4F-8577-4570-A6DB-2A745889B543}"/>
    <cellStyle name="Normal 8 4 3 5 2 3" xfId="12900" xr:uid="{CA14E89A-3E7A-4970-B1A5-9AAD4F1A4CD4}"/>
    <cellStyle name="Normal 8 4 3 5 2 4" xfId="21348" xr:uid="{7DE8F01F-39ED-436D-AC25-214AEE75BBA0}"/>
    <cellStyle name="Normal 8 4 3 5 2 5" xfId="29795" xr:uid="{F38520BA-3A55-4715-8EF8-55265DFD3762}"/>
    <cellStyle name="Normal 8 4 3 5 3" xfId="6523" xr:uid="{00000000-0005-0000-0000-0000081E0000}"/>
    <cellStyle name="Normal 8 4 3 5 3 2" xfId="14973" xr:uid="{7B637EEF-A3CA-4788-BAA3-E9394F14CF31}"/>
    <cellStyle name="Normal 8 4 3 5 3 3" xfId="23420" xr:uid="{C8D2C76D-F51A-4F85-A8B3-71D6C5349E5C}"/>
    <cellStyle name="Normal 8 4 3 5 3 4" xfId="31867" xr:uid="{469DDDD9-54D9-4A4D-996E-297B31A540E6}"/>
    <cellStyle name="Normal 8 4 3 5 4" xfId="10755" xr:uid="{D493A321-966A-41A6-975F-70B5981B7075}"/>
    <cellStyle name="Normal 8 4 3 5 5" xfId="19203" xr:uid="{E609F731-0279-4AFC-814E-B2ACF54DA22B}"/>
    <cellStyle name="Normal 8 4 3 5 6" xfId="27650" xr:uid="{8ADE9696-0664-4223-A09C-9BF9994863CA}"/>
    <cellStyle name="Normal 8 4 3 6" xfId="2653" xr:uid="{00000000-0005-0000-0000-0000091E0000}"/>
    <cellStyle name="Normal 8 4 3 6 2" xfId="6936" xr:uid="{00000000-0005-0000-0000-00000A1E0000}"/>
    <cellStyle name="Normal 8 4 3 6 2 2" xfId="15386" xr:uid="{329745A4-8BC2-4911-964B-5C017CA73383}"/>
    <cellStyle name="Normal 8 4 3 6 2 3" xfId="23833" xr:uid="{BAC3281E-DD79-4246-B4A9-19D24E66D74E}"/>
    <cellStyle name="Normal 8 4 3 6 2 4" xfId="32280" xr:uid="{33E7E9B3-0DC8-4933-8FD8-05EFF4EAA687}"/>
    <cellStyle name="Normal 8 4 3 6 3" xfId="11168" xr:uid="{392BA9E3-8FD3-4A48-A2B4-7A0FD6AC1962}"/>
    <cellStyle name="Normal 8 4 3 6 4" xfId="19616" xr:uid="{D8281C02-9688-49A4-B139-EBDBB4FAA72E}"/>
    <cellStyle name="Normal 8 4 3 6 5" xfId="28063" xr:uid="{C02E90FD-EA93-454F-93E5-CCE84A85E186}"/>
    <cellStyle name="Normal 8 4 3 7" xfId="4871" xr:uid="{00000000-0005-0000-0000-00000B1E0000}"/>
    <cellStyle name="Normal 8 4 3 7 2" xfId="13321" xr:uid="{54036C9F-9AF0-46B5-937F-515BE8BFF1E8}"/>
    <cellStyle name="Normal 8 4 3 7 3" xfId="21768" xr:uid="{CC86C08E-EC98-4101-A80D-38D7892BA808}"/>
    <cellStyle name="Normal 8 4 3 7 4" xfId="30215" xr:uid="{7BB4881A-3C81-40B6-96D4-F060AE45A34E}"/>
    <cellStyle name="Normal 8 4 3 8" xfId="9103" xr:uid="{0B9BE6A3-580F-4FCF-A53E-984E4066AE7D}"/>
    <cellStyle name="Normal 8 4 3 9" xfId="17551" xr:uid="{17EAE37E-A2E4-4B6D-A030-B6ABF6517F4C}"/>
    <cellStyle name="Normal 8 4 4" xfId="970" xr:uid="{00000000-0005-0000-0000-00000C1E0000}"/>
    <cellStyle name="Normal 8 4 4 2" xfId="3204" xr:uid="{00000000-0005-0000-0000-00000D1E0000}"/>
    <cellStyle name="Normal 8 4 4 2 2" xfId="7426" xr:uid="{00000000-0005-0000-0000-00000E1E0000}"/>
    <cellStyle name="Normal 8 4 4 2 2 2" xfId="15876" xr:uid="{81D6830A-B452-412D-8D5D-C07286D19474}"/>
    <cellStyle name="Normal 8 4 4 2 2 3" xfId="24323" xr:uid="{42583153-5332-4E25-9AB2-C54771DE6F07}"/>
    <cellStyle name="Normal 8 4 4 2 2 4" xfId="32770" xr:uid="{CBC54402-532C-4B3D-B77F-84FBC597ADAB}"/>
    <cellStyle name="Normal 8 4 4 2 3" xfId="11658" xr:uid="{1D13312C-3C39-4FBB-B167-58FBCCFC2C71}"/>
    <cellStyle name="Normal 8 4 4 2 4" xfId="20106" xr:uid="{25E0C386-772D-47A6-AA5A-53D8031D1BD4}"/>
    <cellStyle name="Normal 8 4 4 2 5" xfId="28553" xr:uid="{5D2252D6-0998-4DD5-86C8-2C38C7C681B9}"/>
    <cellStyle name="Normal 8 4 4 3" xfId="5281" xr:uid="{00000000-0005-0000-0000-00000F1E0000}"/>
    <cellStyle name="Normal 8 4 4 3 2" xfId="13731" xr:uid="{F43977FA-5E1A-4351-AA24-86984B0BC120}"/>
    <cellStyle name="Normal 8 4 4 3 3" xfId="22178" xr:uid="{DCE70DB5-DB61-40FC-ACD9-3D6B9EAF8D91}"/>
    <cellStyle name="Normal 8 4 4 3 4" xfId="30625" xr:uid="{C325BEF6-D1E1-4364-BDAC-EDC25F7806A0}"/>
    <cellStyle name="Normal 8 4 4 4" xfId="9513" xr:uid="{2B8F43AA-7098-4AC1-84A0-5C8C7C8A3D5E}"/>
    <cellStyle name="Normal 8 4 4 5" xfId="17961" xr:uid="{73BBA454-3745-413C-87C8-523154ED21EE}"/>
    <cellStyle name="Normal 8 4 4 6" xfId="26408" xr:uid="{5B026F22-C054-425F-B6EF-305C929AFC86}"/>
    <cellStyle name="Normal 8 4 5" xfId="1387" xr:uid="{00000000-0005-0000-0000-0000101E0000}"/>
    <cellStyle name="Normal 8 4 5 2" xfId="3617" xr:uid="{00000000-0005-0000-0000-0000111E0000}"/>
    <cellStyle name="Normal 8 4 5 2 2" xfId="7839" xr:uid="{00000000-0005-0000-0000-0000121E0000}"/>
    <cellStyle name="Normal 8 4 5 2 2 2" xfId="16289" xr:uid="{C2C75894-09B2-4292-AA35-9D324CD53446}"/>
    <cellStyle name="Normal 8 4 5 2 2 3" xfId="24736" xr:uid="{98260BF6-405C-4251-A6B0-5CD95A1072F7}"/>
    <cellStyle name="Normal 8 4 5 2 2 4" xfId="33183" xr:uid="{BB654A4C-7D38-4ADD-96B3-0C8658EB3A89}"/>
    <cellStyle name="Normal 8 4 5 2 3" xfId="12071" xr:uid="{DC674826-1D20-4A34-9DC3-E165444D1409}"/>
    <cellStyle name="Normal 8 4 5 2 4" xfId="20519" xr:uid="{F5CE3B0A-D0A7-4CC1-9E07-567E20DDC2D3}"/>
    <cellStyle name="Normal 8 4 5 2 5" xfId="28966" xr:uid="{DB9DB95B-82CB-4EEA-B687-3ACB8D422516}"/>
    <cellStyle name="Normal 8 4 5 3" xfId="5694" xr:uid="{00000000-0005-0000-0000-0000131E0000}"/>
    <cellStyle name="Normal 8 4 5 3 2" xfId="14144" xr:uid="{EE91D154-C9D6-4FAE-A958-A88C4E1FA4FB}"/>
    <cellStyle name="Normal 8 4 5 3 3" xfId="22591" xr:uid="{663F7CCE-2DB3-4D25-A5A5-7D135FAFFBDB}"/>
    <cellStyle name="Normal 8 4 5 3 4" xfId="31038" xr:uid="{0D68AAA8-E931-4786-8BFC-579358899A6A}"/>
    <cellStyle name="Normal 8 4 5 4" xfId="9926" xr:uid="{56DF4F14-2250-45B1-8E06-797073811093}"/>
    <cellStyle name="Normal 8 4 5 5" xfId="18374" xr:uid="{82C3D29A-151D-4EFB-8EA7-1FF8DE55B523}"/>
    <cellStyle name="Normal 8 4 5 6" xfId="26821" xr:uid="{5E9E37AE-5CE2-4839-ACFA-770063D8D0D6}"/>
    <cellStyle name="Normal 8 4 6" xfId="1800" xr:uid="{00000000-0005-0000-0000-0000141E0000}"/>
    <cellStyle name="Normal 8 4 6 2" xfId="4030" xr:uid="{00000000-0005-0000-0000-0000151E0000}"/>
    <cellStyle name="Normal 8 4 6 2 2" xfId="8252" xr:uid="{00000000-0005-0000-0000-0000161E0000}"/>
    <cellStyle name="Normal 8 4 6 2 2 2" xfId="16702" xr:uid="{50DF827D-9DAB-4E18-9C40-095C5AB1EAC2}"/>
    <cellStyle name="Normal 8 4 6 2 2 3" xfId="25149" xr:uid="{4BA7ED9E-AC8D-4B43-AC12-23D7CDD8D637}"/>
    <cellStyle name="Normal 8 4 6 2 2 4" xfId="33596" xr:uid="{8E463F0F-F1BA-4BBF-80E7-9C647123A8AD}"/>
    <cellStyle name="Normal 8 4 6 2 3" xfId="12484" xr:uid="{D536841D-96A4-4A9C-A1C4-548E81259221}"/>
    <cellStyle name="Normal 8 4 6 2 4" xfId="20932" xr:uid="{28DE4D61-D1E6-49FD-9CF2-1500845E7CF0}"/>
    <cellStyle name="Normal 8 4 6 2 5" xfId="29379" xr:uid="{A87DBD2B-B995-4942-9385-E67D7F46025A}"/>
    <cellStyle name="Normal 8 4 6 3" xfId="6107" xr:uid="{00000000-0005-0000-0000-0000171E0000}"/>
    <cellStyle name="Normal 8 4 6 3 2" xfId="14557" xr:uid="{0176D7DB-778A-4922-B534-0A671CCFEE67}"/>
    <cellStyle name="Normal 8 4 6 3 3" xfId="23004" xr:uid="{B82C5474-5687-4F23-B10D-D30AFF688FAA}"/>
    <cellStyle name="Normal 8 4 6 3 4" xfId="31451" xr:uid="{410C4362-C296-4403-9DB2-FFCA27907870}"/>
    <cellStyle name="Normal 8 4 6 4" xfId="10339" xr:uid="{280D978E-1D42-449F-B1AD-42B548D61667}"/>
    <cellStyle name="Normal 8 4 6 5" xfId="18787" xr:uid="{1EBACDDB-7439-4876-BBFE-B31A207DB3BB}"/>
    <cellStyle name="Normal 8 4 6 6" xfId="27234" xr:uid="{FC814918-149C-40FF-89E3-9456BA5630A0}"/>
    <cellStyle name="Normal 8 4 7" xfId="2214" xr:uid="{00000000-0005-0000-0000-0000181E0000}"/>
    <cellStyle name="Normal 8 4 7 2" xfId="4443" xr:uid="{00000000-0005-0000-0000-0000191E0000}"/>
    <cellStyle name="Normal 8 4 7 2 2" xfId="8665" xr:uid="{00000000-0005-0000-0000-00001A1E0000}"/>
    <cellStyle name="Normal 8 4 7 2 2 2" xfId="17115" xr:uid="{42F19DA3-FD51-4CB0-AD7E-743B7E68F86E}"/>
    <cellStyle name="Normal 8 4 7 2 2 3" xfId="25562" xr:uid="{2EE972F7-135C-4937-B8EB-BDA68F4998F7}"/>
    <cellStyle name="Normal 8 4 7 2 2 4" xfId="34009" xr:uid="{5F773AE3-9029-4FD2-8EFE-506208B91469}"/>
    <cellStyle name="Normal 8 4 7 2 3" xfId="12897" xr:uid="{9E0E6F91-6861-4FA6-AAD7-649282183EBD}"/>
    <cellStyle name="Normal 8 4 7 2 4" xfId="21345" xr:uid="{2E72C107-5B26-4FC4-BA2C-BCE41A2F06A8}"/>
    <cellStyle name="Normal 8 4 7 2 5" xfId="29792" xr:uid="{87D0BB60-4099-4C7D-BB53-EBC33DF1C51D}"/>
    <cellStyle name="Normal 8 4 7 3" xfId="6520" xr:uid="{00000000-0005-0000-0000-00001B1E0000}"/>
    <cellStyle name="Normal 8 4 7 3 2" xfId="14970" xr:uid="{71EA2EB0-E69E-48CE-BFA1-695AB633986E}"/>
    <cellStyle name="Normal 8 4 7 3 3" xfId="23417" xr:uid="{D87A3265-5421-40BD-85ED-35E5E39DFA21}"/>
    <cellStyle name="Normal 8 4 7 3 4" xfId="31864" xr:uid="{203C6384-2D1F-49A1-BB0B-7900C27A92AE}"/>
    <cellStyle name="Normal 8 4 7 4" xfId="10752" xr:uid="{86611E51-760F-42D2-A15E-9872276D9EFA}"/>
    <cellStyle name="Normal 8 4 7 5" xfId="19200" xr:uid="{34F31170-75A6-4F87-B162-4F47564AD172}"/>
    <cellStyle name="Normal 8 4 7 6" xfId="27647" xr:uid="{BF79F345-37FF-4A14-89AC-72BE49F5862E}"/>
    <cellStyle name="Normal 8 4 8" xfId="2650" xr:uid="{00000000-0005-0000-0000-00001C1E0000}"/>
    <cellStyle name="Normal 8 4 8 2" xfId="6933" xr:uid="{00000000-0005-0000-0000-00001D1E0000}"/>
    <cellStyle name="Normal 8 4 8 2 2" xfId="15383" xr:uid="{71095581-64AA-403B-91B2-DE7854BDD4FE}"/>
    <cellStyle name="Normal 8 4 8 2 3" xfId="23830" xr:uid="{7023872F-A79C-4792-9863-AC15956AC7D4}"/>
    <cellStyle name="Normal 8 4 8 2 4" xfId="32277" xr:uid="{01800CC4-BB6E-49FF-A80D-9BF1A6218F42}"/>
    <cellStyle name="Normal 8 4 8 3" xfId="11165" xr:uid="{93897324-13A6-43C1-804A-ECCCD8F5232F}"/>
    <cellStyle name="Normal 8 4 8 4" xfId="19613" xr:uid="{E4D875AB-0E66-4FC8-BC6B-3D703F801A92}"/>
    <cellStyle name="Normal 8 4 8 5" xfId="28060" xr:uid="{2DC6974A-D8EE-4CE4-A084-A7F7F616CBD5}"/>
    <cellStyle name="Normal 8 4 9" xfId="4868" xr:uid="{00000000-0005-0000-0000-00001E1E0000}"/>
    <cellStyle name="Normal 8 4 9 2" xfId="13318" xr:uid="{D2CFC356-F493-4AA7-AA17-14603C06146D}"/>
    <cellStyle name="Normal 8 4 9 3" xfId="21765" xr:uid="{9B160BBA-C3ED-46C6-9233-E52E435BD5E2}"/>
    <cellStyle name="Normal 8 4 9 4" xfId="30212" xr:uid="{EF4538CB-A031-4A43-9CA0-3601989F695B}"/>
    <cellStyle name="Normal 8 5" xfId="507" xr:uid="{00000000-0005-0000-0000-00001F1E0000}"/>
    <cellStyle name="Normal 8 5 10" xfId="17552" xr:uid="{4227E489-8339-4877-9269-03861F44869B}"/>
    <cellStyle name="Normal 8 5 11" xfId="25999" xr:uid="{7A1ACB01-A0FD-4A8F-B5F1-EC53FED9D187}"/>
    <cellStyle name="Normal 8 5 2" xfId="508" xr:uid="{00000000-0005-0000-0000-0000201E0000}"/>
    <cellStyle name="Normal 8 5 2 10" xfId="26000" xr:uid="{0C7153CE-CD87-4367-9B0D-492BD60435BA}"/>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A00CA7C0-2EA5-46B0-BE80-D0471D803289}"/>
    <cellStyle name="Normal 8 5 2 2 2 2 3" xfId="24328" xr:uid="{80AD492C-33AC-437A-A036-4AA207B4FC64}"/>
    <cellStyle name="Normal 8 5 2 2 2 2 4" xfId="32775" xr:uid="{AC158D1D-6EB6-41C2-8FAE-87267D3992AE}"/>
    <cellStyle name="Normal 8 5 2 2 2 3" xfId="11663" xr:uid="{8B541966-E874-4143-AE6E-9C09BF51A4CB}"/>
    <cellStyle name="Normal 8 5 2 2 2 4" xfId="20111" xr:uid="{FF21F56C-09FE-484A-B7D6-AF8187857D4A}"/>
    <cellStyle name="Normal 8 5 2 2 2 5" xfId="28558" xr:uid="{AE34E405-DB5D-4A77-B636-68132A4477C9}"/>
    <cellStyle name="Normal 8 5 2 2 3" xfId="5286" xr:uid="{00000000-0005-0000-0000-0000241E0000}"/>
    <cellStyle name="Normal 8 5 2 2 3 2" xfId="13736" xr:uid="{1E799FE2-240B-4F6F-B72D-A042EEA7F0F7}"/>
    <cellStyle name="Normal 8 5 2 2 3 3" xfId="22183" xr:uid="{169C8931-5FC3-4BC6-8489-64C28C5801DA}"/>
    <cellStyle name="Normal 8 5 2 2 3 4" xfId="30630" xr:uid="{990224CA-56C6-4DBC-8335-94E3F5872FDE}"/>
    <cellStyle name="Normal 8 5 2 2 4" xfId="9518" xr:uid="{3D282F29-F971-4BB7-8B40-75FFD377DA03}"/>
    <cellStyle name="Normal 8 5 2 2 5" xfId="17966" xr:uid="{4FCDE0A9-4981-42CA-AA6C-E7A4E2BC7812}"/>
    <cellStyle name="Normal 8 5 2 2 6" xfId="26413" xr:uid="{FE59814E-2BC5-4647-8E4C-A5D10406BE8D}"/>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42FB92DA-6B68-4D00-BCBC-930B034C9A5A}"/>
    <cellStyle name="Normal 8 5 2 3 2 2 3" xfId="24741" xr:uid="{474ED5D4-1CB2-43AC-9AF4-82943FE88B01}"/>
    <cellStyle name="Normal 8 5 2 3 2 2 4" xfId="33188" xr:uid="{E881B8AF-F924-45EA-A02E-CA2D31FCA3B0}"/>
    <cellStyle name="Normal 8 5 2 3 2 3" xfId="12076" xr:uid="{7D7CCA17-61A7-4902-A6D2-7BF87B3CA315}"/>
    <cellStyle name="Normal 8 5 2 3 2 4" xfId="20524" xr:uid="{895FE276-BA33-4235-ACF5-012ADFBCA8BD}"/>
    <cellStyle name="Normal 8 5 2 3 2 5" xfId="28971" xr:uid="{4F82FDE8-2146-4758-BF85-0B87BE63D050}"/>
    <cellStyle name="Normal 8 5 2 3 3" xfId="5699" xr:uid="{00000000-0005-0000-0000-0000281E0000}"/>
    <cellStyle name="Normal 8 5 2 3 3 2" xfId="14149" xr:uid="{1E9FCF2D-746A-41D5-9C13-82AD40FC5D95}"/>
    <cellStyle name="Normal 8 5 2 3 3 3" xfId="22596" xr:uid="{5FFC2982-ADAD-442A-AA14-8A040AB16F2B}"/>
    <cellStyle name="Normal 8 5 2 3 3 4" xfId="31043" xr:uid="{B52438B0-3010-4240-9B5B-6796245D2E4D}"/>
    <cellStyle name="Normal 8 5 2 3 4" xfId="9931" xr:uid="{ED1B9605-FC5E-46C8-AE9D-19206DCFE7B6}"/>
    <cellStyle name="Normal 8 5 2 3 5" xfId="18379" xr:uid="{6FFDE096-1522-4987-8F08-9B0564B8DD02}"/>
    <cellStyle name="Normal 8 5 2 3 6" xfId="26826" xr:uid="{8850C966-2076-46CF-BA82-9097B5685E81}"/>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7751CADF-AE6E-4537-B70A-7C33D2BF972F}"/>
    <cellStyle name="Normal 8 5 2 4 2 2 3" xfId="25154" xr:uid="{BFE02435-5ACC-4B42-B4FC-A7769B5734F5}"/>
    <cellStyle name="Normal 8 5 2 4 2 2 4" xfId="33601" xr:uid="{3FBCE6F0-95DC-460B-BA7B-14EC3ED01B97}"/>
    <cellStyle name="Normal 8 5 2 4 2 3" xfId="12489" xr:uid="{EFFFE9EB-1D83-4DF3-84F2-1ECEBBCBCEDD}"/>
    <cellStyle name="Normal 8 5 2 4 2 4" xfId="20937" xr:uid="{038257CF-DF34-4C01-91F4-1B49381B029B}"/>
    <cellStyle name="Normal 8 5 2 4 2 5" xfId="29384" xr:uid="{FB37279B-D579-4BD5-9D7A-5A8106FF6014}"/>
    <cellStyle name="Normal 8 5 2 4 3" xfId="6112" xr:uid="{00000000-0005-0000-0000-00002C1E0000}"/>
    <cellStyle name="Normal 8 5 2 4 3 2" xfId="14562" xr:uid="{BEFD42BB-9ED2-490C-A06A-550FC1010EE0}"/>
    <cellStyle name="Normal 8 5 2 4 3 3" xfId="23009" xr:uid="{592F6D03-1811-44D1-851D-B67CC5D8E5C0}"/>
    <cellStyle name="Normal 8 5 2 4 3 4" xfId="31456" xr:uid="{F20743BC-83E9-47B9-A19D-6FE30D498481}"/>
    <cellStyle name="Normal 8 5 2 4 4" xfId="10344" xr:uid="{2139CBFF-3534-4BBF-B1BC-03569CE8F2D2}"/>
    <cellStyle name="Normal 8 5 2 4 5" xfId="18792" xr:uid="{15C155EF-2255-4288-811B-155D48F85F0F}"/>
    <cellStyle name="Normal 8 5 2 4 6" xfId="27239" xr:uid="{53388AA3-2CD4-4EB6-A294-8F84638FDDC8}"/>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36392391-5D71-4D5E-AF9A-2C0233AD7E25}"/>
    <cellStyle name="Normal 8 5 2 5 2 2 3" xfId="25567" xr:uid="{B33D840C-DB57-47BC-BCE1-89E13269FF6E}"/>
    <cellStyle name="Normal 8 5 2 5 2 2 4" xfId="34014" xr:uid="{5176A152-3F90-424E-AE2E-09B9C0136015}"/>
    <cellStyle name="Normal 8 5 2 5 2 3" xfId="12902" xr:uid="{C84471D9-A182-4080-9CF1-383985CC7B13}"/>
    <cellStyle name="Normal 8 5 2 5 2 4" xfId="21350" xr:uid="{18950C2A-39C7-430E-9379-69C855C5C837}"/>
    <cellStyle name="Normal 8 5 2 5 2 5" xfId="29797" xr:uid="{22DC1BC2-6821-4506-9440-09334F291617}"/>
    <cellStyle name="Normal 8 5 2 5 3" xfId="6525" xr:uid="{00000000-0005-0000-0000-0000301E0000}"/>
    <cellStyle name="Normal 8 5 2 5 3 2" xfId="14975" xr:uid="{24182159-C836-4DF1-AE9B-EC1DC2ED1137}"/>
    <cellStyle name="Normal 8 5 2 5 3 3" xfId="23422" xr:uid="{282BA9DB-DDB6-42FC-98E8-CB714B393BA3}"/>
    <cellStyle name="Normal 8 5 2 5 3 4" xfId="31869" xr:uid="{EEBA9463-0045-4414-AE32-CCE2E56E038F}"/>
    <cellStyle name="Normal 8 5 2 5 4" xfId="10757" xr:uid="{E5D40085-79DB-4260-B474-8139C132C23B}"/>
    <cellStyle name="Normal 8 5 2 5 5" xfId="19205" xr:uid="{2F89459D-BE55-4E73-8571-72AD8DDACF19}"/>
    <cellStyle name="Normal 8 5 2 5 6" xfId="27652" xr:uid="{E0007ADF-8348-4557-8C78-06E7317BC057}"/>
    <cellStyle name="Normal 8 5 2 6" xfId="2655" xr:uid="{00000000-0005-0000-0000-0000311E0000}"/>
    <cellStyle name="Normal 8 5 2 6 2" xfId="6938" xr:uid="{00000000-0005-0000-0000-0000321E0000}"/>
    <cellStyle name="Normal 8 5 2 6 2 2" xfId="15388" xr:uid="{3BE87762-B040-4552-A5E5-953733C04FE1}"/>
    <cellStyle name="Normal 8 5 2 6 2 3" xfId="23835" xr:uid="{869775D2-1A73-4446-B408-D6F6CAB76887}"/>
    <cellStyle name="Normal 8 5 2 6 2 4" xfId="32282" xr:uid="{CDC53847-8909-40CC-A955-4F00A7905410}"/>
    <cellStyle name="Normal 8 5 2 6 3" xfId="11170" xr:uid="{050E0287-98D8-4DBE-B8D8-7B9D20B17E7C}"/>
    <cellStyle name="Normal 8 5 2 6 4" xfId="19618" xr:uid="{17C4D53E-6F08-40E8-B0A4-A0DAB99EBAD8}"/>
    <cellStyle name="Normal 8 5 2 6 5" xfId="28065" xr:uid="{E60B78CC-BFC7-4538-A3B1-63E53FF82E16}"/>
    <cellStyle name="Normal 8 5 2 7" xfId="4873" xr:uid="{00000000-0005-0000-0000-0000331E0000}"/>
    <cellStyle name="Normal 8 5 2 7 2" xfId="13323" xr:uid="{36F45DCD-725E-4D4C-AC0D-E0C4CCC918DD}"/>
    <cellStyle name="Normal 8 5 2 7 3" xfId="21770" xr:uid="{40226BFB-67A1-4994-8372-AC9F2D607441}"/>
    <cellStyle name="Normal 8 5 2 7 4" xfId="30217" xr:uid="{DDA2C63A-75C6-4425-8099-DF29902BF10E}"/>
    <cellStyle name="Normal 8 5 2 8" xfId="9105" xr:uid="{3BEF5A6A-E1E2-45C9-89BE-8D3DA8C3E7DD}"/>
    <cellStyle name="Normal 8 5 2 9" xfId="17553" xr:uid="{428D0C7E-7997-4C48-95F7-A9474BEEF9B2}"/>
    <cellStyle name="Normal 8 5 3" xfId="974" xr:uid="{00000000-0005-0000-0000-0000341E0000}"/>
    <cellStyle name="Normal 8 5 3 2" xfId="3208" xr:uid="{00000000-0005-0000-0000-0000351E0000}"/>
    <cellStyle name="Normal 8 5 3 2 2" xfId="7430" xr:uid="{00000000-0005-0000-0000-0000361E0000}"/>
    <cellStyle name="Normal 8 5 3 2 2 2" xfId="15880" xr:uid="{68FD03A5-CC46-4FD5-8D27-D95B9F1F2FAB}"/>
    <cellStyle name="Normal 8 5 3 2 2 3" xfId="24327" xr:uid="{C29AFB5D-2926-4BAF-A3AB-202D24EE5074}"/>
    <cellStyle name="Normal 8 5 3 2 2 4" xfId="32774" xr:uid="{5C9D6B4A-F4D4-4E56-8BBE-C1E2B31B2656}"/>
    <cellStyle name="Normal 8 5 3 2 3" xfId="11662" xr:uid="{AD31EA3D-D359-4CB9-AE09-699AA537D1A2}"/>
    <cellStyle name="Normal 8 5 3 2 4" xfId="20110" xr:uid="{7AF8E392-2260-4D49-9099-E27775964F64}"/>
    <cellStyle name="Normal 8 5 3 2 5" xfId="28557" xr:uid="{9450A514-6816-4A7B-9E85-CE9546DE10B0}"/>
    <cellStyle name="Normal 8 5 3 3" xfId="5285" xr:uid="{00000000-0005-0000-0000-0000371E0000}"/>
    <cellStyle name="Normal 8 5 3 3 2" xfId="13735" xr:uid="{51A22488-9E8F-49C8-B787-386595E34C54}"/>
    <cellStyle name="Normal 8 5 3 3 3" xfId="22182" xr:uid="{2AC0F430-30BD-41E5-882C-501E44E6D96F}"/>
    <cellStyle name="Normal 8 5 3 3 4" xfId="30629" xr:uid="{385B38A6-5A20-4BE2-AB32-8066D649B006}"/>
    <cellStyle name="Normal 8 5 3 4" xfId="9517" xr:uid="{F02F260A-E97D-4D22-81F3-1BA77D9DD9EA}"/>
    <cellStyle name="Normal 8 5 3 5" xfId="17965" xr:uid="{D6E68EDE-0F87-4888-A38A-CACF8A6120F5}"/>
    <cellStyle name="Normal 8 5 3 6" xfId="26412" xr:uid="{3E396BAD-1223-4E10-AD0D-A8A1B5B45375}"/>
    <cellStyle name="Normal 8 5 4" xfId="1391" xr:uid="{00000000-0005-0000-0000-0000381E0000}"/>
    <cellStyle name="Normal 8 5 4 2" xfId="3621" xr:uid="{00000000-0005-0000-0000-0000391E0000}"/>
    <cellStyle name="Normal 8 5 4 2 2" xfId="7843" xr:uid="{00000000-0005-0000-0000-00003A1E0000}"/>
    <cellStyle name="Normal 8 5 4 2 2 2" xfId="16293" xr:uid="{58CABE67-F25C-4993-9EFB-F21F132AF081}"/>
    <cellStyle name="Normal 8 5 4 2 2 3" xfId="24740" xr:uid="{6F86F690-FC77-44DC-98BE-BE0BD1ABD70E}"/>
    <cellStyle name="Normal 8 5 4 2 2 4" xfId="33187" xr:uid="{22E13970-2E20-4BDC-B1BC-4CE111E2B33E}"/>
    <cellStyle name="Normal 8 5 4 2 3" xfId="12075" xr:uid="{D6DA5D30-B0F3-4F6E-8B69-0D976A90A1C9}"/>
    <cellStyle name="Normal 8 5 4 2 4" xfId="20523" xr:uid="{1D74D391-2304-4737-AE44-A9B375F111FF}"/>
    <cellStyle name="Normal 8 5 4 2 5" xfId="28970" xr:uid="{4E5FA58F-5C58-413E-A62C-EA02C52F145C}"/>
    <cellStyle name="Normal 8 5 4 3" xfId="5698" xr:uid="{00000000-0005-0000-0000-00003B1E0000}"/>
    <cellStyle name="Normal 8 5 4 3 2" xfId="14148" xr:uid="{FAF771F9-5801-49E7-9F63-77765D2498B3}"/>
    <cellStyle name="Normal 8 5 4 3 3" xfId="22595" xr:uid="{0174F687-BE31-41E8-BD0B-7F580B06F130}"/>
    <cellStyle name="Normal 8 5 4 3 4" xfId="31042" xr:uid="{11468691-997F-44EF-8D9F-695E3CFE15BD}"/>
    <cellStyle name="Normal 8 5 4 4" xfId="9930" xr:uid="{0C4757A9-9045-4BE9-AD93-49C305E513E9}"/>
    <cellStyle name="Normal 8 5 4 5" xfId="18378" xr:uid="{421237FD-A191-40E8-A55A-C88B10233824}"/>
    <cellStyle name="Normal 8 5 4 6" xfId="26825" xr:uid="{7BD3C92F-5037-4BF1-AE55-A8061D3D6D25}"/>
    <cellStyle name="Normal 8 5 5" xfId="1804" xr:uid="{00000000-0005-0000-0000-00003C1E0000}"/>
    <cellStyle name="Normal 8 5 5 2" xfId="4034" xr:uid="{00000000-0005-0000-0000-00003D1E0000}"/>
    <cellStyle name="Normal 8 5 5 2 2" xfId="8256" xr:uid="{00000000-0005-0000-0000-00003E1E0000}"/>
    <cellStyle name="Normal 8 5 5 2 2 2" xfId="16706" xr:uid="{0A124E86-52D3-445B-AAFD-AB2FF2D4AEC5}"/>
    <cellStyle name="Normal 8 5 5 2 2 3" xfId="25153" xr:uid="{AC35C04E-C6F7-4BA6-981E-4F36FEC34E35}"/>
    <cellStyle name="Normal 8 5 5 2 2 4" xfId="33600" xr:uid="{1188FC92-E7C7-4873-B85E-B1BCF5D3AF27}"/>
    <cellStyle name="Normal 8 5 5 2 3" xfId="12488" xr:uid="{6565DEE5-2FA0-4373-AF25-538E2AD45FD9}"/>
    <cellStyle name="Normal 8 5 5 2 4" xfId="20936" xr:uid="{C2EC5733-4DF5-4090-8937-7F947B9C613D}"/>
    <cellStyle name="Normal 8 5 5 2 5" xfId="29383" xr:uid="{863840E4-1AD9-438D-9606-1A57F8B34E63}"/>
    <cellStyle name="Normal 8 5 5 3" xfId="6111" xr:uid="{00000000-0005-0000-0000-00003F1E0000}"/>
    <cellStyle name="Normal 8 5 5 3 2" xfId="14561" xr:uid="{FDFC8314-66A7-4553-AE69-E8CE9908BD12}"/>
    <cellStyle name="Normal 8 5 5 3 3" xfId="23008" xr:uid="{3346D06F-B256-477C-B40B-417FF6BA556F}"/>
    <cellStyle name="Normal 8 5 5 3 4" xfId="31455" xr:uid="{11651ADA-5567-4F37-B783-E5BF027B5F50}"/>
    <cellStyle name="Normal 8 5 5 4" xfId="10343" xr:uid="{C16D59CC-BE11-401C-9256-043876A9D90E}"/>
    <cellStyle name="Normal 8 5 5 5" xfId="18791" xr:uid="{69193C99-0AF9-4F54-B6D5-3FB6FF032867}"/>
    <cellStyle name="Normal 8 5 5 6" xfId="27238" xr:uid="{89B26500-ABA0-48F1-8A8F-6AADA199CF60}"/>
    <cellStyle name="Normal 8 5 6" xfId="2218" xr:uid="{00000000-0005-0000-0000-0000401E0000}"/>
    <cellStyle name="Normal 8 5 6 2" xfId="4447" xr:uid="{00000000-0005-0000-0000-0000411E0000}"/>
    <cellStyle name="Normal 8 5 6 2 2" xfId="8669" xr:uid="{00000000-0005-0000-0000-0000421E0000}"/>
    <cellStyle name="Normal 8 5 6 2 2 2" xfId="17119" xr:uid="{4160D622-26A7-44EB-AF49-29D86C7657CA}"/>
    <cellStyle name="Normal 8 5 6 2 2 3" xfId="25566" xr:uid="{5C29EF64-CB04-42BF-BEBC-E7E5AE064489}"/>
    <cellStyle name="Normal 8 5 6 2 2 4" xfId="34013" xr:uid="{BC5D25C9-B790-4288-A032-F8A1285AFF1A}"/>
    <cellStyle name="Normal 8 5 6 2 3" xfId="12901" xr:uid="{0F5BF196-CED8-408A-8763-D92C7B911882}"/>
    <cellStyle name="Normal 8 5 6 2 4" xfId="21349" xr:uid="{02842987-FAEC-45F9-A0CE-68494EC34317}"/>
    <cellStyle name="Normal 8 5 6 2 5" xfId="29796" xr:uid="{17D2C047-BC93-459C-ADBD-F744852900A5}"/>
    <cellStyle name="Normal 8 5 6 3" xfId="6524" xr:uid="{00000000-0005-0000-0000-0000431E0000}"/>
    <cellStyle name="Normal 8 5 6 3 2" xfId="14974" xr:uid="{C58BCDD6-6320-4174-823E-42202C4E0A71}"/>
    <cellStyle name="Normal 8 5 6 3 3" xfId="23421" xr:uid="{C8C05CCC-3DA4-4207-A700-B54AF5762318}"/>
    <cellStyle name="Normal 8 5 6 3 4" xfId="31868" xr:uid="{27DF098D-4C28-43E8-846F-20A2BFD069C4}"/>
    <cellStyle name="Normal 8 5 6 4" xfId="10756" xr:uid="{404343A5-1686-4DAC-B0F9-AFABD98F879F}"/>
    <cellStyle name="Normal 8 5 6 5" xfId="19204" xr:uid="{41C2FCFD-0217-488E-B158-ABEEF442D3D2}"/>
    <cellStyle name="Normal 8 5 6 6" xfId="27651" xr:uid="{A2765C91-451D-4732-837B-E7319F3C505C}"/>
    <cellStyle name="Normal 8 5 7" xfId="2654" xr:uid="{00000000-0005-0000-0000-0000441E0000}"/>
    <cellStyle name="Normal 8 5 7 2" xfId="6937" xr:uid="{00000000-0005-0000-0000-0000451E0000}"/>
    <cellStyle name="Normal 8 5 7 2 2" xfId="15387" xr:uid="{E187E561-74AD-434E-A9B0-066572E12B0F}"/>
    <cellStyle name="Normal 8 5 7 2 3" xfId="23834" xr:uid="{B3533F3B-C803-41CD-B595-E8865547945A}"/>
    <cellStyle name="Normal 8 5 7 2 4" xfId="32281" xr:uid="{A3CB1A08-FF20-4B66-83CE-CF61FB916885}"/>
    <cellStyle name="Normal 8 5 7 3" xfId="11169" xr:uid="{70BDE7F6-2D10-471C-B6AE-35829A9FA9E0}"/>
    <cellStyle name="Normal 8 5 7 4" xfId="19617" xr:uid="{AC6BF2DD-8F30-45E2-8E19-9A3054ED2884}"/>
    <cellStyle name="Normal 8 5 7 5" xfId="28064" xr:uid="{C1D27855-C5CE-441D-97EA-C640D89B3CCE}"/>
    <cellStyle name="Normal 8 5 8" xfId="4872" xr:uid="{00000000-0005-0000-0000-0000461E0000}"/>
    <cellStyle name="Normal 8 5 8 2" xfId="13322" xr:uid="{F1A0E7DD-A335-4F77-8F92-23AD11639243}"/>
    <cellStyle name="Normal 8 5 8 3" xfId="21769" xr:uid="{9BCC8988-E627-4F98-A468-3077BA7D121E}"/>
    <cellStyle name="Normal 8 5 8 4" xfId="30216" xr:uid="{9883A609-B8CF-4E81-8C2F-BF2FCE3E564D}"/>
    <cellStyle name="Normal 8 5 9" xfId="9104" xr:uid="{9A1B0603-EB3D-445B-B11E-7E3AA88CB82F}"/>
    <cellStyle name="Normal 8 6" xfId="509" xr:uid="{00000000-0005-0000-0000-0000471E0000}"/>
    <cellStyle name="Normal 8 6 10" xfId="26001" xr:uid="{37232783-F6F3-44D9-9EE1-0286BD08FE80}"/>
    <cellStyle name="Normal 8 6 2" xfId="976" xr:uid="{00000000-0005-0000-0000-0000481E0000}"/>
    <cellStyle name="Normal 8 6 2 2" xfId="3210" xr:uid="{00000000-0005-0000-0000-0000491E0000}"/>
    <cellStyle name="Normal 8 6 2 2 2" xfId="7432" xr:uid="{00000000-0005-0000-0000-00004A1E0000}"/>
    <cellStyle name="Normal 8 6 2 2 2 2" xfId="15882" xr:uid="{429C6E21-AE03-4258-8AEA-D24592A68273}"/>
    <cellStyle name="Normal 8 6 2 2 2 3" xfId="24329" xr:uid="{249D6DD2-D434-4536-B6AE-ECFE401CCA7B}"/>
    <cellStyle name="Normal 8 6 2 2 2 4" xfId="32776" xr:uid="{4394FEEF-A4B7-4561-B347-9587ABB42FE1}"/>
    <cellStyle name="Normal 8 6 2 2 3" xfId="11664" xr:uid="{E3A8547F-AE86-423F-8475-8D2A57FEEB54}"/>
    <cellStyle name="Normal 8 6 2 2 4" xfId="20112" xr:uid="{2FC839F3-CC7E-4D32-B651-9B904EAC6311}"/>
    <cellStyle name="Normal 8 6 2 2 5" xfId="28559" xr:uid="{CF74B072-2031-4519-AEE1-5D31CC1C7755}"/>
    <cellStyle name="Normal 8 6 2 3" xfId="5287" xr:uid="{00000000-0005-0000-0000-00004B1E0000}"/>
    <cellStyle name="Normal 8 6 2 3 2" xfId="13737" xr:uid="{A5472BCB-3DA0-4E6E-976E-8C94461DA537}"/>
    <cellStyle name="Normal 8 6 2 3 3" xfId="22184" xr:uid="{FCD29E76-2C9B-401A-8CEF-476B9E99802A}"/>
    <cellStyle name="Normal 8 6 2 3 4" xfId="30631" xr:uid="{207F293E-A26C-4E37-8352-9957BDE8F480}"/>
    <cellStyle name="Normal 8 6 2 4" xfId="9519" xr:uid="{8B4EF808-9E63-4993-9219-9E44334E8B70}"/>
    <cellStyle name="Normal 8 6 2 5" xfId="17967" xr:uid="{74D26D3A-FD4F-41EB-95A7-40226F7D24EC}"/>
    <cellStyle name="Normal 8 6 2 6" xfId="26414" xr:uid="{58987551-49C7-47B9-835F-2E45232A2114}"/>
    <cellStyle name="Normal 8 6 3" xfId="1393" xr:uid="{00000000-0005-0000-0000-00004C1E0000}"/>
    <cellStyle name="Normal 8 6 3 2" xfId="3623" xr:uid="{00000000-0005-0000-0000-00004D1E0000}"/>
    <cellStyle name="Normal 8 6 3 2 2" xfId="7845" xr:uid="{00000000-0005-0000-0000-00004E1E0000}"/>
    <cellStyle name="Normal 8 6 3 2 2 2" xfId="16295" xr:uid="{D1C1940B-0486-4835-B551-FCA221AA8366}"/>
    <cellStyle name="Normal 8 6 3 2 2 3" xfId="24742" xr:uid="{78779EF8-7B79-4688-A3C9-49ADF8952FD7}"/>
    <cellStyle name="Normal 8 6 3 2 2 4" xfId="33189" xr:uid="{3923ABE1-4F03-4A01-B41D-F58607549768}"/>
    <cellStyle name="Normal 8 6 3 2 3" xfId="12077" xr:uid="{DE103C8F-835A-48B8-B9CB-C0DE09E867D9}"/>
    <cellStyle name="Normal 8 6 3 2 4" xfId="20525" xr:uid="{899B652E-5859-405F-893D-4B87399A0367}"/>
    <cellStyle name="Normal 8 6 3 2 5" xfId="28972" xr:uid="{F2678FF5-EBE7-47CE-80B7-DFE62B81A3F1}"/>
    <cellStyle name="Normal 8 6 3 3" xfId="5700" xr:uid="{00000000-0005-0000-0000-00004F1E0000}"/>
    <cellStyle name="Normal 8 6 3 3 2" xfId="14150" xr:uid="{EEC9C3E9-390B-4B9B-8D1E-C24579CB3459}"/>
    <cellStyle name="Normal 8 6 3 3 3" xfId="22597" xr:uid="{85E24C43-320A-4376-B852-ED0B6FA0B52C}"/>
    <cellStyle name="Normal 8 6 3 3 4" xfId="31044" xr:uid="{36EECF5C-A7E2-4B79-BC68-C4C56816DB7B}"/>
    <cellStyle name="Normal 8 6 3 4" xfId="9932" xr:uid="{D5ECC26A-1632-4FEC-BBB5-B9D205DDB31F}"/>
    <cellStyle name="Normal 8 6 3 5" xfId="18380" xr:uid="{7C1F5B25-5B7D-4CEF-858B-30646C49D783}"/>
    <cellStyle name="Normal 8 6 3 6" xfId="26827" xr:uid="{E670B161-FFD1-4072-9C4E-1141F554DBCC}"/>
    <cellStyle name="Normal 8 6 4" xfId="1806" xr:uid="{00000000-0005-0000-0000-0000501E0000}"/>
    <cellStyle name="Normal 8 6 4 2" xfId="4036" xr:uid="{00000000-0005-0000-0000-0000511E0000}"/>
    <cellStyle name="Normal 8 6 4 2 2" xfId="8258" xr:uid="{00000000-0005-0000-0000-0000521E0000}"/>
    <cellStyle name="Normal 8 6 4 2 2 2" xfId="16708" xr:uid="{7B28CDFC-6E89-4005-ADFD-FDC530CB1E5A}"/>
    <cellStyle name="Normal 8 6 4 2 2 3" xfId="25155" xr:uid="{5D423115-693F-4566-BED6-AB963161E1B9}"/>
    <cellStyle name="Normal 8 6 4 2 2 4" xfId="33602" xr:uid="{74EC03BC-3301-4939-894A-36D2F8F2848C}"/>
    <cellStyle name="Normal 8 6 4 2 3" xfId="12490" xr:uid="{FA7EB2FB-A1BA-4408-8F1A-A62BFC252D4A}"/>
    <cellStyle name="Normal 8 6 4 2 4" xfId="20938" xr:uid="{F97060E2-8C8D-4C89-AC73-D7867E351A18}"/>
    <cellStyle name="Normal 8 6 4 2 5" xfId="29385" xr:uid="{3E52BB27-B6F7-4903-87DB-C9567FFA9227}"/>
    <cellStyle name="Normal 8 6 4 3" xfId="6113" xr:uid="{00000000-0005-0000-0000-0000531E0000}"/>
    <cellStyle name="Normal 8 6 4 3 2" xfId="14563" xr:uid="{2DC8BB52-C995-44B0-BCA6-0C3FED4868B8}"/>
    <cellStyle name="Normal 8 6 4 3 3" xfId="23010" xr:uid="{61E0C13F-3524-46F6-ADAF-B2FF4881A0D2}"/>
    <cellStyle name="Normal 8 6 4 3 4" xfId="31457" xr:uid="{E9BB27AA-8136-4682-B0ED-4134D134E075}"/>
    <cellStyle name="Normal 8 6 4 4" xfId="10345" xr:uid="{F4EF6618-6D00-40B5-AD39-EB002FB642BA}"/>
    <cellStyle name="Normal 8 6 4 5" xfId="18793" xr:uid="{B6DFEE5B-D0EB-4643-8C0D-32DFAFA2DF6B}"/>
    <cellStyle name="Normal 8 6 4 6" xfId="27240" xr:uid="{4F290D6E-AEB1-4597-88BB-D4A069A01738}"/>
    <cellStyle name="Normal 8 6 5" xfId="2220" xr:uid="{00000000-0005-0000-0000-0000541E0000}"/>
    <cellStyle name="Normal 8 6 5 2" xfId="4449" xr:uid="{00000000-0005-0000-0000-0000551E0000}"/>
    <cellStyle name="Normal 8 6 5 2 2" xfId="8671" xr:uid="{00000000-0005-0000-0000-0000561E0000}"/>
    <cellStyle name="Normal 8 6 5 2 2 2" xfId="17121" xr:uid="{79066AEA-836C-45F1-89D6-782C4272D8F5}"/>
    <cellStyle name="Normal 8 6 5 2 2 3" xfId="25568" xr:uid="{F1B9CB86-6792-4E72-8A13-406A77B35BC1}"/>
    <cellStyle name="Normal 8 6 5 2 2 4" xfId="34015" xr:uid="{0030839B-7517-405F-B526-8103ADCB5178}"/>
    <cellStyle name="Normal 8 6 5 2 3" xfId="12903" xr:uid="{70DE5020-4DD3-4A38-8A12-C05C8E4254F5}"/>
    <cellStyle name="Normal 8 6 5 2 4" xfId="21351" xr:uid="{D0B9E474-07BB-47D4-BEB2-F1B1A2F5AC72}"/>
    <cellStyle name="Normal 8 6 5 2 5" xfId="29798" xr:uid="{57A117E3-0358-414C-8A8B-C142B5318366}"/>
    <cellStyle name="Normal 8 6 5 3" xfId="6526" xr:uid="{00000000-0005-0000-0000-0000571E0000}"/>
    <cellStyle name="Normal 8 6 5 3 2" xfId="14976" xr:uid="{BB89C960-0085-4EA0-A83D-5B684B398654}"/>
    <cellStyle name="Normal 8 6 5 3 3" xfId="23423" xr:uid="{C28026AE-C09D-4E58-A73B-05052923ED65}"/>
    <cellStyle name="Normal 8 6 5 3 4" xfId="31870" xr:uid="{1C6C44F5-BBB1-4D79-B0FF-A9D6FA6E9CB8}"/>
    <cellStyle name="Normal 8 6 5 4" xfId="10758" xr:uid="{8A866215-6B1F-4CAA-9881-8C697E32A592}"/>
    <cellStyle name="Normal 8 6 5 5" xfId="19206" xr:uid="{7251EEA3-8505-43C3-8B2D-97DE8E96E14B}"/>
    <cellStyle name="Normal 8 6 5 6" xfId="27653" xr:uid="{FE11902F-286D-4E8B-93A8-123712D6E002}"/>
    <cellStyle name="Normal 8 6 6" xfId="2656" xr:uid="{00000000-0005-0000-0000-0000581E0000}"/>
    <cellStyle name="Normal 8 6 6 2" xfId="6939" xr:uid="{00000000-0005-0000-0000-0000591E0000}"/>
    <cellStyle name="Normal 8 6 6 2 2" xfId="15389" xr:uid="{A3D96C52-4B21-479F-B14F-5A1706D8655F}"/>
    <cellStyle name="Normal 8 6 6 2 3" xfId="23836" xr:uid="{40BD2BBF-4C4C-4310-B784-EBDAB2136E8C}"/>
    <cellStyle name="Normal 8 6 6 2 4" xfId="32283" xr:uid="{05258E79-B41E-4F6C-9FE3-BB7FC40B954F}"/>
    <cellStyle name="Normal 8 6 6 3" xfId="11171" xr:uid="{4A92F1AA-4126-4591-BCA3-A86B314B0016}"/>
    <cellStyle name="Normal 8 6 6 4" xfId="19619" xr:uid="{599B5975-1D59-4D24-A2AF-6E31BD36BE53}"/>
    <cellStyle name="Normal 8 6 6 5" xfId="28066" xr:uid="{537F6BC0-E66A-4ACC-B453-B98B4D1499EC}"/>
    <cellStyle name="Normal 8 6 7" xfId="4874" xr:uid="{00000000-0005-0000-0000-00005A1E0000}"/>
    <cellStyle name="Normal 8 6 7 2" xfId="13324" xr:uid="{7CE8F9AD-BB7F-4842-89EE-8537D1B4451F}"/>
    <cellStyle name="Normal 8 6 7 3" xfId="21771" xr:uid="{34A6A8D0-30AC-4EA4-8203-02EC5A3C14C4}"/>
    <cellStyle name="Normal 8 6 7 4" xfId="30218" xr:uid="{49F413A2-4A0A-4E58-A511-AC4021777536}"/>
    <cellStyle name="Normal 8 6 8" xfId="9106" xr:uid="{E1C053F7-7444-4292-A823-EFE4B24B0AED}"/>
    <cellStyle name="Normal 8 6 9" xfId="17554" xr:uid="{F3CC0419-FC48-4962-B436-230BE115D093}"/>
    <cellStyle name="Normal 8 7" xfId="945" xr:uid="{00000000-0005-0000-0000-00005B1E0000}"/>
    <cellStyle name="Normal 8 7 2" xfId="3179" xr:uid="{00000000-0005-0000-0000-00005C1E0000}"/>
    <cellStyle name="Normal 8 7 2 2" xfId="7401" xr:uid="{00000000-0005-0000-0000-00005D1E0000}"/>
    <cellStyle name="Normal 8 7 2 2 2" xfId="15851" xr:uid="{283E47BF-8DDE-41A5-9B02-3D4AB4CF0AB6}"/>
    <cellStyle name="Normal 8 7 2 2 3" xfId="24298" xr:uid="{A904E33D-F295-4C0F-8C70-A0CC1C57AFED}"/>
    <cellStyle name="Normal 8 7 2 2 4" xfId="32745" xr:uid="{92F29E65-1736-4CEE-91EB-5812E17892F6}"/>
    <cellStyle name="Normal 8 7 2 3" xfId="11633" xr:uid="{AEB8ABAB-77E5-4682-99AC-758551F8930A}"/>
    <cellStyle name="Normal 8 7 2 4" xfId="20081" xr:uid="{5598BFB0-B608-46D7-A6FC-06FA224992E9}"/>
    <cellStyle name="Normal 8 7 2 5" xfId="28528" xr:uid="{E917315C-A3CC-4EC4-99BD-7ADD99576CD8}"/>
    <cellStyle name="Normal 8 7 3" xfId="5256" xr:uid="{00000000-0005-0000-0000-00005E1E0000}"/>
    <cellStyle name="Normal 8 7 3 2" xfId="13706" xr:uid="{96BCE42A-47F7-49FF-8036-32717E1D6FB0}"/>
    <cellStyle name="Normal 8 7 3 3" xfId="22153" xr:uid="{667F60D4-C6DE-4E95-AB46-E8ECDC1B1BA2}"/>
    <cellStyle name="Normal 8 7 3 4" xfId="30600" xr:uid="{4C2C9D47-174E-40CA-95D6-F1718E9DD900}"/>
    <cellStyle name="Normal 8 7 4" xfId="9488" xr:uid="{EA1F4D6F-D280-4204-8657-607E54500EFC}"/>
    <cellStyle name="Normal 8 7 5" xfId="17936" xr:uid="{DF24EC25-61A2-4E46-BAFD-441F725EDB71}"/>
    <cellStyle name="Normal 8 7 6" xfId="26383" xr:uid="{413DE3AE-F656-44B8-A0E9-E51899BC3EBE}"/>
    <cellStyle name="Normal 8 8" xfId="1362" xr:uid="{00000000-0005-0000-0000-00005F1E0000}"/>
    <cellStyle name="Normal 8 8 2" xfId="3592" xr:uid="{00000000-0005-0000-0000-0000601E0000}"/>
    <cellStyle name="Normal 8 8 2 2" xfId="7814" xr:uid="{00000000-0005-0000-0000-0000611E0000}"/>
    <cellStyle name="Normal 8 8 2 2 2" xfId="16264" xr:uid="{8A568BFF-346D-4566-9027-B7452FC52E0F}"/>
    <cellStyle name="Normal 8 8 2 2 3" xfId="24711" xr:uid="{BBEED5E8-77EA-4B91-89FB-787C56B0604B}"/>
    <cellStyle name="Normal 8 8 2 2 4" xfId="33158" xr:uid="{2D78F348-C773-4DD4-BDE8-D882D0A30DD3}"/>
    <cellStyle name="Normal 8 8 2 3" xfId="12046" xr:uid="{EB4F4A08-83FE-4F6C-B3C3-4F7AAF76BC1B}"/>
    <cellStyle name="Normal 8 8 2 4" xfId="20494" xr:uid="{9C9C3CF3-B4D7-464F-ACE6-B48607E6B417}"/>
    <cellStyle name="Normal 8 8 2 5" xfId="28941" xr:uid="{D5407AD8-6137-471F-A9DE-07D96C232298}"/>
    <cellStyle name="Normal 8 8 3" xfId="5669" xr:uid="{00000000-0005-0000-0000-0000621E0000}"/>
    <cellStyle name="Normal 8 8 3 2" xfId="14119" xr:uid="{6854F894-1E7F-4243-8192-E7DBA740E73B}"/>
    <cellStyle name="Normal 8 8 3 3" xfId="22566" xr:uid="{D7A66B5D-F309-45F2-84D6-EC5BF00F1397}"/>
    <cellStyle name="Normal 8 8 3 4" xfId="31013" xr:uid="{0497B6A1-BFE8-42AE-AA4D-96F5A4B866A9}"/>
    <cellStyle name="Normal 8 8 4" xfId="9901" xr:uid="{9129F458-6D1A-4D01-8AB6-90B8098A52D9}"/>
    <cellStyle name="Normal 8 8 5" xfId="18349" xr:uid="{2CD8F106-9B8D-4F20-A9E2-50B3FDC26E48}"/>
    <cellStyle name="Normal 8 8 6" xfId="26796" xr:uid="{3BDF0816-D14A-4D63-8D13-EF4926FD789E}"/>
    <cellStyle name="Normal 8 9" xfId="1775" xr:uid="{00000000-0005-0000-0000-0000631E0000}"/>
    <cellStyle name="Normal 8 9 2" xfId="4005" xr:uid="{00000000-0005-0000-0000-0000641E0000}"/>
    <cellStyle name="Normal 8 9 2 2" xfId="8227" xr:uid="{00000000-0005-0000-0000-0000651E0000}"/>
    <cellStyle name="Normal 8 9 2 2 2" xfId="16677" xr:uid="{F36F2A86-F12E-4A8F-B6C6-C37114A54B9E}"/>
    <cellStyle name="Normal 8 9 2 2 3" xfId="25124" xr:uid="{DFE69075-BC99-4DB4-9816-EE5124F975C8}"/>
    <cellStyle name="Normal 8 9 2 2 4" xfId="33571" xr:uid="{5E45DD1D-6960-4FA0-9B2B-031B78635216}"/>
    <cellStyle name="Normal 8 9 2 3" xfId="12459" xr:uid="{BDEF81FB-F33A-4AB0-B702-271A1A4CDA35}"/>
    <cellStyle name="Normal 8 9 2 4" xfId="20907" xr:uid="{0060D71E-6E26-4C18-9E46-48512D719FA2}"/>
    <cellStyle name="Normal 8 9 2 5" xfId="29354" xr:uid="{7DF88E99-A05E-42DE-B9C8-C87324611B6A}"/>
    <cellStyle name="Normal 8 9 3" xfId="6082" xr:uid="{00000000-0005-0000-0000-0000661E0000}"/>
    <cellStyle name="Normal 8 9 3 2" xfId="14532" xr:uid="{DA60A328-EFFB-4394-A695-2AD762CF48E1}"/>
    <cellStyle name="Normal 8 9 3 3" xfId="22979" xr:uid="{EB9896EC-C8ED-4DF3-81CD-3BBC0FB6FF0C}"/>
    <cellStyle name="Normal 8 9 3 4" xfId="31426" xr:uid="{D37D1B83-BB3E-4348-B8A6-DB4D258EA4BC}"/>
    <cellStyle name="Normal 8 9 4" xfId="10314" xr:uid="{EC4A93B1-2F80-4004-9E1A-8D87CD496FCE}"/>
    <cellStyle name="Normal 8 9 5" xfId="18762" xr:uid="{1EBF624C-1767-406C-AB1C-5B61994E0B86}"/>
    <cellStyle name="Normal 8 9 6" xfId="27209" xr:uid="{F9A7FDEC-067B-4A68-B756-AA6998174E0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12387D73-C7E9-4D67-B376-F8A1C5757E65}"/>
    <cellStyle name="Normal 9 2 10 2 3" xfId="23837" xr:uid="{41125B81-B65B-4FD0-BFB2-E0423F1E77B9}"/>
    <cellStyle name="Normal 9 2 10 2 4" xfId="32284" xr:uid="{51393479-4F78-4D11-AB31-1FD303F2EE69}"/>
    <cellStyle name="Normal 9 2 10 3" xfId="11172" xr:uid="{9F77B043-593B-4274-8EC5-6068B67B82DF}"/>
    <cellStyle name="Normal 9 2 10 4" xfId="19620" xr:uid="{B6F83D1D-888D-45D2-B973-8A311E9CD2C1}"/>
    <cellStyle name="Normal 9 2 10 5" xfId="28067" xr:uid="{683EF40A-F98E-4625-B97B-9CC0D083BB7A}"/>
    <cellStyle name="Normal 9 2 11" xfId="4875" xr:uid="{00000000-0005-0000-0000-00006B1E0000}"/>
    <cellStyle name="Normal 9 2 11 2" xfId="13325" xr:uid="{7D13C9E6-465E-4219-9003-A73B8086FE35}"/>
    <cellStyle name="Normal 9 2 11 3" xfId="21772" xr:uid="{906E54C3-E68A-4B85-BA1E-8B07E0403507}"/>
    <cellStyle name="Normal 9 2 11 4" xfId="30219" xr:uid="{95DA3C22-6555-4761-98BD-EC88FE6655BD}"/>
    <cellStyle name="Normal 9 2 12" xfId="9107" xr:uid="{B3CAB475-259A-48C5-B777-6CD7C2B8F839}"/>
    <cellStyle name="Normal 9 2 13" xfId="17555" xr:uid="{8544ED84-68B9-49B0-A291-49600E128945}"/>
    <cellStyle name="Normal 9 2 14" xfId="26002" xr:uid="{962FF257-A6C1-41FD-A923-D71E200B38F4}"/>
    <cellStyle name="Normal 9 2 2" xfId="512" xr:uid="{00000000-0005-0000-0000-00006C1E0000}"/>
    <cellStyle name="Normal 9 2 2 10" xfId="4876" xr:uid="{00000000-0005-0000-0000-00006D1E0000}"/>
    <cellStyle name="Normal 9 2 2 10 2" xfId="13326" xr:uid="{A0DC1654-D04C-4480-A045-4746C4F605E2}"/>
    <cellStyle name="Normal 9 2 2 10 3" xfId="21773" xr:uid="{378D0AD2-B874-4843-80FB-822910D225EC}"/>
    <cellStyle name="Normal 9 2 2 10 4" xfId="30220" xr:uid="{5887D1F7-5F06-4BBB-A3EF-9C9BC8AC923A}"/>
    <cellStyle name="Normal 9 2 2 11" xfId="9108" xr:uid="{D2E4B1DF-955F-41AD-BD39-BFE9154ED535}"/>
    <cellStyle name="Normal 9 2 2 12" xfId="17556" xr:uid="{1B103682-6FFA-4357-B980-FDAE08E4796C}"/>
    <cellStyle name="Normal 9 2 2 13" xfId="26003" xr:uid="{5DC57F58-33E0-4CA1-86EA-0860F56D228D}"/>
    <cellStyle name="Normal 9 2 2 2" xfId="513" xr:uid="{00000000-0005-0000-0000-00006E1E0000}"/>
    <cellStyle name="Normal 9 2 2 2 10" xfId="9109" xr:uid="{221D06BC-B338-4C4D-BA39-8A7E58470FCA}"/>
    <cellStyle name="Normal 9 2 2 2 11" xfId="17557" xr:uid="{6C71165E-A50C-4592-8847-1ED92154A71C}"/>
    <cellStyle name="Normal 9 2 2 2 12" xfId="26004" xr:uid="{11BF0764-EA21-4497-A4E1-495BB1A7F7F3}"/>
    <cellStyle name="Normal 9 2 2 2 2" xfId="514" xr:uid="{00000000-0005-0000-0000-00006F1E0000}"/>
    <cellStyle name="Normal 9 2 2 2 2 10" xfId="17558" xr:uid="{ED523586-0979-43EE-A95F-0278899EBCC3}"/>
    <cellStyle name="Normal 9 2 2 2 2 11" xfId="26005" xr:uid="{88AD7FA2-9BA9-4F2C-9DB2-84C51D81EC8F}"/>
    <cellStyle name="Normal 9 2 2 2 2 2" xfId="515" xr:uid="{00000000-0005-0000-0000-0000701E0000}"/>
    <cellStyle name="Normal 9 2 2 2 2 2 10" xfId="26006" xr:uid="{281A64BB-E8D4-41C6-8B4E-4A82AD546968}"/>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B8844AB7-BCE6-4E2B-B8AF-1D83DF5293C7}"/>
    <cellStyle name="Normal 9 2 2 2 2 2 2 2 2 3" xfId="24334" xr:uid="{F8DC1D07-FD36-43D7-A07C-5862244A8239}"/>
    <cellStyle name="Normal 9 2 2 2 2 2 2 2 2 4" xfId="32781" xr:uid="{9CC48C9A-3CB7-4366-A260-DAEFB3645014}"/>
    <cellStyle name="Normal 9 2 2 2 2 2 2 2 3" xfId="11669" xr:uid="{F06AD7ED-966D-4C85-A302-C974FABA1222}"/>
    <cellStyle name="Normal 9 2 2 2 2 2 2 2 4" xfId="20117" xr:uid="{2DD8DB68-36B4-4BD7-9045-554DEEFEB4B1}"/>
    <cellStyle name="Normal 9 2 2 2 2 2 2 2 5" xfId="28564" xr:uid="{65C04342-5595-458F-8DEC-F076594FE10F}"/>
    <cellStyle name="Normal 9 2 2 2 2 2 2 3" xfId="5292" xr:uid="{00000000-0005-0000-0000-0000741E0000}"/>
    <cellStyle name="Normal 9 2 2 2 2 2 2 3 2" xfId="13742" xr:uid="{51048EFB-B821-4B72-8394-C17A9F1CB493}"/>
    <cellStyle name="Normal 9 2 2 2 2 2 2 3 3" xfId="22189" xr:uid="{D59CF8B5-E404-4631-ACF0-AB35113132E0}"/>
    <cellStyle name="Normal 9 2 2 2 2 2 2 3 4" xfId="30636" xr:uid="{B0C6A563-3735-4E98-9EA1-707FF79FE95B}"/>
    <cellStyle name="Normal 9 2 2 2 2 2 2 4" xfId="9524" xr:uid="{B9D17353-1F03-4CDD-BBD5-5BC197649E51}"/>
    <cellStyle name="Normal 9 2 2 2 2 2 2 5" xfId="17972" xr:uid="{59F07370-C2A9-459C-8C62-4657B066352A}"/>
    <cellStyle name="Normal 9 2 2 2 2 2 2 6" xfId="26419" xr:uid="{87E0B60F-778F-4CBA-B455-7EB84A2217C4}"/>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B0543149-D852-4F55-8AA5-DF5A349CA2A8}"/>
    <cellStyle name="Normal 9 2 2 2 2 2 3 2 2 3" xfId="24747" xr:uid="{382D4B86-98FE-4DAE-8CF1-2E2309F6C4C7}"/>
    <cellStyle name="Normal 9 2 2 2 2 2 3 2 2 4" xfId="33194" xr:uid="{98A8F22D-B3AD-47A9-9B8D-2BD571D2C751}"/>
    <cellStyle name="Normal 9 2 2 2 2 2 3 2 3" xfId="12082" xr:uid="{C10EDFF3-E555-4C5F-9559-03B75FAFF0B6}"/>
    <cellStyle name="Normal 9 2 2 2 2 2 3 2 4" xfId="20530" xr:uid="{B8A328EF-407D-46E3-8848-9CF27020C1B2}"/>
    <cellStyle name="Normal 9 2 2 2 2 2 3 2 5" xfId="28977" xr:uid="{08A14F12-5510-40F1-9925-D81803016B63}"/>
    <cellStyle name="Normal 9 2 2 2 2 2 3 3" xfId="5705" xr:uid="{00000000-0005-0000-0000-0000781E0000}"/>
    <cellStyle name="Normal 9 2 2 2 2 2 3 3 2" xfId="14155" xr:uid="{C9CF9D37-FFB5-46E2-9768-626F09AFA022}"/>
    <cellStyle name="Normal 9 2 2 2 2 2 3 3 3" xfId="22602" xr:uid="{AA7F5CB3-4345-479F-BC0F-431C11FB690B}"/>
    <cellStyle name="Normal 9 2 2 2 2 2 3 3 4" xfId="31049" xr:uid="{BEC50CF0-D282-4D13-B31F-753BFDD8D63B}"/>
    <cellStyle name="Normal 9 2 2 2 2 2 3 4" xfId="9937" xr:uid="{2F8AE372-7A94-4F6D-97E4-FBCA3C819728}"/>
    <cellStyle name="Normal 9 2 2 2 2 2 3 5" xfId="18385" xr:uid="{7F007871-DB0C-47D9-A727-006FB6418D83}"/>
    <cellStyle name="Normal 9 2 2 2 2 2 3 6" xfId="26832" xr:uid="{07F33817-33F7-4318-B99C-52C4F951FB78}"/>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ECAC4DE3-8580-48D5-97D7-DADCF59D244A}"/>
    <cellStyle name="Normal 9 2 2 2 2 2 4 2 2 3" xfId="25160" xr:uid="{982970B1-89D4-4DD3-9AED-4A5B57EEAB0C}"/>
    <cellStyle name="Normal 9 2 2 2 2 2 4 2 2 4" xfId="33607" xr:uid="{F5E0A36F-CAE1-4223-A4D5-2BB17081621E}"/>
    <cellStyle name="Normal 9 2 2 2 2 2 4 2 3" xfId="12495" xr:uid="{A0F7FEEB-283F-4B57-9F28-C647265B57EA}"/>
    <cellStyle name="Normal 9 2 2 2 2 2 4 2 4" xfId="20943" xr:uid="{ACEF155F-7BAC-444B-8F1E-EA11F3B4FE54}"/>
    <cellStyle name="Normal 9 2 2 2 2 2 4 2 5" xfId="29390" xr:uid="{BFE8C128-6631-4EFF-922D-873B2E8FA758}"/>
    <cellStyle name="Normal 9 2 2 2 2 2 4 3" xfId="6118" xr:uid="{00000000-0005-0000-0000-00007C1E0000}"/>
    <cellStyle name="Normal 9 2 2 2 2 2 4 3 2" xfId="14568" xr:uid="{3CB67243-3EEF-4FE3-878D-FC43F4473DAC}"/>
    <cellStyle name="Normal 9 2 2 2 2 2 4 3 3" xfId="23015" xr:uid="{9477A1CB-2651-4E36-92D0-433B8B982D5E}"/>
    <cellStyle name="Normal 9 2 2 2 2 2 4 3 4" xfId="31462" xr:uid="{7308547C-3404-479F-8853-B1B66D795684}"/>
    <cellStyle name="Normal 9 2 2 2 2 2 4 4" xfId="10350" xr:uid="{75AE46B7-9372-4CA6-B02F-8E9B15D7B975}"/>
    <cellStyle name="Normal 9 2 2 2 2 2 4 5" xfId="18798" xr:uid="{652F95E2-8EAE-44D6-BE94-F96BE8429284}"/>
    <cellStyle name="Normal 9 2 2 2 2 2 4 6" xfId="27245" xr:uid="{AD470638-3F2E-4A70-8F27-B8194647CB17}"/>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AE2063D3-1FBA-40C0-B788-81DD2B891973}"/>
    <cellStyle name="Normal 9 2 2 2 2 2 5 2 2 3" xfId="25573" xr:uid="{5DC26DE3-080A-4FC3-A131-C5419D728BF3}"/>
    <cellStyle name="Normal 9 2 2 2 2 2 5 2 2 4" xfId="34020" xr:uid="{4DA4D139-E422-4C94-858B-E08D6B5B5611}"/>
    <cellStyle name="Normal 9 2 2 2 2 2 5 2 3" xfId="12908" xr:uid="{029CC939-011E-4BCC-8290-9898CC55CF41}"/>
    <cellStyle name="Normal 9 2 2 2 2 2 5 2 4" xfId="21356" xr:uid="{D934537E-8327-4268-A843-5C132F86CD3D}"/>
    <cellStyle name="Normal 9 2 2 2 2 2 5 2 5" xfId="29803" xr:uid="{43E4168D-5CE3-4FE6-9FA9-1343F3BC84DA}"/>
    <cellStyle name="Normal 9 2 2 2 2 2 5 3" xfId="6531" xr:uid="{00000000-0005-0000-0000-0000801E0000}"/>
    <cellStyle name="Normal 9 2 2 2 2 2 5 3 2" xfId="14981" xr:uid="{A2E16034-6CEF-45F4-B798-DBE8B185FC1B}"/>
    <cellStyle name="Normal 9 2 2 2 2 2 5 3 3" xfId="23428" xr:uid="{C291963D-28BB-4F6B-BEF2-26726A72D29E}"/>
    <cellStyle name="Normal 9 2 2 2 2 2 5 3 4" xfId="31875" xr:uid="{3E08A7C8-BC4B-4E05-AACE-4B53FE05B376}"/>
    <cellStyle name="Normal 9 2 2 2 2 2 5 4" xfId="10763" xr:uid="{A4E12C83-2460-4114-9070-3E5F762992CA}"/>
    <cellStyle name="Normal 9 2 2 2 2 2 5 5" xfId="19211" xr:uid="{AC3418CE-EB4B-48B5-A10D-3905D2FC97EA}"/>
    <cellStyle name="Normal 9 2 2 2 2 2 5 6" xfId="27658" xr:uid="{87CF3994-700C-47DE-80D9-69013787E423}"/>
    <cellStyle name="Normal 9 2 2 2 2 2 6" xfId="2661" xr:uid="{00000000-0005-0000-0000-0000811E0000}"/>
    <cellStyle name="Normal 9 2 2 2 2 2 6 2" xfId="6944" xr:uid="{00000000-0005-0000-0000-0000821E0000}"/>
    <cellStyle name="Normal 9 2 2 2 2 2 6 2 2" xfId="15394" xr:uid="{B3D49E0F-BEA2-455C-B3FB-33AFBAEEE9FA}"/>
    <cellStyle name="Normal 9 2 2 2 2 2 6 2 3" xfId="23841" xr:uid="{0D11C988-45BE-44A3-BAA8-D7C076283C9B}"/>
    <cellStyle name="Normal 9 2 2 2 2 2 6 2 4" xfId="32288" xr:uid="{C3BC06E6-3F95-4A67-A586-47E57C9D74A3}"/>
    <cellStyle name="Normal 9 2 2 2 2 2 6 3" xfId="11176" xr:uid="{572A9F1F-7547-4C22-9365-32A23D5D52F3}"/>
    <cellStyle name="Normal 9 2 2 2 2 2 6 4" xfId="19624" xr:uid="{56D3801C-081D-4E85-B040-337A68C81227}"/>
    <cellStyle name="Normal 9 2 2 2 2 2 6 5" xfId="28071" xr:uid="{37499180-870B-4CD7-BB21-05EC3A481781}"/>
    <cellStyle name="Normal 9 2 2 2 2 2 7" xfId="4879" xr:uid="{00000000-0005-0000-0000-0000831E0000}"/>
    <cellStyle name="Normal 9 2 2 2 2 2 7 2" xfId="13329" xr:uid="{F82F0826-B4ED-4E4C-B401-3D4D8E258A77}"/>
    <cellStyle name="Normal 9 2 2 2 2 2 7 3" xfId="21776" xr:uid="{AE0CF5CF-096B-4A7A-8148-9454C06DCF38}"/>
    <cellStyle name="Normal 9 2 2 2 2 2 7 4" xfId="30223" xr:uid="{688797AC-A8A4-446F-9B79-C7910BC7A4CB}"/>
    <cellStyle name="Normal 9 2 2 2 2 2 8" xfId="9111" xr:uid="{7521BFFD-85E3-452D-AF75-918AFB093957}"/>
    <cellStyle name="Normal 9 2 2 2 2 2 9" xfId="17559" xr:uid="{BA84A730-9FA3-4096-BF94-004A0886E22B}"/>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E7074CFC-4BA6-43D0-82EC-F4DBA3DC909E}"/>
    <cellStyle name="Normal 9 2 2 2 2 3 2 2 3" xfId="24333" xr:uid="{9C585049-CEC3-487D-91D0-DB281C193C19}"/>
    <cellStyle name="Normal 9 2 2 2 2 3 2 2 4" xfId="32780" xr:uid="{1B7D5C6D-1A77-421F-9632-2F9818D5A02B}"/>
    <cellStyle name="Normal 9 2 2 2 2 3 2 3" xfId="11668" xr:uid="{E9894D60-2B92-4182-8364-53715B15FFDF}"/>
    <cellStyle name="Normal 9 2 2 2 2 3 2 4" xfId="20116" xr:uid="{BA2FA8CF-D247-46FD-8877-E28544E8B07F}"/>
    <cellStyle name="Normal 9 2 2 2 2 3 2 5" xfId="28563" xr:uid="{DAD1F485-540D-4541-9EBC-9058FD5CEE15}"/>
    <cellStyle name="Normal 9 2 2 2 2 3 3" xfId="5291" xr:uid="{00000000-0005-0000-0000-0000871E0000}"/>
    <cellStyle name="Normal 9 2 2 2 2 3 3 2" xfId="13741" xr:uid="{86025E11-B195-4704-9D89-8BDF6351C28D}"/>
    <cellStyle name="Normal 9 2 2 2 2 3 3 3" xfId="22188" xr:uid="{066E71DE-B58E-4671-A42B-4466D3B32A7D}"/>
    <cellStyle name="Normal 9 2 2 2 2 3 3 4" xfId="30635" xr:uid="{B5593F03-E12E-4A8F-AEF2-4F2E77C4411B}"/>
    <cellStyle name="Normal 9 2 2 2 2 3 4" xfId="9523" xr:uid="{991FE635-FB71-448C-975F-682CD6BA3259}"/>
    <cellStyle name="Normal 9 2 2 2 2 3 5" xfId="17971" xr:uid="{BF521CEF-7C7F-4405-8458-BB45DFE1CE1A}"/>
    <cellStyle name="Normal 9 2 2 2 2 3 6" xfId="26418" xr:uid="{D8CE889E-353E-4DBC-AF0A-21142BD9808E}"/>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15957992-9E14-47A7-8446-2CA2201A48C9}"/>
    <cellStyle name="Normal 9 2 2 2 2 4 2 2 3" xfId="24746" xr:uid="{687A788A-94DA-4380-8FFB-3C3EC1EE60E7}"/>
    <cellStyle name="Normal 9 2 2 2 2 4 2 2 4" xfId="33193" xr:uid="{7CDA744C-71B2-40A0-862C-83441C72C4C9}"/>
    <cellStyle name="Normal 9 2 2 2 2 4 2 3" xfId="12081" xr:uid="{5D29217A-83A7-4AE9-8E4A-158BDB5C42FA}"/>
    <cellStyle name="Normal 9 2 2 2 2 4 2 4" xfId="20529" xr:uid="{FF50806E-FAC1-451E-AAD3-781532960C42}"/>
    <cellStyle name="Normal 9 2 2 2 2 4 2 5" xfId="28976" xr:uid="{7F99244F-E579-4A91-9405-1228F38C1CE5}"/>
    <cellStyle name="Normal 9 2 2 2 2 4 3" xfId="5704" xr:uid="{00000000-0005-0000-0000-00008B1E0000}"/>
    <cellStyle name="Normal 9 2 2 2 2 4 3 2" xfId="14154" xr:uid="{0C5DDDDB-9B41-44B0-A32D-5DC9183BCBE2}"/>
    <cellStyle name="Normal 9 2 2 2 2 4 3 3" xfId="22601" xr:uid="{67EF9B75-4181-41B7-A903-3DB3A5077B3D}"/>
    <cellStyle name="Normal 9 2 2 2 2 4 3 4" xfId="31048" xr:uid="{A6388F45-32FA-4738-9518-158F1EB970AA}"/>
    <cellStyle name="Normal 9 2 2 2 2 4 4" xfId="9936" xr:uid="{1DCF8777-C8F2-4E9A-8669-FCD163E54E2C}"/>
    <cellStyle name="Normal 9 2 2 2 2 4 5" xfId="18384" xr:uid="{B93FF46A-EAF7-4592-BDB9-29E6605EA762}"/>
    <cellStyle name="Normal 9 2 2 2 2 4 6" xfId="26831" xr:uid="{4CDDE337-8589-4870-92BF-CAF0FBD56A4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108B7928-6EC1-451B-B137-C8EA3AD16777}"/>
    <cellStyle name="Normal 9 2 2 2 2 5 2 2 3" xfId="25159" xr:uid="{50985CC6-A53D-4691-9768-8F680C22D723}"/>
    <cellStyle name="Normal 9 2 2 2 2 5 2 2 4" xfId="33606" xr:uid="{A36CBD23-7E4D-4FC8-9A0F-9455DE5BD205}"/>
    <cellStyle name="Normal 9 2 2 2 2 5 2 3" xfId="12494" xr:uid="{829663B2-93BD-4717-BDE9-DF8C574796BB}"/>
    <cellStyle name="Normal 9 2 2 2 2 5 2 4" xfId="20942" xr:uid="{D3C4E6B2-FE61-43E9-A36B-CFDAE4C76173}"/>
    <cellStyle name="Normal 9 2 2 2 2 5 2 5" xfId="29389" xr:uid="{B972BBA4-0E9D-4F03-B02A-FE4401805810}"/>
    <cellStyle name="Normal 9 2 2 2 2 5 3" xfId="6117" xr:uid="{00000000-0005-0000-0000-00008F1E0000}"/>
    <cellStyle name="Normal 9 2 2 2 2 5 3 2" xfId="14567" xr:uid="{0A3CE2EF-3A71-456C-9210-2D78E5100AD0}"/>
    <cellStyle name="Normal 9 2 2 2 2 5 3 3" xfId="23014" xr:uid="{E9001A6E-D432-441F-8A31-734C0E3A4C0A}"/>
    <cellStyle name="Normal 9 2 2 2 2 5 3 4" xfId="31461" xr:uid="{FAF4F285-32CF-42FB-8C4F-77F2C95FDC37}"/>
    <cellStyle name="Normal 9 2 2 2 2 5 4" xfId="10349" xr:uid="{44C7D85B-2111-48EE-A97C-1C5F8FE1DAAC}"/>
    <cellStyle name="Normal 9 2 2 2 2 5 5" xfId="18797" xr:uid="{D3304F87-D567-4E2E-9071-D31F427A2F2D}"/>
    <cellStyle name="Normal 9 2 2 2 2 5 6" xfId="27244" xr:uid="{9D4A05E8-F33B-43D0-9F5A-27A241D7063F}"/>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C4A60030-DA62-4673-9FD7-23DD3B0B7379}"/>
    <cellStyle name="Normal 9 2 2 2 2 6 2 2 3" xfId="25572" xr:uid="{E0F042E4-753D-44E6-A24B-98A38D08C745}"/>
    <cellStyle name="Normal 9 2 2 2 2 6 2 2 4" xfId="34019" xr:uid="{1577D40F-3EAE-4F9F-BF7B-FC49518723DD}"/>
    <cellStyle name="Normal 9 2 2 2 2 6 2 3" xfId="12907" xr:uid="{20FA8F7C-206C-424F-8483-B39B9A122390}"/>
    <cellStyle name="Normal 9 2 2 2 2 6 2 4" xfId="21355" xr:uid="{0B640190-63A2-40BD-99E2-F86800DA3F9C}"/>
    <cellStyle name="Normal 9 2 2 2 2 6 2 5" xfId="29802" xr:uid="{C0AD00D2-5230-4275-BD46-2350D1F214DE}"/>
    <cellStyle name="Normal 9 2 2 2 2 6 3" xfId="6530" xr:uid="{00000000-0005-0000-0000-0000931E0000}"/>
    <cellStyle name="Normal 9 2 2 2 2 6 3 2" xfId="14980" xr:uid="{1D74861A-D397-46AE-A667-5175E4829F27}"/>
    <cellStyle name="Normal 9 2 2 2 2 6 3 3" xfId="23427" xr:uid="{20C08BBD-0F0A-4119-AE74-49FEEA81E9E2}"/>
    <cellStyle name="Normal 9 2 2 2 2 6 3 4" xfId="31874" xr:uid="{2933F5A7-6BC6-4725-B526-F6E4604AB345}"/>
    <cellStyle name="Normal 9 2 2 2 2 6 4" xfId="10762" xr:uid="{E18F4764-7981-4AB6-BAF3-A57A19FA3EF1}"/>
    <cellStyle name="Normal 9 2 2 2 2 6 5" xfId="19210" xr:uid="{A42EBB1F-F17B-4F06-BC5B-ACA79604BC23}"/>
    <cellStyle name="Normal 9 2 2 2 2 6 6" xfId="27657" xr:uid="{907AC3EE-5991-4F33-9DD5-68BB8E5B0D95}"/>
    <cellStyle name="Normal 9 2 2 2 2 7" xfId="2660" xr:uid="{00000000-0005-0000-0000-0000941E0000}"/>
    <cellStyle name="Normal 9 2 2 2 2 7 2" xfId="6943" xr:uid="{00000000-0005-0000-0000-0000951E0000}"/>
    <cellStyle name="Normal 9 2 2 2 2 7 2 2" xfId="15393" xr:uid="{82B3037E-4106-41DC-A593-DA0AB6045604}"/>
    <cellStyle name="Normal 9 2 2 2 2 7 2 3" xfId="23840" xr:uid="{E62A060A-D630-4B06-9870-D924790DCEF2}"/>
    <cellStyle name="Normal 9 2 2 2 2 7 2 4" xfId="32287" xr:uid="{2BB39FF0-95ED-45BB-BD05-197828D0F063}"/>
    <cellStyle name="Normal 9 2 2 2 2 7 3" xfId="11175" xr:uid="{63FB092F-AA86-426F-88D4-563AD0D959BD}"/>
    <cellStyle name="Normal 9 2 2 2 2 7 4" xfId="19623" xr:uid="{6B7243EA-178E-451D-A7AE-61A53FB6A2F7}"/>
    <cellStyle name="Normal 9 2 2 2 2 7 5" xfId="28070" xr:uid="{548D310C-DF66-4A6F-AEE7-756B33667F4A}"/>
    <cellStyle name="Normal 9 2 2 2 2 8" xfId="4878" xr:uid="{00000000-0005-0000-0000-0000961E0000}"/>
    <cellStyle name="Normal 9 2 2 2 2 8 2" xfId="13328" xr:uid="{01076A83-2971-4BF0-B366-3AEB3F9B6EA3}"/>
    <cellStyle name="Normal 9 2 2 2 2 8 3" xfId="21775" xr:uid="{51C85E17-0658-4E8D-9CEE-CD3FB78FE551}"/>
    <cellStyle name="Normal 9 2 2 2 2 8 4" xfId="30222" xr:uid="{D3272D58-6338-4825-B3D9-270D889C4433}"/>
    <cellStyle name="Normal 9 2 2 2 2 9" xfId="9110" xr:uid="{C317EA44-B5CE-44C9-88EC-4B4E8945DB6F}"/>
    <cellStyle name="Normal 9 2 2 2 3" xfId="516" xr:uid="{00000000-0005-0000-0000-0000971E0000}"/>
    <cellStyle name="Normal 9 2 2 2 3 10" xfId="26007" xr:uid="{25F6A3CA-EA5C-484B-AAD8-D61F9B7F7717}"/>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5FD8720B-F045-4E7F-A782-6DD9D306276E}"/>
    <cellStyle name="Normal 9 2 2 2 3 2 2 2 3" xfId="24335" xr:uid="{4D9AD113-F2A7-47DD-A743-7C60B8B73B36}"/>
    <cellStyle name="Normal 9 2 2 2 3 2 2 2 4" xfId="32782" xr:uid="{599294C2-3775-4271-8262-AE2CBA7A7D18}"/>
    <cellStyle name="Normal 9 2 2 2 3 2 2 3" xfId="11670" xr:uid="{17F685C2-5E69-44BE-883D-9CFF713B7DF1}"/>
    <cellStyle name="Normal 9 2 2 2 3 2 2 4" xfId="20118" xr:uid="{B71F8F83-5104-478F-A958-82C7680DD838}"/>
    <cellStyle name="Normal 9 2 2 2 3 2 2 5" xfId="28565" xr:uid="{89702312-927E-46E3-A643-19F734F1DEB0}"/>
    <cellStyle name="Normal 9 2 2 2 3 2 3" xfId="5293" xr:uid="{00000000-0005-0000-0000-00009B1E0000}"/>
    <cellStyle name="Normal 9 2 2 2 3 2 3 2" xfId="13743" xr:uid="{180A1BA3-E9E2-4613-BBF3-7D5645937ED4}"/>
    <cellStyle name="Normal 9 2 2 2 3 2 3 3" xfId="22190" xr:uid="{B46C73E4-A769-4255-AEC6-276484C29DEE}"/>
    <cellStyle name="Normal 9 2 2 2 3 2 3 4" xfId="30637" xr:uid="{3CC146D9-0BFE-41CA-AB3B-6E91962DF1E6}"/>
    <cellStyle name="Normal 9 2 2 2 3 2 4" xfId="9525" xr:uid="{C2BFBA15-FB33-47A4-A867-31EECAE0C1CC}"/>
    <cellStyle name="Normal 9 2 2 2 3 2 5" xfId="17973" xr:uid="{E9C5BCCE-FFBD-497A-A1C8-0790F791D709}"/>
    <cellStyle name="Normal 9 2 2 2 3 2 6" xfId="26420" xr:uid="{56B30C83-6977-4A17-BA81-E31620C88548}"/>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C5C6A58D-9EC6-48F7-BADA-FAF41E994E24}"/>
    <cellStyle name="Normal 9 2 2 2 3 3 2 2 3" xfId="24748" xr:uid="{68FF9A7E-6B84-4FC2-A991-26D3F075DE6B}"/>
    <cellStyle name="Normal 9 2 2 2 3 3 2 2 4" xfId="33195" xr:uid="{92B13F5A-FAD5-4C6A-A2C9-BCBBC90FD2C6}"/>
    <cellStyle name="Normal 9 2 2 2 3 3 2 3" xfId="12083" xr:uid="{71227412-8C8B-4FD1-B938-C404CE3708F3}"/>
    <cellStyle name="Normal 9 2 2 2 3 3 2 4" xfId="20531" xr:uid="{A44E9670-492E-446D-A119-9CB677A237B8}"/>
    <cellStyle name="Normal 9 2 2 2 3 3 2 5" xfId="28978" xr:uid="{E72384D4-946C-4215-84DB-751E923AF1EA}"/>
    <cellStyle name="Normal 9 2 2 2 3 3 3" xfId="5706" xr:uid="{00000000-0005-0000-0000-00009F1E0000}"/>
    <cellStyle name="Normal 9 2 2 2 3 3 3 2" xfId="14156" xr:uid="{4DEF5911-BA1B-49FD-ADA3-6C4DCBBB446D}"/>
    <cellStyle name="Normal 9 2 2 2 3 3 3 3" xfId="22603" xr:uid="{25FAAFE5-9419-4C3A-A12B-16384FC80884}"/>
    <cellStyle name="Normal 9 2 2 2 3 3 3 4" xfId="31050" xr:uid="{074E1810-D54C-4309-BF02-74FC6BFE8AD0}"/>
    <cellStyle name="Normal 9 2 2 2 3 3 4" xfId="9938" xr:uid="{5E0D5F94-91D7-40D5-9FC9-21C6BC18D202}"/>
    <cellStyle name="Normal 9 2 2 2 3 3 5" xfId="18386" xr:uid="{A6AAFFC6-C5CE-4D4A-B264-50BBAAFCE9E4}"/>
    <cellStyle name="Normal 9 2 2 2 3 3 6" xfId="26833" xr:uid="{07C10343-0140-49CA-85CF-649FB2933FFC}"/>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736245DE-2164-4D7D-B0D0-C07C8B65CD6D}"/>
    <cellStyle name="Normal 9 2 2 2 3 4 2 2 3" xfId="25161" xr:uid="{DFC33C39-9921-4162-A5E6-6886CE2394E4}"/>
    <cellStyle name="Normal 9 2 2 2 3 4 2 2 4" xfId="33608" xr:uid="{5DAF2D80-6B5B-41EE-9C4D-2B6C92F45713}"/>
    <cellStyle name="Normal 9 2 2 2 3 4 2 3" xfId="12496" xr:uid="{DFD2EECB-A8A1-4C5D-9B36-88DB12AFE64B}"/>
    <cellStyle name="Normal 9 2 2 2 3 4 2 4" xfId="20944" xr:uid="{45D355DB-F772-4B86-BE23-ACA2C03F5354}"/>
    <cellStyle name="Normal 9 2 2 2 3 4 2 5" xfId="29391" xr:uid="{FBC4ED22-4DFF-4081-9408-873B2E7795BC}"/>
    <cellStyle name="Normal 9 2 2 2 3 4 3" xfId="6119" xr:uid="{00000000-0005-0000-0000-0000A31E0000}"/>
    <cellStyle name="Normal 9 2 2 2 3 4 3 2" xfId="14569" xr:uid="{9A007D0D-1C42-4A71-ADAE-570C8F0BBB14}"/>
    <cellStyle name="Normal 9 2 2 2 3 4 3 3" xfId="23016" xr:uid="{12822524-3AB0-49C3-99CC-41A269749C66}"/>
    <cellStyle name="Normal 9 2 2 2 3 4 3 4" xfId="31463" xr:uid="{2EB0A2F6-ADEC-44CC-B60D-F3264888A600}"/>
    <cellStyle name="Normal 9 2 2 2 3 4 4" xfId="10351" xr:uid="{6A339A9F-10B0-49FC-A047-ECC6EE896674}"/>
    <cellStyle name="Normal 9 2 2 2 3 4 5" xfId="18799" xr:uid="{E2E0B614-1569-4D83-8134-99E47A488E6C}"/>
    <cellStyle name="Normal 9 2 2 2 3 4 6" xfId="27246" xr:uid="{085415B7-D170-46D8-AE2F-15B6A5C5203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7C91570E-2E75-424B-808A-58B0D389802B}"/>
    <cellStyle name="Normal 9 2 2 2 3 5 2 2 3" xfId="25574" xr:uid="{12EAB347-22E2-4615-A711-3C2264148757}"/>
    <cellStyle name="Normal 9 2 2 2 3 5 2 2 4" xfId="34021" xr:uid="{ADE3CD09-BF66-4287-B8F5-289B6171BC72}"/>
    <cellStyle name="Normal 9 2 2 2 3 5 2 3" xfId="12909" xr:uid="{1E7AF30F-6007-4AF2-AE7B-434D6E21DB6A}"/>
    <cellStyle name="Normal 9 2 2 2 3 5 2 4" xfId="21357" xr:uid="{5CD9CA10-E6CF-4879-90A6-0833CA80FECA}"/>
    <cellStyle name="Normal 9 2 2 2 3 5 2 5" xfId="29804" xr:uid="{4A52027F-E336-4467-BB69-CB0C24A6FACF}"/>
    <cellStyle name="Normal 9 2 2 2 3 5 3" xfId="6532" xr:uid="{00000000-0005-0000-0000-0000A71E0000}"/>
    <cellStyle name="Normal 9 2 2 2 3 5 3 2" xfId="14982" xr:uid="{DE63D808-6F03-4E3A-B1CD-689AB98695DD}"/>
    <cellStyle name="Normal 9 2 2 2 3 5 3 3" xfId="23429" xr:uid="{2D3CA4B3-0F35-434B-ABA0-5A55D71CB599}"/>
    <cellStyle name="Normal 9 2 2 2 3 5 3 4" xfId="31876" xr:uid="{89A905D1-AEBB-4F2E-8C0C-CB758EDB3FD4}"/>
    <cellStyle name="Normal 9 2 2 2 3 5 4" xfId="10764" xr:uid="{49C2C661-F9AA-4D0A-A4AC-2AC63FE37E65}"/>
    <cellStyle name="Normal 9 2 2 2 3 5 5" xfId="19212" xr:uid="{F3C6CEB4-28AD-4E25-96CC-7F766BCE1E55}"/>
    <cellStyle name="Normal 9 2 2 2 3 5 6" xfId="27659" xr:uid="{674BB80C-ACB4-4401-9211-E6088F6BBFE1}"/>
    <cellStyle name="Normal 9 2 2 2 3 6" xfId="2662" xr:uid="{00000000-0005-0000-0000-0000A81E0000}"/>
    <cellStyle name="Normal 9 2 2 2 3 6 2" xfId="6945" xr:uid="{00000000-0005-0000-0000-0000A91E0000}"/>
    <cellStyle name="Normal 9 2 2 2 3 6 2 2" xfId="15395" xr:uid="{EA81C388-1723-4E11-BAE4-CE3469C77F4C}"/>
    <cellStyle name="Normal 9 2 2 2 3 6 2 3" xfId="23842" xr:uid="{993F2737-27D2-484A-B23A-F90D70A52B5C}"/>
    <cellStyle name="Normal 9 2 2 2 3 6 2 4" xfId="32289" xr:uid="{20FF9306-AEC7-4D4B-ADC6-C512A78C3675}"/>
    <cellStyle name="Normal 9 2 2 2 3 6 3" xfId="11177" xr:uid="{697728CB-7947-40D1-A276-D0FC8E1C3D5E}"/>
    <cellStyle name="Normal 9 2 2 2 3 6 4" xfId="19625" xr:uid="{0BE8704D-349D-4B26-A439-8D895779A86D}"/>
    <cellStyle name="Normal 9 2 2 2 3 6 5" xfId="28072" xr:uid="{A3E0D9A4-C393-410C-B732-658915534D50}"/>
    <cellStyle name="Normal 9 2 2 2 3 7" xfId="4880" xr:uid="{00000000-0005-0000-0000-0000AA1E0000}"/>
    <cellStyle name="Normal 9 2 2 2 3 7 2" xfId="13330" xr:uid="{F62343C8-CDE3-4D18-9DB1-EB42B9795288}"/>
    <cellStyle name="Normal 9 2 2 2 3 7 3" xfId="21777" xr:uid="{CCD854BA-93AC-4AF2-9227-C5CC85804091}"/>
    <cellStyle name="Normal 9 2 2 2 3 7 4" xfId="30224" xr:uid="{3E33EA89-6BF0-46F8-B1FA-F03FB5940F8B}"/>
    <cellStyle name="Normal 9 2 2 2 3 8" xfId="9112" xr:uid="{1E267770-7B5E-4DF2-B532-F7BA751E5E50}"/>
    <cellStyle name="Normal 9 2 2 2 3 9" xfId="17560" xr:uid="{09D18AEE-806E-4806-B54E-6FDAE481531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6D74A2B2-3A04-4644-94E8-EE4F4BAE045F}"/>
    <cellStyle name="Normal 9 2 2 2 4 2 2 3" xfId="24332" xr:uid="{338E90F3-848B-4BA1-8129-B6563433692C}"/>
    <cellStyle name="Normal 9 2 2 2 4 2 2 4" xfId="32779" xr:uid="{35395E9A-D882-4041-8492-02B4A05027E1}"/>
    <cellStyle name="Normal 9 2 2 2 4 2 3" xfId="11667" xr:uid="{F46CED13-15AE-433E-B4BB-C5044B84CAAD}"/>
    <cellStyle name="Normal 9 2 2 2 4 2 4" xfId="20115" xr:uid="{559EB8B7-1B73-47AF-AB52-67F67508B23E}"/>
    <cellStyle name="Normal 9 2 2 2 4 2 5" xfId="28562" xr:uid="{FEB4E235-5E39-4B81-8000-1108BC1ED668}"/>
    <cellStyle name="Normal 9 2 2 2 4 3" xfId="5290" xr:uid="{00000000-0005-0000-0000-0000AE1E0000}"/>
    <cellStyle name="Normal 9 2 2 2 4 3 2" xfId="13740" xr:uid="{DD6205F5-87B8-4033-98DA-5D6095CC7224}"/>
    <cellStyle name="Normal 9 2 2 2 4 3 3" xfId="22187" xr:uid="{5FC4132E-FD05-4386-A63D-2497EA347105}"/>
    <cellStyle name="Normal 9 2 2 2 4 3 4" xfId="30634" xr:uid="{64AFFF21-3C99-4305-B151-90B49FBE257E}"/>
    <cellStyle name="Normal 9 2 2 2 4 4" xfId="9522" xr:uid="{FB1FBB49-2FE5-4678-B3D2-6DBACFF5FD2B}"/>
    <cellStyle name="Normal 9 2 2 2 4 5" xfId="17970" xr:uid="{44338720-697E-4370-94AE-0FBC7076DD09}"/>
    <cellStyle name="Normal 9 2 2 2 4 6" xfId="26417" xr:uid="{3258B7F4-9992-47E8-BB76-F3A86935DF03}"/>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465288CA-C2E3-4883-A21A-BEED33D7C95A}"/>
    <cellStyle name="Normal 9 2 2 2 5 2 2 3" xfId="24745" xr:uid="{3119A3C1-CDD3-4355-B6D2-31F73B46E93F}"/>
    <cellStyle name="Normal 9 2 2 2 5 2 2 4" xfId="33192" xr:uid="{2E7770CA-FD62-4CCB-907E-9636137B3944}"/>
    <cellStyle name="Normal 9 2 2 2 5 2 3" xfId="12080" xr:uid="{E6235289-4598-4A96-822C-2D063BB5C535}"/>
    <cellStyle name="Normal 9 2 2 2 5 2 4" xfId="20528" xr:uid="{6C6586E1-48F8-412A-88B4-23DADA8C0B50}"/>
    <cellStyle name="Normal 9 2 2 2 5 2 5" xfId="28975" xr:uid="{76869355-A2E9-4112-AE06-3B3551A7FBDD}"/>
    <cellStyle name="Normal 9 2 2 2 5 3" xfId="5703" xr:uid="{00000000-0005-0000-0000-0000B21E0000}"/>
    <cellStyle name="Normal 9 2 2 2 5 3 2" xfId="14153" xr:uid="{BFC65413-C030-48AF-AF76-5B67D5D60321}"/>
    <cellStyle name="Normal 9 2 2 2 5 3 3" xfId="22600" xr:uid="{FD501D7A-840C-4086-ABAD-10E9B3E5F8B1}"/>
    <cellStyle name="Normal 9 2 2 2 5 3 4" xfId="31047" xr:uid="{6FA9424D-289F-4521-A221-60BB2B9AC48B}"/>
    <cellStyle name="Normal 9 2 2 2 5 4" xfId="9935" xr:uid="{0E546755-7910-403E-AA32-8C64572732C6}"/>
    <cellStyle name="Normal 9 2 2 2 5 5" xfId="18383" xr:uid="{DF30109F-6A27-40A8-B7E3-5FED399E8C81}"/>
    <cellStyle name="Normal 9 2 2 2 5 6" xfId="26830" xr:uid="{FC557273-F72D-452E-B7FB-293115D3EE4A}"/>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EF47B698-CB2C-48F7-9DC1-7D90579EC421}"/>
    <cellStyle name="Normal 9 2 2 2 6 2 2 3" xfId="25158" xr:uid="{9F892E32-5D41-43FF-8E29-AA30D60C58E5}"/>
    <cellStyle name="Normal 9 2 2 2 6 2 2 4" xfId="33605" xr:uid="{20C3DAF5-E48B-400A-9F02-1403CB893AD4}"/>
    <cellStyle name="Normal 9 2 2 2 6 2 3" xfId="12493" xr:uid="{919B84ED-AC49-46E5-A848-DD5D9F3796B6}"/>
    <cellStyle name="Normal 9 2 2 2 6 2 4" xfId="20941" xr:uid="{F00AFB02-0A61-4F00-9DE8-408F0D7FBB67}"/>
    <cellStyle name="Normal 9 2 2 2 6 2 5" xfId="29388" xr:uid="{44E9C432-73B9-4206-977C-2119CFCEBE85}"/>
    <cellStyle name="Normal 9 2 2 2 6 3" xfId="6116" xr:uid="{00000000-0005-0000-0000-0000B61E0000}"/>
    <cellStyle name="Normal 9 2 2 2 6 3 2" xfId="14566" xr:uid="{90D1F037-6215-4B8D-B4F0-86CF32493E52}"/>
    <cellStyle name="Normal 9 2 2 2 6 3 3" xfId="23013" xr:uid="{9C160191-192C-42A8-B60F-967F3F32E578}"/>
    <cellStyle name="Normal 9 2 2 2 6 3 4" xfId="31460" xr:uid="{0D0C2E6B-E851-4EE2-97FA-83C9403F2DD6}"/>
    <cellStyle name="Normal 9 2 2 2 6 4" xfId="10348" xr:uid="{C192D7F3-BA29-428A-BAAE-C400A8C64022}"/>
    <cellStyle name="Normal 9 2 2 2 6 5" xfId="18796" xr:uid="{A9BE4DE3-6D35-4C51-BC63-DE2F9499659A}"/>
    <cellStyle name="Normal 9 2 2 2 6 6" xfId="27243" xr:uid="{AED6B69F-F47A-47C0-90A7-321F050F5F7C}"/>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47AA01E8-31F9-41D3-A691-5E34BFD664FB}"/>
    <cellStyle name="Normal 9 2 2 2 7 2 2 3" xfId="25571" xr:uid="{4CB43536-B773-46B9-A591-9A5972121D87}"/>
    <cellStyle name="Normal 9 2 2 2 7 2 2 4" xfId="34018" xr:uid="{6C3BD1EA-10A9-46BE-A7B1-9F8122536881}"/>
    <cellStyle name="Normal 9 2 2 2 7 2 3" xfId="12906" xr:uid="{96021A02-3FB1-40F6-AD3E-394885356804}"/>
    <cellStyle name="Normal 9 2 2 2 7 2 4" xfId="21354" xr:uid="{09258796-BEE6-4EFB-B121-51C26D89DBA3}"/>
    <cellStyle name="Normal 9 2 2 2 7 2 5" xfId="29801" xr:uid="{4B0D44EF-037C-4EF3-89E8-B07102162DC4}"/>
    <cellStyle name="Normal 9 2 2 2 7 3" xfId="6529" xr:uid="{00000000-0005-0000-0000-0000BA1E0000}"/>
    <cellStyle name="Normal 9 2 2 2 7 3 2" xfId="14979" xr:uid="{EE2DEF42-E00A-4787-BD75-6E508D535858}"/>
    <cellStyle name="Normal 9 2 2 2 7 3 3" xfId="23426" xr:uid="{0769DC07-07DA-4997-8C2C-BC38B6F527C7}"/>
    <cellStyle name="Normal 9 2 2 2 7 3 4" xfId="31873" xr:uid="{5F64A6D7-CA9A-49FD-83DE-FC3041401DA4}"/>
    <cellStyle name="Normal 9 2 2 2 7 4" xfId="10761" xr:uid="{84C6C85D-F889-47E2-B576-363A5229D157}"/>
    <cellStyle name="Normal 9 2 2 2 7 5" xfId="19209" xr:uid="{707082EE-6FD2-4A32-BF8D-565B0DA0E58D}"/>
    <cellStyle name="Normal 9 2 2 2 7 6" xfId="27656" xr:uid="{5077528E-D995-4DE2-81EF-F505D8FBF2D9}"/>
    <cellStyle name="Normal 9 2 2 2 8" xfId="2659" xr:uid="{00000000-0005-0000-0000-0000BB1E0000}"/>
    <cellStyle name="Normal 9 2 2 2 8 2" xfId="6942" xr:uid="{00000000-0005-0000-0000-0000BC1E0000}"/>
    <cellStyle name="Normal 9 2 2 2 8 2 2" xfId="15392" xr:uid="{7001FF94-331B-44EA-A163-168B12EE00C4}"/>
    <cellStyle name="Normal 9 2 2 2 8 2 3" xfId="23839" xr:uid="{63228F3F-1D50-40DA-9DB2-9D57E5CA8ED1}"/>
    <cellStyle name="Normal 9 2 2 2 8 2 4" xfId="32286" xr:uid="{14EAB092-37CB-4586-BC75-2089ED81DBFE}"/>
    <cellStyle name="Normal 9 2 2 2 8 3" xfId="11174" xr:uid="{A2E1A25A-88A8-4205-973F-A2922D911733}"/>
    <cellStyle name="Normal 9 2 2 2 8 4" xfId="19622" xr:uid="{EA8ABE79-3A6F-4A6D-ABCA-44EFA1C5CD7E}"/>
    <cellStyle name="Normal 9 2 2 2 8 5" xfId="28069" xr:uid="{3FDFA84B-E6E0-4270-9A0E-AAC403A25F45}"/>
    <cellStyle name="Normal 9 2 2 2 9" xfId="4877" xr:uid="{00000000-0005-0000-0000-0000BD1E0000}"/>
    <cellStyle name="Normal 9 2 2 2 9 2" xfId="13327" xr:uid="{84644C51-C7B9-416A-A60F-CBF7B030F5D4}"/>
    <cellStyle name="Normal 9 2 2 2 9 3" xfId="21774" xr:uid="{EA164FAF-E6A6-4E16-8F22-8C0C938E5326}"/>
    <cellStyle name="Normal 9 2 2 2 9 4" xfId="30221" xr:uid="{67FBAF90-6657-44BF-A54D-31F140CFE318}"/>
    <cellStyle name="Normal 9 2 2 3" xfId="517" xr:uid="{00000000-0005-0000-0000-0000BE1E0000}"/>
    <cellStyle name="Normal 9 2 2 3 10" xfId="17561" xr:uid="{398544E1-6754-413B-A81A-EA1CDB9F1B43}"/>
    <cellStyle name="Normal 9 2 2 3 11" xfId="26008" xr:uid="{683895B0-83F3-4F3C-B57B-8C3CDDCC1BB8}"/>
    <cellStyle name="Normal 9 2 2 3 2" xfId="518" xr:uid="{00000000-0005-0000-0000-0000BF1E0000}"/>
    <cellStyle name="Normal 9 2 2 3 2 10" xfId="26009" xr:uid="{231231D1-E6A4-4C7E-880E-66019D233CD4}"/>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961E6E4C-5A22-45C5-B6C5-D51B3DD59659}"/>
    <cellStyle name="Normal 9 2 2 3 2 2 2 2 3" xfId="24337" xr:uid="{ACCD09AC-A87B-4A14-ACE7-BAD78A4C4F3C}"/>
    <cellStyle name="Normal 9 2 2 3 2 2 2 2 4" xfId="32784" xr:uid="{348D9F21-16C1-445C-9FCF-D353466CFB08}"/>
    <cellStyle name="Normal 9 2 2 3 2 2 2 3" xfId="11672" xr:uid="{F7401531-B9EE-4D40-9CCD-FDEE56FC1378}"/>
    <cellStyle name="Normal 9 2 2 3 2 2 2 4" xfId="20120" xr:uid="{5271BE3D-CF2D-45D0-8233-94FECCDBD8EA}"/>
    <cellStyle name="Normal 9 2 2 3 2 2 2 5" xfId="28567" xr:uid="{980FBFE2-2B4D-4791-AC0D-15B9BC7158EC}"/>
    <cellStyle name="Normal 9 2 2 3 2 2 3" xfId="5295" xr:uid="{00000000-0005-0000-0000-0000C31E0000}"/>
    <cellStyle name="Normal 9 2 2 3 2 2 3 2" xfId="13745" xr:uid="{C3F9BE00-3E18-4C58-81C7-C2AFEE7232A9}"/>
    <cellStyle name="Normal 9 2 2 3 2 2 3 3" xfId="22192" xr:uid="{0D143124-737D-4648-AEA2-1465EA423145}"/>
    <cellStyle name="Normal 9 2 2 3 2 2 3 4" xfId="30639" xr:uid="{69957AF1-19E8-4D66-A1B2-580DB7C0320A}"/>
    <cellStyle name="Normal 9 2 2 3 2 2 4" xfId="9527" xr:uid="{D78314E3-3DC0-454F-A740-FA431AEB8501}"/>
    <cellStyle name="Normal 9 2 2 3 2 2 5" xfId="17975" xr:uid="{C78C9AE3-EA34-4BDC-9E1D-3E964F698B86}"/>
    <cellStyle name="Normal 9 2 2 3 2 2 6" xfId="26422" xr:uid="{FF25C192-0E3D-4BA4-8B78-7F2C4897AEE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AD88C08C-5AA5-4D0B-8495-F18CDFD295B7}"/>
    <cellStyle name="Normal 9 2 2 3 2 3 2 2 3" xfId="24750" xr:uid="{89FFCBBC-4F79-476C-817A-D9D4D3190862}"/>
    <cellStyle name="Normal 9 2 2 3 2 3 2 2 4" xfId="33197" xr:uid="{BDFA7F60-8DAA-4FB7-9799-B2680D81BD66}"/>
    <cellStyle name="Normal 9 2 2 3 2 3 2 3" xfId="12085" xr:uid="{9AB8F085-A179-4B50-AC50-33B8C2F4F384}"/>
    <cellStyle name="Normal 9 2 2 3 2 3 2 4" xfId="20533" xr:uid="{3FBD7682-7E3D-4E7A-BF85-74316364D68F}"/>
    <cellStyle name="Normal 9 2 2 3 2 3 2 5" xfId="28980" xr:uid="{4A683481-20A0-4EE1-873A-FCA48320A82E}"/>
    <cellStyle name="Normal 9 2 2 3 2 3 3" xfId="5708" xr:uid="{00000000-0005-0000-0000-0000C71E0000}"/>
    <cellStyle name="Normal 9 2 2 3 2 3 3 2" xfId="14158" xr:uid="{1E92592E-BAFF-4DB8-AC0C-1FCBBA637DD3}"/>
    <cellStyle name="Normal 9 2 2 3 2 3 3 3" xfId="22605" xr:uid="{ABC073B6-AE11-453C-8C60-25DE86BC76BD}"/>
    <cellStyle name="Normal 9 2 2 3 2 3 3 4" xfId="31052" xr:uid="{E7856B40-66A9-4203-A90A-09675257D7A2}"/>
    <cellStyle name="Normal 9 2 2 3 2 3 4" xfId="9940" xr:uid="{67D608EE-B917-4353-A584-9C3303735BB0}"/>
    <cellStyle name="Normal 9 2 2 3 2 3 5" xfId="18388" xr:uid="{A1B83847-2E90-430E-A504-B4EC06C1DD9F}"/>
    <cellStyle name="Normal 9 2 2 3 2 3 6" xfId="26835" xr:uid="{62BAE352-2E41-4227-8B71-05814E85351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84E541E8-1ECF-499D-A5D7-6FA2F31A7B00}"/>
    <cellStyle name="Normal 9 2 2 3 2 4 2 2 3" xfId="25163" xr:uid="{41DBC879-B4E7-4F04-BB90-CF216F00376F}"/>
    <cellStyle name="Normal 9 2 2 3 2 4 2 2 4" xfId="33610" xr:uid="{EE65B04B-C692-462B-B02E-4F63D0713564}"/>
    <cellStyle name="Normal 9 2 2 3 2 4 2 3" xfId="12498" xr:uid="{A78D49EF-BC27-432C-B734-4C92746161AB}"/>
    <cellStyle name="Normal 9 2 2 3 2 4 2 4" xfId="20946" xr:uid="{1A2B0E82-8306-46BA-9810-CDEB6924852E}"/>
    <cellStyle name="Normal 9 2 2 3 2 4 2 5" xfId="29393" xr:uid="{652832E2-F85B-4298-A45C-76135DEBDC44}"/>
    <cellStyle name="Normal 9 2 2 3 2 4 3" xfId="6121" xr:uid="{00000000-0005-0000-0000-0000CB1E0000}"/>
    <cellStyle name="Normal 9 2 2 3 2 4 3 2" xfId="14571" xr:uid="{85B5251E-CF92-4E29-B477-9A768D181C40}"/>
    <cellStyle name="Normal 9 2 2 3 2 4 3 3" xfId="23018" xr:uid="{FA5A773D-E59A-4D24-BB99-E757BF33BC14}"/>
    <cellStyle name="Normal 9 2 2 3 2 4 3 4" xfId="31465" xr:uid="{7584AEC0-AD8F-4260-8A40-72DA8E39E1EE}"/>
    <cellStyle name="Normal 9 2 2 3 2 4 4" xfId="10353" xr:uid="{DD5B1571-5373-4334-B1B5-475CD618C65B}"/>
    <cellStyle name="Normal 9 2 2 3 2 4 5" xfId="18801" xr:uid="{F93DC872-4085-4AC8-A041-59BAEA956D95}"/>
    <cellStyle name="Normal 9 2 2 3 2 4 6" xfId="27248" xr:uid="{C411310B-07FD-4B13-A0C3-EA0D3A874CB8}"/>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3A709B64-7C8D-4025-93A8-5FF4905D8363}"/>
    <cellStyle name="Normal 9 2 2 3 2 5 2 2 3" xfId="25576" xr:uid="{DE4A0DA9-513B-4DD2-AF39-E5BF13E02E8D}"/>
    <cellStyle name="Normal 9 2 2 3 2 5 2 2 4" xfId="34023" xr:uid="{51F00614-49D9-4A6C-8121-5A3853F3237C}"/>
    <cellStyle name="Normal 9 2 2 3 2 5 2 3" xfId="12911" xr:uid="{4806AAF0-C011-4D5A-AB69-7BF2742A5C1F}"/>
    <cellStyle name="Normal 9 2 2 3 2 5 2 4" xfId="21359" xr:uid="{0F093827-F94D-48A7-9D96-9BE71BC099C5}"/>
    <cellStyle name="Normal 9 2 2 3 2 5 2 5" xfId="29806" xr:uid="{8C9BF62C-D483-4F79-B16A-D501C5220FB0}"/>
    <cellStyle name="Normal 9 2 2 3 2 5 3" xfId="6534" xr:uid="{00000000-0005-0000-0000-0000CF1E0000}"/>
    <cellStyle name="Normal 9 2 2 3 2 5 3 2" xfId="14984" xr:uid="{E784EBFB-485E-41F2-A177-EFEF7555AAB5}"/>
    <cellStyle name="Normal 9 2 2 3 2 5 3 3" xfId="23431" xr:uid="{C5B17156-3117-417C-AA5B-1BD7926D539A}"/>
    <cellStyle name="Normal 9 2 2 3 2 5 3 4" xfId="31878" xr:uid="{D00A1A43-5102-4049-9507-047B19EE8C0C}"/>
    <cellStyle name="Normal 9 2 2 3 2 5 4" xfId="10766" xr:uid="{AAC9CE61-0FD0-4233-9665-BD85A2A35F6E}"/>
    <cellStyle name="Normal 9 2 2 3 2 5 5" xfId="19214" xr:uid="{0196670C-4A0C-45A2-953C-63318072A6C6}"/>
    <cellStyle name="Normal 9 2 2 3 2 5 6" xfId="27661" xr:uid="{23EC31AA-F495-4679-A597-EDCA140B55CB}"/>
    <cellStyle name="Normal 9 2 2 3 2 6" xfId="2664" xr:uid="{00000000-0005-0000-0000-0000D01E0000}"/>
    <cellStyle name="Normal 9 2 2 3 2 6 2" xfId="6947" xr:uid="{00000000-0005-0000-0000-0000D11E0000}"/>
    <cellStyle name="Normal 9 2 2 3 2 6 2 2" xfId="15397" xr:uid="{E11479A2-0DE1-4AEB-97BC-57832196F53F}"/>
    <cellStyle name="Normal 9 2 2 3 2 6 2 3" xfId="23844" xr:uid="{A9C5F0EA-89D9-4D0A-9AE4-9F1CEF5921A1}"/>
    <cellStyle name="Normal 9 2 2 3 2 6 2 4" xfId="32291" xr:uid="{D5D251A0-0869-438D-989F-E9FF2874FDC6}"/>
    <cellStyle name="Normal 9 2 2 3 2 6 3" xfId="11179" xr:uid="{199D9016-48BA-4314-9281-4AAABE406CA5}"/>
    <cellStyle name="Normal 9 2 2 3 2 6 4" xfId="19627" xr:uid="{51D7F770-D150-46E3-B5AF-371A3E3A9B2E}"/>
    <cellStyle name="Normal 9 2 2 3 2 6 5" xfId="28074" xr:uid="{E649A43F-9EDA-4757-8BAF-52DCFD9C9F2B}"/>
    <cellStyle name="Normal 9 2 2 3 2 7" xfId="4882" xr:uid="{00000000-0005-0000-0000-0000D21E0000}"/>
    <cellStyle name="Normal 9 2 2 3 2 7 2" xfId="13332" xr:uid="{94F7A5C5-C7CC-4D57-A693-D3EA9F7AEA00}"/>
    <cellStyle name="Normal 9 2 2 3 2 7 3" xfId="21779" xr:uid="{BEA40E74-04E0-48A2-84ED-1135397B6AEE}"/>
    <cellStyle name="Normal 9 2 2 3 2 7 4" xfId="30226" xr:uid="{8DBD5141-7F0F-4917-876B-CCDB2C023452}"/>
    <cellStyle name="Normal 9 2 2 3 2 8" xfId="9114" xr:uid="{D31D46A2-5E8E-4916-AC28-AF4269713002}"/>
    <cellStyle name="Normal 9 2 2 3 2 9" xfId="17562" xr:uid="{36BD5748-DF4F-4EF5-82DD-85586AC22B8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08A151AC-90DC-4A62-94D8-75A5FF1BE86C}"/>
    <cellStyle name="Normal 9 2 2 3 3 2 2 3" xfId="24336" xr:uid="{C2A7C16B-6073-4F38-967E-44E72316B651}"/>
    <cellStyle name="Normal 9 2 2 3 3 2 2 4" xfId="32783" xr:uid="{E1AF6DBE-5B33-4EA1-87F2-A02E8F67CD08}"/>
    <cellStyle name="Normal 9 2 2 3 3 2 3" xfId="11671" xr:uid="{D7F34257-8ACC-4714-BA67-7A0C014EA3BA}"/>
    <cellStyle name="Normal 9 2 2 3 3 2 4" xfId="20119" xr:uid="{1EA72531-3409-4BB3-969E-32D882DF638D}"/>
    <cellStyle name="Normal 9 2 2 3 3 2 5" xfId="28566" xr:uid="{F07EAEA2-D739-43BF-B843-118CAE7B7D85}"/>
    <cellStyle name="Normal 9 2 2 3 3 3" xfId="5294" xr:uid="{00000000-0005-0000-0000-0000D61E0000}"/>
    <cellStyle name="Normal 9 2 2 3 3 3 2" xfId="13744" xr:uid="{79265047-2DBB-47F9-B11C-8610A6FA6F3B}"/>
    <cellStyle name="Normal 9 2 2 3 3 3 3" xfId="22191" xr:uid="{56335AA3-17F3-447E-AFD0-43CFB53D1A14}"/>
    <cellStyle name="Normal 9 2 2 3 3 3 4" xfId="30638" xr:uid="{D66F1632-2C84-442D-83E7-2E33AF3F692D}"/>
    <cellStyle name="Normal 9 2 2 3 3 4" xfId="9526" xr:uid="{49726AB7-3473-41AC-8548-1DB010476C6A}"/>
    <cellStyle name="Normal 9 2 2 3 3 5" xfId="17974" xr:uid="{3C750D6E-35BD-4FC4-89AF-DBE46BAD870D}"/>
    <cellStyle name="Normal 9 2 2 3 3 6" xfId="26421" xr:uid="{DCCA1E48-AA10-446A-9354-9E3046E4D80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911220C2-C5F9-4C00-ACBE-1BCE86BDF8E5}"/>
    <cellStyle name="Normal 9 2 2 3 4 2 2 3" xfId="24749" xr:uid="{3C058700-294F-452F-9745-46869B4DA427}"/>
    <cellStyle name="Normal 9 2 2 3 4 2 2 4" xfId="33196" xr:uid="{A9E2AD3A-0FF8-465E-A287-1CB31DC8C0C1}"/>
    <cellStyle name="Normal 9 2 2 3 4 2 3" xfId="12084" xr:uid="{5B800F1A-B8AA-468E-BAF5-2AAAC3D59914}"/>
    <cellStyle name="Normal 9 2 2 3 4 2 4" xfId="20532" xr:uid="{ECE3628F-406B-497D-91DF-E0CB1790FD28}"/>
    <cellStyle name="Normal 9 2 2 3 4 2 5" xfId="28979" xr:uid="{936BD3A8-3A6F-40C3-8518-17AC1BA86F27}"/>
    <cellStyle name="Normal 9 2 2 3 4 3" xfId="5707" xr:uid="{00000000-0005-0000-0000-0000DA1E0000}"/>
    <cellStyle name="Normal 9 2 2 3 4 3 2" xfId="14157" xr:uid="{3C2E57F3-B546-4058-B7B2-00AC1DC3F73C}"/>
    <cellStyle name="Normal 9 2 2 3 4 3 3" xfId="22604" xr:uid="{00335FB3-1CC8-44CC-A85D-C6F8ABF569D0}"/>
    <cellStyle name="Normal 9 2 2 3 4 3 4" xfId="31051" xr:uid="{7FE699EE-DA81-470A-9BD7-01BB35953D1C}"/>
    <cellStyle name="Normal 9 2 2 3 4 4" xfId="9939" xr:uid="{D51986BB-9D2E-43B6-945D-817562512B9F}"/>
    <cellStyle name="Normal 9 2 2 3 4 5" xfId="18387" xr:uid="{2ECCB620-8319-4E98-AE1C-BB5FD7FAC0F8}"/>
    <cellStyle name="Normal 9 2 2 3 4 6" xfId="26834" xr:uid="{680D1B83-9481-487B-B72D-0030FE38296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96EDD989-554C-4F1C-A855-98ED037167F6}"/>
    <cellStyle name="Normal 9 2 2 3 5 2 2 3" xfId="25162" xr:uid="{F0DB2881-E87D-4032-8652-99918138631C}"/>
    <cellStyle name="Normal 9 2 2 3 5 2 2 4" xfId="33609" xr:uid="{8A595B16-9265-4DD1-9BA4-A0709479E41C}"/>
    <cellStyle name="Normal 9 2 2 3 5 2 3" xfId="12497" xr:uid="{55FCB247-ACE4-46C2-8250-3990AA94A57A}"/>
    <cellStyle name="Normal 9 2 2 3 5 2 4" xfId="20945" xr:uid="{8FBBC07D-2A1C-4A65-87F2-13B9388DFEE9}"/>
    <cellStyle name="Normal 9 2 2 3 5 2 5" xfId="29392" xr:uid="{FF30D6FE-37E2-4554-9AFD-73849F011338}"/>
    <cellStyle name="Normal 9 2 2 3 5 3" xfId="6120" xr:uid="{00000000-0005-0000-0000-0000DE1E0000}"/>
    <cellStyle name="Normal 9 2 2 3 5 3 2" xfId="14570" xr:uid="{B7E15C6A-1B35-4074-8F27-CA1949C08219}"/>
    <cellStyle name="Normal 9 2 2 3 5 3 3" xfId="23017" xr:uid="{E0CCD6EC-6783-48C3-8D36-6B07F34E5BE5}"/>
    <cellStyle name="Normal 9 2 2 3 5 3 4" xfId="31464" xr:uid="{DFA0A8B9-38A6-43EB-A219-5265D2AC0F98}"/>
    <cellStyle name="Normal 9 2 2 3 5 4" xfId="10352" xr:uid="{45F2A448-2CC2-4A8D-9398-99DB328502E1}"/>
    <cellStyle name="Normal 9 2 2 3 5 5" xfId="18800" xr:uid="{562CBC80-21DB-4783-B4D8-C9DC28B98A27}"/>
    <cellStyle name="Normal 9 2 2 3 5 6" xfId="27247" xr:uid="{4F7043AD-275B-4320-B425-AB367368BA92}"/>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F7AEFFD9-C8C6-47D9-89C9-4481FA03695E}"/>
    <cellStyle name="Normal 9 2 2 3 6 2 2 3" xfId="25575" xr:uid="{38ED9F2D-407E-4289-9033-551F7F2EBD29}"/>
    <cellStyle name="Normal 9 2 2 3 6 2 2 4" xfId="34022" xr:uid="{B4768B57-EEC2-4C71-AEBD-9324EA6626C8}"/>
    <cellStyle name="Normal 9 2 2 3 6 2 3" xfId="12910" xr:uid="{15B7272E-6B00-41B1-BBE5-2F870FB85039}"/>
    <cellStyle name="Normal 9 2 2 3 6 2 4" xfId="21358" xr:uid="{9644FD56-B058-4D32-938E-720400278027}"/>
    <cellStyle name="Normal 9 2 2 3 6 2 5" xfId="29805" xr:uid="{5C0769C2-8DBF-4885-B9C7-3C716FB9B009}"/>
    <cellStyle name="Normal 9 2 2 3 6 3" xfId="6533" xr:uid="{00000000-0005-0000-0000-0000E21E0000}"/>
    <cellStyle name="Normal 9 2 2 3 6 3 2" xfId="14983" xr:uid="{AE4B2935-8D01-45B7-ADD4-5BBA67284045}"/>
    <cellStyle name="Normal 9 2 2 3 6 3 3" xfId="23430" xr:uid="{F765EDB7-70FF-43A4-871D-0E75FF1D3E61}"/>
    <cellStyle name="Normal 9 2 2 3 6 3 4" xfId="31877" xr:uid="{4F9CE9BD-E031-4C02-A1DD-57FAFE9E9D30}"/>
    <cellStyle name="Normal 9 2 2 3 6 4" xfId="10765" xr:uid="{04BDECB0-9AAE-4FFE-8D78-8C1C14C09458}"/>
    <cellStyle name="Normal 9 2 2 3 6 5" xfId="19213" xr:uid="{FDE05F8A-EF26-4D49-97DA-D8AA84BFA1CF}"/>
    <cellStyle name="Normal 9 2 2 3 6 6" xfId="27660" xr:uid="{6549F65B-BE06-419C-9AF0-DF342F7E8B68}"/>
    <cellStyle name="Normal 9 2 2 3 7" xfId="2663" xr:uid="{00000000-0005-0000-0000-0000E31E0000}"/>
    <cellStyle name="Normal 9 2 2 3 7 2" xfId="6946" xr:uid="{00000000-0005-0000-0000-0000E41E0000}"/>
    <cellStyle name="Normal 9 2 2 3 7 2 2" xfId="15396" xr:uid="{AAAD4C62-AA0A-429E-BB05-EB4F8C680641}"/>
    <cellStyle name="Normal 9 2 2 3 7 2 3" xfId="23843" xr:uid="{7382DBCC-0C06-464A-BD4E-2D2178CA0487}"/>
    <cellStyle name="Normal 9 2 2 3 7 2 4" xfId="32290" xr:uid="{66F49190-5F82-4CFA-B98E-2297F4A0A75C}"/>
    <cellStyle name="Normal 9 2 2 3 7 3" xfId="11178" xr:uid="{08105A99-F777-437A-B8B7-2332F87F28A4}"/>
    <cellStyle name="Normal 9 2 2 3 7 4" xfId="19626" xr:uid="{5B640B84-72C4-4548-B6A7-588096D11A91}"/>
    <cellStyle name="Normal 9 2 2 3 7 5" xfId="28073" xr:uid="{6ABFA169-5520-4C84-8903-C0DFE6CC801C}"/>
    <cellStyle name="Normal 9 2 2 3 8" xfId="4881" xr:uid="{00000000-0005-0000-0000-0000E51E0000}"/>
    <cellStyle name="Normal 9 2 2 3 8 2" xfId="13331" xr:uid="{E631FB3A-535B-495A-A5B5-75EE33B50B5B}"/>
    <cellStyle name="Normal 9 2 2 3 8 3" xfId="21778" xr:uid="{EE038C91-F96B-42CC-BB98-F2059A0B64AD}"/>
    <cellStyle name="Normal 9 2 2 3 8 4" xfId="30225" xr:uid="{33450F84-D347-46EB-96F3-03B152659697}"/>
    <cellStyle name="Normal 9 2 2 3 9" xfId="9113" xr:uid="{524FCB7F-4BC2-487F-9E0A-46AC490EDB51}"/>
    <cellStyle name="Normal 9 2 2 4" xfId="519" xr:uid="{00000000-0005-0000-0000-0000E61E0000}"/>
    <cellStyle name="Normal 9 2 2 4 10" xfId="26010" xr:uid="{3930E000-FEB3-4ED9-86CA-C49A96E378FB}"/>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B078B3B8-7F4F-42AF-BF92-7121C9A1817E}"/>
    <cellStyle name="Normal 9 2 2 4 2 2 2 3" xfId="24338" xr:uid="{94112124-1F10-44C1-980F-FBAADB791BCA}"/>
    <cellStyle name="Normal 9 2 2 4 2 2 2 4" xfId="32785" xr:uid="{04818DD9-5BD7-47C1-BEF1-DCA60EC7A2B4}"/>
    <cellStyle name="Normal 9 2 2 4 2 2 3" xfId="11673" xr:uid="{4B0B3C0B-2995-4784-9237-BAC926522D59}"/>
    <cellStyle name="Normal 9 2 2 4 2 2 4" xfId="20121" xr:uid="{14298DFB-DBAF-4AA7-B4A2-2CCE3C2C0172}"/>
    <cellStyle name="Normal 9 2 2 4 2 2 5" xfId="28568" xr:uid="{ABF967CF-6FD1-4101-8E7C-D6BE04ED00FE}"/>
    <cellStyle name="Normal 9 2 2 4 2 3" xfId="5296" xr:uid="{00000000-0005-0000-0000-0000EA1E0000}"/>
    <cellStyle name="Normal 9 2 2 4 2 3 2" xfId="13746" xr:uid="{6CE754BB-4655-4870-8067-5696012127A2}"/>
    <cellStyle name="Normal 9 2 2 4 2 3 3" xfId="22193" xr:uid="{8DA8BECE-3F1C-471C-B853-BA8A7737C74F}"/>
    <cellStyle name="Normal 9 2 2 4 2 3 4" xfId="30640" xr:uid="{C719A4C7-C3FF-4859-ADDC-F771126BE549}"/>
    <cellStyle name="Normal 9 2 2 4 2 4" xfId="9528" xr:uid="{B1C0497D-1CF3-4765-8228-B68124688549}"/>
    <cellStyle name="Normal 9 2 2 4 2 5" xfId="17976" xr:uid="{B1EC4547-C7D6-45B7-868B-E118054B8B12}"/>
    <cellStyle name="Normal 9 2 2 4 2 6" xfId="26423" xr:uid="{2660E8CC-C44F-433E-8F32-2CF22E559AFB}"/>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C5FA5B71-94E2-450C-A34A-35546DE949A6}"/>
    <cellStyle name="Normal 9 2 2 4 3 2 2 3" xfId="24751" xr:uid="{B24D1BBA-BB51-4925-93CD-5751C8DD46EE}"/>
    <cellStyle name="Normal 9 2 2 4 3 2 2 4" xfId="33198" xr:uid="{997A02E0-ACE3-4DDA-B8A3-589313584962}"/>
    <cellStyle name="Normal 9 2 2 4 3 2 3" xfId="12086" xr:uid="{7678CB1E-FC1E-4F1D-AA5B-E92EC321D8B0}"/>
    <cellStyle name="Normal 9 2 2 4 3 2 4" xfId="20534" xr:uid="{A2F5D91D-F0DF-41DE-984C-39F402715E12}"/>
    <cellStyle name="Normal 9 2 2 4 3 2 5" xfId="28981" xr:uid="{FC27C754-D131-4298-B109-23D16EAAE2C0}"/>
    <cellStyle name="Normal 9 2 2 4 3 3" xfId="5709" xr:uid="{00000000-0005-0000-0000-0000EE1E0000}"/>
    <cellStyle name="Normal 9 2 2 4 3 3 2" xfId="14159" xr:uid="{D295ECA2-A3C0-497A-A4E8-911A82D980D9}"/>
    <cellStyle name="Normal 9 2 2 4 3 3 3" xfId="22606" xr:uid="{E1407EC2-9D85-4368-946C-413C2D2A4D2E}"/>
    <cellStyle name="Normal 9 2 2 4 3 3 4" xfId="31053" xr:uid="{4B4A12B5-35ED-41E7-86F7-782835C6F2A1}"/>
    <cellStyle name="Normal 9 2 2 4 3 4" xfId="9941" xr:uid="{2AC6FBB2-5E55-4824-9483-80DE73598186}"/>
    <cellStyle name="Normal 9 2 2 4 3 5" xfId="18389" xr:uid="{D7008D86-8671-45B9-986F-E495E76F2959}"/>
    <cellStyle name="Normal 9 2 2 4 3 6" xfId="26836" xr:uid="{411B246F-7127-4884-A490-7A27841E7715}"/>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F9D7CCC0-76D1-4AF7-9C89-32C1C4D5BC4D}"/>
    <cellStyle name="Normal 9 2 2 4 4 2 2 3" xfId="25164" xr:uid="{F09B2F2F-4653-4DF0-BB1A-8AA5CE64E517}"/>
    <cellStyle name="Normal 9 2 2 4 4 2 2 4" xfId="33611" xr:uid="{87971871-ECF9-499C-AA70-5F925653C83A}"/>
    <cellStyle name="Normal 9 2 2 4 4 2 3" xfId="12499" xr:uid="{A6623162-9003-4CE4-A7B5-49D9719EB354}"/>
    <cellStyle name="Normal 9 2 2 4 4 2 4" xfId="20947" xr:uid="{B7B33ACD-D4F1-4FAF-A0DE-9FA08C041F4F}"/>
    <cellStyle name="Normal 9 2 2 4 4 2 5" xfId="29394" xr:uid="{429B4541-61EE-434C-958E-6944A82CA422}"/>
    <cellStyle name="Normal 9 2 2 4 4 3" xfId="6122" xr:uid="{00000000-0005-0000-0000-0000F21E0000}"/>
    <cellStyle name="Normal 9 2 2 4 4 3 2" xfId="14572" xr:uid="{25DC25D1-3CD6-45E8-8A56-5151AB56A672}"/>
    <cellStyle name="Normal 9 2 2 4 4 3 3" xfId="23019" xr:uid="{244CF56C-A773-438E-BB1C-C67F038BC84F}"/>
    <cellStyle name="Normal 9 2 2 4 4 3 4" xfId="31466" xr:uid="{96D6A8CA-AFBF-4BE5-9E47-A0BF676184D0}"/>
    <cellStyle name="Normal 9 2 2 4 4 4" xfId="10354" xr:uid="{C1C33EC8-1823-4506-B512-17406CC1A7C2}"/>
    <cellStyle name="Normal 9 2 2 4 4 5" xfId="18802" xr:uid="{61B81B84-8696-4ABF-A74E-66F10A4DC2EB}"/>
    <cellStyle name="Normal 9 2 2 4 4 6" xfId="27249" xr:uid="{C9B60899-5D2C-48B3-B9F2-6EB3490FDB6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A417FE24-B693-4F6E-B4D0-888012558BCC}"/>
    <cellStyle name="Normal 9 2 2 4 5 2 2 3" xfId="25577" xr:uid="{3C64964D-25F7-43C4-AEC6-6488A6EB0A5F}"/>
    <cellStyle name="Normal 9 2 2 4 5 2 2 4" xfId="34024" xr:uid="{B408DA81-95DA-4B8B-A5B2-F4C8B56BE6C8}"/>
    <cellStyle name="Normal 9 2 2 4 5 2 3" xfId="12912" xr:uid="{889F6EAC-1DE4-4588-864E-DF7F1FC4C0D3}"/>
    <cellStyle name="Normal 9 2 2 4 5 2 4" xfId="21360" xr:uid="{63CEBF2E-A56C-4DBF-996B-87F5B7F25C4F}"/>
    <cellStyle name="Normal 9 2 2 4 5 2 5" xfId="29807" xr:uid="{BE77D80C-89D6-4EE4-99C1-63AA24D4A11F}"/>
    <cellStyle name="Normal 9 2 2 4 5 3" xfId="6535" xr:uid="{00000000-0005-0000-0000-0000F61E0000}"/>
    <cellStyle name="Normal 9 2 2 4 5 3 2" xfId="14985" xr:uid="{59ADF64B-8FE1-49D2-BF63-4AD7B86C49AA}"/>
    <cellStyle name="Normal 9 2 2 4 5 3 3" xfId="23432" xr:uid="{76EBC851-4D3A-4870-A070-4BB29536E0EB}"/>
    <cellStyle name="Normal 9 2 2 4 5 3 4" xfId="31879" xr:uid="{9F16D7DC-5AE5-4FBC-810B-4EB62D027200}"/>
    <cellStyle name="Normal 9 2 2 4 5 4" xfId="10767" xr:uid="{921E9886-6F05-4E72-847F-DE056DD9F5C2}"/>
    <cellStyle name="Normal 9 2 2 4 5 5" xfId="19215" xr:uid="{EB54888B-13CB-4CFC-A7A0-6F4B3709F02C}"/>
    <cellStyle name="Normal 9 2 2 4 5 6" xfId="27662" xr:uid="{7E95D154-B371-4174-96C9-078F70FC242B}"/>
    <cellStyle name="Normal 9 2 2 4 6" xfId="2665" xr:uid="{00000000-0005-0000-0000-0000F71E0000}"/>
    <cellStyle name="Normal 9 2 2 4 6 2" xfId="6948" xr:uid="{00000000-0005-0000-0000-0000F81E0000}"/>
    <cellStyle name="Normal 9 2 2 4 6 2 2" xfId="15398" xr:uid="{57C98091-6A4B-4B88-ABFB-CD01B7B10ECE}"/>
    <cellStyle name="Normal 9 2 2 4 6 2 3" xfId="23845" xr:uid="{04BBF9C5-5B74-4834-98BA-EACE3F37E9B2}"/>
    <cellStyle name="Normal 9 2 2 4 6 2 4" xfId="32292" xr:uid="{337D8F6F-F221-446F-AE91-967AA99BA127}"/>
    <cellStyle name="Normal 9 2 2 4 6 3" xfId="11180" xr:uid="{8B900A65-1763-40BE-BFDD-5F7CE9318160}"/>
    <cellStyle name="Normal 9 2 2 4 6 4" xfId="19628" xr:uid="{5F7B72F9-335E-4EB5-A326-6245D1D1CD16}"/>
    <cellStyle name="Normal 9 2 2 4 6 5" xfId="28075" xr:uid="{4022C184-F348-4EED-99EC-B5D8CC5214F7}"/>
    <cellStyle name="Normal 9 2 2 4 7" xfId="4883" xr:uid="{00000000-0005-0000-0000-0000F91E0000}"/>
    <cellStyle name="Normal 9 2 2 4 7 2" xfId="13333" xr:uid="{5E04A876-7455-4533-ACF0-058CEBA265E1}"/>
    <cellStyle name="Normal 9 2 2 4 7 3" xfId="21780" xr:uid="{1510DB84-DAE9-4F78-9EAF-DDCC3ECCADEA}"/>
    <cellStyle name="Normal 9 2 2 4 7 4" xfId="30227" xr:uid="{42A96BEC-26EF-4D26-9EF6-37D584B91AFA}"/>
    <cellStyle name="Normal 9 2 2 4 8" xfId="9115" xr:uid="{8C33DF9F-19E1-426D-8BE8-2ECD620D4F3F}"/>
    <cellStyle name="Normal 9 2 2 4 9" xfId="17563" xr:uid="{96BD0D5E-7E5A-426E-8E9F-DDFCF22E4E8B}"/>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2406D499-A579-4E99-8AFC-26F95700D812}"/>
    <cellStyle name="Normal 9 2 2 5 2 2 3" xfId="24331" xr:uid="{BA6C5198-CF96-4B21-9E35-AA982BBF34A9}"/>
    <cellStyle name="Normal 9 2 2 5 2 2 4" xfId="32778" xr:uid="{DA87D77B-3620-41E7-8F2F-87D8492D449E}"/>
    <cellStyle name="Normal 9 2 2 5 2 3" xfId="11666" xr:uid="{82DD091C-F80E-4797-B63E-DE75E77121A7}"/>
    <cellStyle name="Normal 9 2 2 5 2 4" xfId="20114" xr:uid="{2F1827C6-9923-40CB-9712-13962432511A}"/>
    <cellStyle name="Normal 9 2 2 5 2 5" xfId="28561" xr:uid="{20E3A8BC-814E-4718-81B3-18B378129CC0}"/>
    <cellStyle name="Normal 9 2 2 5 3" xfId="5289" xr:uid="{00000000-0005-0000-0000-0000FD1E0000}"/>
    <cellStyle name="Normal 9 2 2 5 3 2" xfId="13739" xr:uid="{2CC77A4F-AD64-4894-90E9-BEB92064AE09}"/>
    <cellStyle name="Normal 9 2 2 5 3 3" xfId="22186" xr:uid="{9F05DC04-88C1-4DCF-B419-4401F4A74FEA}"/>
    <cellStyle name="Normal 9 2 2 5 3 4" xfId="30633" xr:uid="{1E2AD7C4-5900-4FD8-BE32-905E0496A0E6}"/>
    <cellStyle name="Normal 9 2 2 5 4" xfId="9521" xr:uid="{58C449F7-A10B-4F9D-A77D-A40CCB30D34C}"/>
    <cellStyle name="Normal 9 2 2 5 5" xfId="17969" xr:uid="{070CFD9A-37FE-461C-BF5A-C710E5872858}"/>
    <cellStyle name="Normal 9 2 2 5 6" xfId="26416" xr:uid="{C81613FC-E17A-4EC5-B32C-D0CEAFBB2B5C}"/>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8333F22B-011E-41B1-9E43-F9295AFA9F24}"/>
    <cellStyle name="Normal 9 2 2 6 2 2 3" xfId="24744" xr:uid="{64BED7E0-78E1-4364-A6E7-8CC8BE425B3C}"/>
    <cellStyle name="Normal 9 2 2 6 2 2 4" xfId="33191" xr:uid="{8187650B-EC4A-4ED5-A911-D2BC6BAA0727}"/>
    <cellStyle name="Normal 9 2 2 6 2 3" xfId="12079" xr:uid="{E4F06EA8-A433-4ED8-872B-0B854AE31070}"/>
    <cellStyle name="Normal 9 2 2 6 2 4" xfId="20527" xr:uid="{A3BEB47C-4039-45D9-ACA5-A2175FD009F4}"/>
    <cellStyle name="Normal 9 2 2 6 2 5" xfId="28974" xr:uid="{E58304F9-5ACC-4854-955D-79CABFA90A4B}"/>
    <cellStyle name="Normal 9 2 2 6 3" xfId="5702" xr:uid="{00000000-0005-0000-0000-0000011F0000}"/>
    <cellStyle name="Normal 9 2 2 6 3 2" xfId="14152" xr:uid="{9B4B0EE7-0FE6-4A1A-8390-1D130C31669F}"/>
    <cellStyle name="Normal 9 2 2 6 3 3" xfId="22599" xr:uid="{A9ECCAEF-EB6F-48BD-849C-7606826DD80B}"/>
    <cellStyle name="Normal 9 2 2 6 3 4" xfId="31046" xr:uid="{E1652FD6-F878-4557-8175-65CCE6F37F89}"/>
    <cellStyle name="Normal 9 2 2 6 4" xfId="9934" xr:uid="{1B12DE22-0DB8-4C91-B994-8873AEA03D3E}"/>
    <cellStyle name="Normal 9 2 2 6 5" xfId="18382" xr:uid="{57423861-C999-46E3-80B8-7438750045EE}"/>
    <cellStyle name="Normal 9 2 2 6 6" xfId="26829" xr:uid="{161D51AA-543B-4260-9229-4BEA0CED7D35}"/>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0BCD1EEA-CAF9-4644-89C1-A2CB76D29DED}"/>
    <cellStyle name="Normal 9 2 2 7 2 2 3" xfId="25157" xr:uid="{84190F22-B3CD-4915-9DE8-A6CC820FAD7C}"/>
    <cellStyle name="Normal 9 2 2 7 2 2 4" xfId="33604" xr:uid="{EA5F3A7F-FC4D-41A5-8DF5-581A8F9F824B}"/>
    <cellStyle name="Normal 9 2 2 7 2 3" xfId="12492" xr:uid="{C43D3C66-65AE-44E5-95FA-638E1352B04C}"/>
    <cellStyle name="Normal 9 2 2 7 2 4" xfId="20940" xr:uid="{577CDD5C-C880-4062-B7FF-CE57CD13F8E9}"/>
    <cellStyle name="Normal 9 2 2 7 2 5" xfId="29387" xr:uid="{8AC167F5-D82E-461A-87A1-768C6CCA1884}"/>
    <cellStyle name="Normal 9 2 2 7 3" xfId="6115" xr:uid="{00000000-0005-0000-0000-0000051F0000}"/>
    <cellStyle name="Normal 9 2 2 7 3 2" xfId="14565" xr:uid="{8DF9B924-BF23-44E1-853A-2D1436B7C138}"/>
    <cellStyle name="Normal 9 2 2 7 3 3" xfId="23012" xr:uid="{79A91396-41F2-4831-A2BD-24D6D442B429}"/>
    <cellStyle name="Normal 9 2 2 7 3 4" xfId="31459" xr:uid="{B5916CDC-CFC7-45CC-BDFD-C6C9BA2C478C}"/>
    <cellStyle name="Normal 9 2 2 7 4" xfId="10347" xr:uid="{08044C41-4DFA-4781-96CB-016F9D71C15A}"/>
    <cellStyle name="Normal 9 2 2 7 5" xfId="18795" xr:uid="{40F54391-CA0B-4AB7-82FF-21AD4DC100B0}"/>
    <cellStyle name="Normal 9 2 2 7 6" xfId="27242" xr:uid="{B3000897-D76C-4767-9D94-9BF8908B18AB}"/>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DB1AA56D-A362-41F0-BA9D-EDE5A549A4C0}"/>
    <cellStyle name="Normal 9 2 2 8 2 2 3" xfId="25570" xr:uid="{BEC2E69C-69C1-4C04-BF8B-9C2BE44D6967}"/>
    <cellStyle name="Normal 9 2 2 8 2 2 4" xfId="34017" xr:uid="{9CCA816F-F3B7-4D5E-BAD1-E04D0D4A68F2}"/>
    <cellStyle name="Normal 9 2 2 8 2 3" xfId="12905" xr:uid="{4244DD52-4AE3-4E4E-BCAA-FED897B52A1C}"/>
    <cellStyle name="Normal 9 2 2 8 2 4" xfId="21353" xr:uid="{1724E648-1587-4CA6-93DA-BF724E070CDD}"/>
    <cellStyle name="Normal 9 2 2 8 2 5" xfId="29800" xr:uid="{33E92AD1-67FD-4E10-9FB0-2D379F515B7D}"/>
    <cellStyle name="Normal 9 2 2 8 3" xfId="6528" xr:uid="{00000000-0005-0000-0000-0000091F0000}"/>
    <cellStyle name="Normal 9 2 2 8 3 2" xfId="14978" xr:uid="{4F474E33-807D-4311-A51C-0127D65895F8}"/>
    <cellStyle name="Normal 9 2 2 8 3 3" xfId="23425" xr:uid="{487AEBB6-2050-425D-92A6-4E4BCEEFEBAF}"/>
    <cellStyle name="Normal 9 2 2 8 3 4" xfId="31872" xr:uid="{83F07ABF-560A-49C7-8E9B-02949B020FE2}"/>
    <cellStyle name="Normal 9 2 2 8 4" xfId="10760" xr:uid="{CFFDBA36-A02C-422C-9549-EC74A0DB6B07}"/>
    <cellStyle name="Normal 9 2 2 8 5" xfId="19208" xr:uid="{7FEDC666-01FD-4027-A959-07C8B29579E7}"/>
    <cellStyle name="Normal 9 2 2 8 6" xfId="27655" xr:uid="{04FA80D6-4156-492E-B821-8F44767DD9CC}"/>
    <cellStyle name="Normal 9 2 2 9" xfId="2658" xr:uid="{00000000-0005-0000-0000-00000A1F0000}"/>
    <cellStyle name="Normal 9 2 2 9 2" xfId="6941" xr:uid="{00000000-0005-0000-0000-00000B1F0000}"/>
    <cellStyle name="Normal 9 2 2 9 2 2" xfId="15391" xr:uid="{0C6FF146-92BB-48B1-A20D-D70D854C5B9F}"/>
    <cellStyle name="Normal 9 2 2 9 2 3" xfId="23838" xr:uid="{0644FD04-1D33-4B6F-96A9-BFC4C967D27F}"/>
    <cellStyle name="Normal 9 2 2 9 2 4" xfId="32285" xr:uid="{02653CD1-E1C0-4412-99B7-E06C4749DB81}"/>
    <cellStyle name="Normal 9 2 2 9 3" xfId="11173" xr:uid="{64112582-58D2-4873-BBE0-6B42876F1EB1}"/>
    <cellStyle name="Normal 9 2 2 9 4" xfId="19621" xr:uid="{CF3F968C-CDF1-4695-A4F1-3633176A4828}"/>
    <cellStyle name="Normal 9 2 2 9 5" xfId="28068" xr:uid="{16B6165C-5550-433F-B328-5E1AFCD51A54}"/>
    <cellStyle name="Normal 9 2 3" xfId="520" xr:uid="{00000000-0005-0000-0000-00000C1F0000}"/>
    <cellStyle name="Normal 9 2 3 10" xfId="9116" xr:uid="{635DC692-895F-44FC-BEE6-F644C4E2D70C}"/>
    <cellStyle name="Normal 9 2 3 11" xfId="17564" xr:uid="{FC3A12CE-E671-4C2A-88E0-2480920BFAF0}"/>
    <cellStyle name="Normal 9 2 3 12" xfId="26011" xr:uid="{D3E36201-B60E-41A3-8561-0B196AFE49AD}"/>
    <cellStyle name="Normal 9 2 3 2" xfId="521" xr:uid="{00000000-0005-0000-0000-00000D1F0000}"/>
    <cellStyle name="Normal 9 2 3 2 10" xfId="17565" xr:uid="{93192CA1-B059-4446-B4C5-56576F6D1FD9}"/>
    <cellStyle name="Normal 9 2 3 2 11" xfId="26012" xr:uid="{FE1891DF-6084-4ED6-A1FB-FC99191B3CFF}"/>
    <cellStyle name="Normal 9 2 3 2 2" xfId="522" xr:uid="{00000000-0005-0000-0000-00000E1F0000}"/>
    <cellStyle name="Normal 9 2 3 2 2 10" xfId="26013" xr:uid="{0A4D6905-6B8E-4D36-9958-ED45B32F9246}"/>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89023F56-5EBD-4AAD-ABB2-FA9BED231E1D}"/>
    <cellStyle name="Normal 9 2 3 2 2 2 2 2 3" xfId="24341" xr:uid="{259074AD-4027-4E3F-BD64-21821028F046}"/>
    <cellStyle name="Normal 9 2 3 2 2 2 2 2 4" xfId="32788" xr:uid="{9B7C7C7B-0027-49D9-82E6-20723F77D4DA}"/>
    <cellStyle name="Normal 9 2 3 2 2 2 2 3" xfId="11676" xr:uid="{E6BE071A-AE5C-486A-9A16-640DDD827FE6}"/>
    <cellStyle name="Normal 9 2 3 2 2 2 2 4" xfId="20124" xr:uid="{B6C271CD-9961-481B-8871-149B2BA0FC43}"/>
    <cellStyle name="Normal 9 2 3 2 2 2 2 5" xfId="28571" xr:uid="{D3A9893A-B0A3-47C6-88E8-2C278999748C}"/>
    <cellStyle name="Normal 9 2 3 2 2 2 3" xfId="5299" xr:uid="{00000000-0005-0000-0000-0000121F0000}"/>
    <cellStyle name="Normal 9 2 3 2 2 2 3 2" xfId="13749" xr:uid="{EBC3CA48-E561-49AE-A700-92ACD5C89D35}"/>
    <cellStyle name="Normal 9 2 3 2 2 2 3 3" xfId="22196" xr:uid="{20E920F9-F414-4365-873F-3436AB8BFC35}"/>
    <cellStyle name="Normal 9 2 3 2 2 2 3 4" xfId="30643" xr:uid="{C234402D-4341-4031-969A-F2233A37D7D4}"/>
    <cellStyle name="Normal 9 2 3 2 2 2 4" xfId="9531" xr:uid="{96E936F1-DE68-41D5-AC13-E4C93681EEFC}"/>
    <cellStyle name="Normal 9 2 3 2 2 2 5" xfId="17979" xr:uid="{9FA82DBD-0F73-4CF6-A6C2-0B7549A33973}"/>
    <cellStyle name="Normal 9 2 3 2 2 2 6" xfId="26426" xr:uid="{F93688C8-43B4-407A-A58F-2A660986319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85459491-3C46-4192-B215-0CB52799A29D}"/>
    <cellStyle name="Normal 9 2 3 2 2 3 2 2 3" xfId="24754" xr:uid="{A7B708FB-E548-4FE8-AD7F-53A48B0F7C77}"/>
    <cellStyle name="Normal 9 2 3 2 2 3 2 2 4" xfId="33201" xr:uid="{71529826-5F0F-4546-A9EF-26472801D5FD}"/>
    <cellStyle name="Normal 9 2 3 2 2 3 2 3" xfId="12089" xr:uid="{4ED03D6F-7A21-484F-8519-CF5E3E3EF29A}"/>
    <cellStyle name="Normal 9 2 3 2 2 3 2 4" xfId="20537" xr:uid="{BF147ACF-3AAF-4663-B703-D60AB536B600}"/>
    <cellStyle name="Normal 9 2 3 2 2 3 2 5" xfId="28984" xr:uid="{C02CCCE6-17CD-442B-B079-A9CFA18D11E0}"/>
    <cellStyle name="Normal 9 2 3 2 2 3 3" xfId="5712" xr:uid="{00000000-0005-0000-0000-0000161F0000}"/>
    <cellStyle name="Normal 9 2 3 2 2 3 3 2" xfId="14162" xr:uid="{0006F36B-0BD0-4AC0-9F65-247C11EF4DE6}"/>
    <cellStyle name="Normal 9 2 3 2 2 3 3 3" xfId="22609" xr:uid="{2E6D3402-FFB2-4A86-A1AA-D5C81A3E15EF}"/>
    <cellStyle name="Normal 9 2 3 2 2 3 3 4" xfId="31056" xr:uid="{63C8839A-FA69-4E5F-917E-AD0C53233FC4}"/>
    <cellStyle name="Normal 9 2 3 2 2 3 4" xfId="9944" xr:uid="{E614F8F5-8850-4E1F-94B9-830B45F10D16}"/>
    <cellStyle name="Normal 9 2 3 2 2 3 5" xfId="18392" xr:uid="{A280A755-C726-41DF-B765-A398AE11E899}"/>
    <cellStyle name="Normal 9 2 3 2 2 3 6" xfId="26839" xr:uid="{F3C9553E-EFAE-491D-8DB4-355C587F01F9}"/>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2E775A4C-3798-4BA0-A075-0E66EB084E14}"/>
    <cellStyle name="Normal 9 2 3 2 2 4 2 2 3" xfId="25167" xr:uid="{E1231F19-DC98-4D99-9C50-ACD1F292F0B5}"/>
    <cellStyle name="Normal 9 2 3 2 2 4 2 2 4" xfId="33614" xr:uid="{78234D79-FF93-47E1-BCAF-AD33605A012A}"/>
    <cellStyle name="Normal 9 2 3 2 2 4 2 3" xfId="12502" xr:uid="{E3A4AA75-C1B3-4B5C-B600-E8C50E42AB1A}"/>
    <cellStyle name="Normal 9 2 3 2 2 4 2 4" xfId="20950" xr:uid="{3FF3A51D-45B2-46A1-BA68-FE00D3BBA7F1}"/>
    <cellStyle name="Normal 9 2 3 2 2 4 2 5" xfId="29397" xr:uid="{2EAFF5B4-F422-4E57-A076-BD958526F590}"/>
    <cellStyle name="Normal 9 2 3 2 2 4 3" xfId="6125" xr:uid="{00000000-0005-0000-0000-00001A1F0000}"/>
    <cellStyle name="Normal 9 2 3 2 2 4 3 2" xfId="14575" xr:uid="{EC656CEF-4E39-4D07-BAC4-74DFF7B74FC1}"/>
    <cellStyle name="Normal 9 2 3 2 2 4 3 3" xfId="23022" xr:uid="{7C6B661D-4779-421B-A4E7-11E2BA84DF2A}"/>
    <cellStyle name="Normal 9 2 3 2 2 4 3 4" xfId="31469" xr:uid="{D91CE500-C906-494D-A89C-2A0167D54E33}"/>
    <cellStyle name="Normal 9 2 3 2 2 4 4" xfId="10357" xr:uid="{62128DF0-9EBD-4435-9664-9AB59F3B81EB}"/>
    <cellStyle name="Normal 9 2 3 2 2 4 5" xfId="18805" xr:uid="{4E448C19-2F40-4B30-81EC-FD5DBC47BD99}"/>
    <cellStyle name="Normal 9 2 3 2 2 4 6" xfId="27252" xr:uid="{8917036A-7ACF-48E5-B0E3-28085339493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69A3FD49-67AA-4C64-B06D-C7CE38808AC0}"/>
    <cellStyle name="Normal 9 2 3 2 2 5 2 2 3" xfId="25580" xr:uid="{CA84CC6F-CC40-497B-9DB1-C0EA7F6A39C7}"/>
    <cellStyle name="Normal 9 2 3 2 2 5 2 2 4" xfId="34027" xr:uid="{AC2065CB-F634-4928-B04C-92743E54F3CC}"/>
    <cellStyle name="Normal 9 2 3 2 2 5 2 3" xfId="12915" xr:uid="{D982994A-96A7-4654-BC15-4F8E230D9CE4}"/>
    <cellStyle name="Normal 9 2 3 2 2 5 2 4" xfId="21363" xr:uid="{29DF4754-5103-4848-A8AA-66FCD5D750EA}"/>
    <cellStyle name="Normal 9 2 3 2 2 5 2 5" xfId="29810" xr:uid="{BDC85587-EFFF-4740-99BB-F40FCBD6458D}"/>
    <cellStyle name="Normal 9 2 3 2 2 5 3" xfId="6538" xr:uid="{00000000-0005-0000-0000-00001E1F0000}"/>
    <cellStyle name="Normal 9 2 3 2 2 5 3 2" xfId="14988" xr:uid="{C4157488-B67C-460A-9CC2-67FE04D48F8F}"/>
    <cellStyle name="Normal 9 2 3 2 2 5 3 3" xfId="23435" xr:uid="{DE5A7BEA-A6A1-43F2-9FB4-C8495437B89D}"/>
    <cellStyle name="Normal 9 2 3 2 2 5 3 4" xfId="31882" xr:uid="{64911E7A-5C51-46E2-9663-1F86ADFB6B29}"/>
    <cellStyle name="Normal 9 2 3 2 2 5 4" xfId="10770" xr:uid="{E6C9C14B-541D-4E47-B428-A92E530EE36D}"/>
    <cellStyle name="Normal 9 2 3 2 2 5 5" xfId="19218" xr:uid="{48DCF8B2-2811-4A5B-84B7-D04924F3B4C7}"/>
    <cellStyle name="Normal 9 2 3 2 2 5 6" xfId="27665" xr:uid="{737757A6-11A2-475C-A786-5B099EE95611}"/>
    <cellStyle name="Normal 9 2 3 2 2 6" xfId="2668" xr:uid="{00000000-0005-0000-0000-00001F1F0000}"/>
    <cellStyle name="Normal 9 2 3 2 2 6 2" xfId="6951" xr:uid="{00000000-0005-0000-0000-0000201F0000}"/>
    <cellStyle name="Normal 9 2 3 2 2 6 2 2" xfId="15401" xr:uid="{9EAE5594-7007-403F-BEBF-AE88FF829663}"/>
    <cellStyle name="Normal 9 2 3 2 2 6 2 3" xfId="23848" xr:uid="{C1C54587-0B6B-4229-B992-AD06F1208619}"/>
    <cellStyle name="Normal 9 2 3 2 2 6 2 4" xfId="32295" xr:uid="{10AA77EF-E73A-4C3E-A0D1-7FB200F8D3BC}"/>
    <cellStyle name="Normal 9 2 3 2 2 6 3" xfId="11183" xr:uid="{C0F47C58-C535-4E7B-A002-B90D989C21DC}"/>
    <cellStyle name="Normal 9 2 3 2 2 6 4" xfId="19631" xr:uid="{434C7DCC-011C-4008-AD62-4C548204FD72}"/>
    <cellStyle name="Normal 9 2 3 2 2 6 5" xfId="28078" xr:uid="{6D49CF94-4B6E-4AE2-B73C-D8412D607DBC}"/>
    <cellStyle name="Normal 9 2 3 2 2 7" xfId="4886" xr:uid="{00000000-0005-0000-0000-0000211F0000}"/>
    <cellStyle name="Normal 9 2 3 2 2 7 2" xfId="13336" xr:uid="{E4991C8C-9B4E-4997-A9D0-986AE573B3E9}"/>
    <cellStyle name="Normal 9 2 3 2 2 7 3" xfId="21783" xr:uid="{80EE7E76-08AA-49A7-93BD-FBEA26ACF7F5}"/>
    <cellStyle name="Normal 9 2 3 2 2 7 4" xfId="30230" xr:uid="{887322D4-4419-485B-8581-AFE8D5A56CE5}"/>
    <cellStyle name="Normal 9 2 3 2 2 8" xfId="9118" xr:uid="{555AE913-F6C4-41B3-B5BE-2731DCC20130}"/>
    <cellStyle name="Normal 9 2 3 2 2 9" xfId="17566" xr:uid="{7AED8E30-1BCB-4283-AA6F-BA9D4D82849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628D1F66-5B94-40BA-93F3-CFB8DA798F33}"/>
    <cellStyle name="Normal 9 2 3 2 3 2 2 3" xfId="24340" xr:uid="{EA51C92C-FFD2-466E-A5E7-11C003777D58}"/>
    <cellStyle name="Normal 9 2 3 2 3 2 2 4" xfId="32787" xr:uid="{81FB3D0A-2EC5-49AD-BC93-815479E476D5}"/>
    <cellStyle name="Normal 9 2 3 2 3 2 3" xfId="11675" xr:uid="{3FD0F331-FC18-48FA-BDC2-FDBA2FABAA01}"/>
    <cellStyle name="Normal 9 2 3 2 3 2 4" xfId="20123" xr:uid="{657E31E9-1A61-465E-8BED-2EBD66B83E72}"/>
    <cellStyle name="Normal 9 2 3 2 3 2 5" xfId="28570" xr:uid="{191B3E32-2145-425C-B057-326FF5958080}"/>
    <cellStyle name="Normal 9 2 3 2 3 3" xfId="5298" xr:uid="{00000000-0005-0000-0000-0000251F0000}"/>
    <cellStyle name="Normal 9 2 3 2 3 3 2" xfId="13748" xr:uid="{746E37C6-7E05-4CED-9609-725ED9A899B9}"/>
    <cellStyle name="Normal 9 2 3 2 3 3 3" xfId="22195" xr:uid="{7CBD355A-B2EF-42B7-845E-D88D30162B14}"/>
    <cellStyle name="Normal 9 2 3 2 3 3 4" xfId="30642" xr:uid="{79F1E8BD-F284-4E1C-9209-094CBA01A64D}"/>
    <cellStyle name="Normal 9 2 3 2 3 4" xfId="9530" xr:uid="{1EBA2714-BE6E-4A55-9150-826F340230BE}"/>
    <cellStyle name="Normal 9 2 3 2 3 5" xfId="17978" xr:uid="{3FC49951-ECD2-43B7-B422-133FF04A0AAB}"/>
    <cellStyle name="Normal 9 2 3 2 3 6" xfId="26425" xr:uid="{5D701D0C-970F-47BD-BCA8-0A9A61FB55E0}"/>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52F589E6-9827-44BF-96E3-105FADDA20BD}"/>
    <cellStyle name="Normal 9 2 3 2 4 2 2 3" xfId="24753" xr:uid="{A08C3798-390F-4241-9392-E602DA6F05FA}"/>
    <cellStyle name="Normal 9 2 3 2 4 2 2 4" xfId="33200" xr:uid="{A562B2BF-97B7-406C-96B2-D4E0C19F62B0}"/>
    <cellStyle name="Normal 9 2 3 2 4 2 3" xfId="12088" xr:uid="{D0C3A128-316C-4BC3-8EF0-44BF0C90A6EE}"/>
    <cellStyle name="Normal 9 2 3 2 4 2 4" xfId="20536" xr:uid="{D5FFECB5-3C40-45FD-8C6D-E91DB52A933D}"/>
    <cellStyle name="Normal 9 2 3 2 4 2 5" xfId="28983" xr:uid="{D7DD25D9-6B1C-4DED-B927-9FB4130E7EB0}"/>
    <cellStyle name="Normal 9 2 3 2 4 3" xfId="5711" xr:uid="{00000000-0005-0000-0000-0000291F0000}"/>
    <cellStyle name="Normal 9 2 3 2 4 3 2" xfId="14161" xr:uid="{8DBF56BC-9842-4E2D-95B9-6BB78B95E667}"/>
    <cellStyle name="Normal 9 2 3 2 4 3 3" xfId="22608" xr:uid="{0B566912-3E99-4002-9346-72CB4F68DA04}"/>
    <cellStyle name="Normal 9 2 3 2 4 3 4" xfId="31055" xr:uid="{3FCF5B60-276F-4043-A0A6-F43D864ED1BC}"/>
    <cellStyle name="Normal 9 2 3 2 4 4" xfId="9943" xr:uid="{9847D422-46F0-4B1A-8F66-DB606474AF4F}"/>
    <cellStyle name="Normal 9 2 3 2 4 5" xfId="18391" xr:uid="{6EE27B8E-6E40-4699-89B7-13B0E3CEC676}"/>
    <cellStyle name="Normal 9 2 3 2 4 6" xfId="26838" xr:uid="{70D3811E-24BE-4CB6-8DC7-31E4E2F892F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EA86AE1A-9151-4153-9749-66CCF8165B6D}"/>
    <cellStyle name="Normal 9 2 3 2 5 2 2 3" xfId="25166" xr:uid="{70790AAC-5780-45EA-A0BA-F8F9C73C56E6}"/>
    <cellStyle name="Normal 9 2 3 2 5 2 2 4" xfId="33613" xr:uid="{4B3E9E9C-2D4A-4325-A0CF-CFE6A0A10B49}"/>
    <cellStyle name="Normal 9 2 3 2 5 2 3" xfId="12501" xr:uid="{6D26B73A-276F-4BB7-A455-A2723DC2D7EF}"/>
    <cellStyle name="Normal 9 2 3 2 5 2 4" xfId="20949" xr:uid="{6E8740C1-9E63-4751-AF66-875EA95C3DA0}"/>
    <cellStyle name="Normal 9 2 3 2 5 2 5" xfId="29396" xr:uid="{D596E9F5-B9F4-46E0-A5E5-C78375EE9AC3}"/>
    <cellStyle name="Normal 9 2 3 2 5 3" xfId="6124" xr:uid="{00000000-0005-0000-0000-00002D1F0000}"/>
    <cellStyle name="Normal 9 2 3 2 5 3 2" xfId="14574" xr:uid="{187776C8-83E3-4BCE-A2B8-D9EB7975D18E}"/>
    <cellStyle name="Normal 9 2 3 2 5 3 3" xfId="23021" xr:uid="{C922FB4C-01EB-4966-A9F9-A7F591FE13FD}"/>
    <cellStyle name="Normal 9 2 3 2 5 3 4" xfId="31468" xr:uid="{8C40E3C3-60F6-4871-A0B7-B31726D52B6C}"/>
    <cellStyle name="Normal 9 2 3 2 5 4" xfId="10356" xr:uid="{72D82097-C85B-4C26-9AF1-82126B4B7A31}"/>
    <cellStyle name="Normal 9 2 3 2 5 5" xfId="18804" xr:uid="{51F24599-E00B-4BBD-AFB3-7361F43BBF70}"/>
    <cellStyle name="Normal 9 2 3 2 5 6" xfId="27251" xr:uid="{8D0D926C-9087-4FEA-BDD9-F2BBA7B60E1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A80772CD-66D8-43D2-8264-CDA71B1A91F0}"/>
    <cellStyle name="Normal 9 2 3 2 6 2 2 3" xfId="25579" xr:uid="{03C6B89D-CA26-46D2-82CB-A4596367F329}"/>
    <cellStyle name="Normal 9 2 3 2 6 2 2 4" xfId="34026" xr:uid="{77AF9342-7485-4B45-BCD0-156094A3C977}"/>
    <cellStyle name="Normal 9 2 3 2 6 2 3" xfId="12914" xr:uid="{5CFAF614-19E6-4DB9-AB31-9BF7607A6DE2}"/>
    <cellStyle name="Normal 9 2 3 2 6 2 4" xfId="21362" xr:uid="{DA6C452F-32B0-4AA9-B782-BD0EBC5C612B}"/>
    <cellStyle name="Normal 9 2 3 2 6 2 5" xfId="29809" xr:uid="{A8C05006-F145-4662-BD8E-74551A2C0281}"/>
    <cellStyle name="Normal 9 2 3 2 6 3" xfId="6537" xr:uid="{00000000-0005-0000-0000-0000311F0000}"/>
    <cellStyle name="Normal 9 2 3 2 6 3 2" xfId="14987" xr:uid="{6B62EFA8-2CDC-4DD9-99AE-BB0E6255F65B}"/>
    <cellStyle name="Normal 9 2 3 2 6 3 3" xfId="23434" xr:uid="{AEA54BA0-A00B-4B44-A9D3-C66183CFAD3B}"/>
    <cellStyle name="Normal 9 2 3 2 6 3 4" xfId="31881" xr:uid="{9E73DDCE-1AE6-4CEB-A055-208BB629E195}"/>
    <cellStyle name="Normal 9 2 3 2 6 4" xfId="10769" xr:uid="{5315EBE9-C2F6-4A85-B481-32336F7A3F1F}"/>
    <cellStyle name="Normal 9 2 3 2 6 5" xfId="19217" xr:uid="{803C751C-622F-458D-8A53-C894EA3561CC}"/>
    <cellStyle name="Normal 9 2 3 2 6 6" xfId="27664" xr:uid="{F7849B4D-9378-4649-8D71-7F4FA2B27E38}"/>
    <cellStyle name="Normal 9 2 3 2 7" xfId="2667" xr:uid="{00000000-0005-0000-0000-0000321F0000}"/>
    <cellStyle name="Normal 9 2 3 2 7 2" xfId="6950" xr:uid="{00000000-0005-0000-0000-0000331F0000}"/>
    <cellStyle name="Normal 9 2 3 2 7 2 2" xfId="15400" xr:uid="{777ACED3-B277-4F76-8837-1AF0B9D1E824}"/>
    <cellStyle name="Normal 9 2 3 2 7 2 3" xfId="23847" xr:uid="{58DD1635-52F7-45B1-BAB5-B2C44DD7A6B0}"/>
    <cellStyle name="Normal 9 2 3 2 7 2 4" xfId="32294" xr:uid="{33424817-1EB6-4BFC-A5CB-3021168A89C7}"/>
    <cellStyle name="Normal 9 2 3 2 7 3" xfId="11182" xr:uid="{2D0A8136-115A-42B8-A525-F01209120351}"/>
    <cellStyle name="Normal 9 2 3 2 7 4" xfId="19630" xr:uid="{9012DB44-01BA-4AC7-87ED-D8DAF85A9E6F}"/>
    <cellStyle name="Normal 9 2 3 2 7 5" xfId="28077" xr:uid="{A62D0845-52FC-4115-A7A7-45B5E50B6310}"/>
    <cellStyle name="Normal 9 2 3 2 8" xfId="4885" xr:uid="{00000000-0005-0000-0000-0000341F0000}"/>
    <cellStyle name="Normal 9 2 3 2 8 2" xfId="13335" xr:uid="{809F1571-646E-46BA-95F8-7175623909F1}"/>
    <cellStyle name="Normal 9 2 3 2 8 3" xfId="21782" xr:uid="{48A616BE-88C3-4D6E-BEC2-C600EABE0799}"/>
    <cellStyle name="Normal 9 2 3 2 8 4" xfId="30229" xr:uid="{4ED94197-945B-40E4-B569-68B10B111281}"/>
    <cellStyle name="Normal 9 2 3 2 9" xfId="9117" xr:uid="{F9E773AC-BC8D-4922-A704-03794A9B2E0A}"/>
    <cellStyle name="Normal 9 2 3 3" xfId="523" xr:uid="{00000000-0005-0000-0000-0000351F0000}"/>
    <cellStyle name="Normal 9 2 3 3 10" xfId="26014" xr:uid="{CB1505F4-47A9-4138-8CC9-CFC4BD278F99}"/>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8C0A5114-306D-4538-9C1E-8C82161B68C3}"/>
    <cellStyle name="Normal 9 2 3 3 2 2 2 3" xfId="24342" xr:uid="{3EA6DEEC-E0DF-4D4C-8163-AFD1FD24348C}"/>
    <cellStyle name="Normal 9 2 3 3 2 2 2 4" xfId="32789" xr:uid="{5C305E9A-5EBE-4E28-B426-F8FB128B20C5}"/>
    <cellStyle name="Normal 9 2 3 3 2 2 3" xfId="11677" xr:uid="{0EF28C3B-A7EF-46C9-9511-7FC756A7C255}"/>
    <cellStyle name="Normal 9 2 3 3 2 2 4" xfId="20125" xr:uid="{A1DCF257-EBFF-4A2A-B725-40457DC6789A}"/>
    <cellStyle name="Normal 9 2 3 3 2 2 5" xfId="28572" xr:uid="{D68DDE4F-94E4-4E41-9456-79F125F81B71}"/>
    <cellStyle name="Normal 9 2 3 3 2 3" xfId="5300" xr:uid="{00000000-0005-0000-0000-0000391F0000}"/>
    <cellStyle name="Normal 9 2 3 3 2 3 2" xfId="13750" xr:uid="{7A650A43-532D-4391-95C4-9573E820F8BF}"/>
    <cellStyle name="Normal 9 2 3 3 2 3 3" xfId="22197" xr:uid="{3B714167-6966-4F52-B095-61163FA7EA14}"/>
    <cellStyle name="Normal 9 2 3 3 2 3 4" xfId="30644" xr:uid="{D9212F8D-B72A-43CC-873F-F33DA0955794}"/>
    <cellStyle name="Normal 9 2 3 3 2 4" xfId="9532" xr:uid="{CD1BEEC5-5AE2-4334-B9F8-F189361C5913}"/>
    <cellStyle name="Normal 9 2 3 3 2 5" xfId="17980" xr:uid="{4A8A3664-0558-45B8-9F75-971CD794B1DE}"/>
    <cellStyle name="Normal 9 2 3 3 2 6" xfId="26427" xr:uid="{4FC853D4-EA1B-4D6E-AB56-79B88C7BACE5}"/>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BE45A188-E9D2-4EBE-9935-2D6D2098D640}"/>
    <cellStyle name="Normal 9 2 3 3 3 2 2 3" xfId="24755" xr:uid="{9B907725-8318-41B9-B242-18BF61834CD0}"/>
    <cellStyle name="Normal 9 2 3 3 3 2 2 4" xfId="33202" xr:uid="{E5956772-C09D-4DFF-8BED-2588D36ECE91}"/>
    <cellStyle name="Normal 9 2 3 3 3 2 3" xfId="12090" xr:uid="{162DFEAC-EAB3-4B34-9A94-6AC6A422948D}"/>
    <cellStyle name="Normal 9 2 3 3 3 2 4" xfId="20538" xr:uid="{F4560271-3289-4EED-A243-AB0D33054EE9}"/>
    <cellStyle name="Normal 9 2 3 3 3 2 5" xfId="28985" xr:uid="{E830E73D-4D5A-4B2B-B627-5CD078A9E9C4}"/>
    <cellStyle name="Normal 9 2 3 3 3 3" xfId="5713" xr:uid="{00000000-0005-0000-0000-00003D1F0000}"/>
    <cellStyle name="Normal 9 2 3 3 3 3 2" xfId="14163" xr:uid="{5BB39502-9886-4B21-BF09-B5209FC8248D}"/>
    <cellStyle name="Normal 9 2 3 3 3 3 3" xfId="22610" xr:uid="{42C87D9F-A1CB-4064-BC36-02435F6D5775}"/>
    <cellStyle name="Normal 9 2 3 3 3 3 4" xfId="31057" xr:uid="{8ED53FC6-A249-49F0-A366-F277CD410D59}"/>
    <cellStyle name="Normal 9 2 3 3 3 4" xfId="9945" xr:uid="{44978354-C67A-4EE1-8F9B-0D31EA6A673C}"/>
    <cellStyle name="Normal 9 2 3 3 3 5" xfId="18393" xr:uid="{0A356368-1461-4066-B66D-50DDA9F0E301}"/>
    <cellStyle name="Normal 9 2 3 3 3 6" xfId="26840" xr:uid="{9C9F2231-6868-4D30-9928-9C5B64F6FA53}"/>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50E0C504-1F30-40E1-96E6-17C9C17297DE}"/>
    <cellStyle name="Normal 9 2 3 3 4 2 2 3" xfId="25168" xr:uid="{51ABD12D-6416-401C-972C-D4070D239C40}"/>
    <cellStyle name="Normal 9 2 3 3 4 2 2 4" xfId="33615" xr:uid="{95AF2FD4-9C68-4594-B17F-CF5EA542CE85}"/>
    <cellStyle name="Normal 9 2 3 3 4 2 3" xfId="12503" xr:uid="{68F2C091-C0E5-4405-AB88-27F0F6F024B8}"/>
    <cellStyle name="Normal 9 2 3 3 4 2 4" xfId="20951" xr:uid="{63B0B4AB-96B3-42C7-88DF-E869FEAF443B}"/>
    <cellStyle name="Normal 9 2 3 3 4 2 5" xfId="29398" xr:uid="{3FC67F7B-718A-4218-9FE4-B678FA2E5192}"/>
    <cellStyle name="Normal 9 2 3 3 4 3" xfId="6126" xr:uid="{00000000-0005-0000-0000-0000411F0000}"/>
    <cellStyle name="Normal 9 2 3 3 4 3 2" xfId="14576" xr:uid="{B459325E-83CF-4DE0-AC8A-694A92E80968}"/>
    <cellStyle name="Normal 9 2 3 3 4 3 3" xfId="23023" xr:uid="{CBC86739-AE83-4899-ABBD-ED0B9AE1E89E}"/>
    <cellStyle name="Normal 9 2 3 3 4 3 4" xfId="31470" xr:uid="{D2E5D354-57A7-4829-A993-4A2EB261698E}"/>
    <cellStyle name="Normal 9 2 3 3 4 4" xfId="10358" xr:uid="{9F313E0C-AA02-4A58-83D7-AA115E87BB62}"/>
    <cellStyle name="Normal 9 2 3 3 4 5" xfId="18806" xr:uid="{20BFCCD0-FF2F-42D0-A2A5-82FC4FE0867F}"/>
    <cellStyle name="Normal 9 2 3 3 4 6" xfId="27253" xr:uid="{40F54FA9-E9AA-40BD-B03B-DD1C0BB56AD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D2D15F96-1996-438F-8A03-330AFD0F0959}"/>
    <cellStyle name="Normal 9 2 3 3 5 2 2 3" xfId="25581" xr:uid="{58FF10F2-5166-4515-A1F3-9C36A061B447}"/>
    <cellStyle name="Normal 9 2 3 3 5 2 2 4" xfId="34028" xr:uid="{FC434A2A-CC36-45FE-A590-1EFC995290E1}"/>
    <cellStyle name="Normal 9 2 3 3 5 2 3" xfId="12916" xr:uid="{503AAF17-D219-40FB-A698-2B75746E31A4}"/>
    <cellStyle name="Normal 9 2 3 3 5 2 4" xfId="21364" xr:uid="{2DC73A60-982C-4310-99EA-F49FC6C163E4}"/>
    <cellStyle name="Normal 9 2 3 3 5 2 5" xfId="29811" xr:uid="{26E3D986-CD0F-4FBE-BB3B-3C75E3611FAD}"/>
    <cellStyle name="Normal 9 2 3 3 5 3" xfId="6539" xr:uid="{00000000-0005-0000-0000-0000451F0000}"/>
    <cellStyle name="Normal 9 2 3 3 5 3 2" xfId="14989" xr:uid="{38736090-3119-4683-8110-A46B309EFB70}"/>
    <cellStyle name="Normal 9 2 3 3 5 3 3" xfId="23436" xr:uid="{259ECF1F-45A3-4B7B-9BF1-7337D21F5D7F}"/>
    <cellStyle name="Normal 9 2 3 3 5 3 4" xfId="31883" xr:uid="{BFD1868C-B06A-464C-9C2B-7794B3932AD2}"/>
    <cellStyle name="Normal 9 2 3 3 5 4" xfId="10771" xr:uid="{96867788-FA3C-404A-AED5-660A4BCA3854}"/>
    <cellStyle name="Normal 9 2 3 3 5 5" xfId="19219" xr:uid="{B916B62B-AE1A-498E-A959-8422B7273DA3}"/>
    <cellStyle name="Normal 9 2 3 3 5 6" xfId="27666" xr:uid="{AA1F96A5-7FDF-44C6-8BFA-F55C43DBA583}"/>
    <cellStyle name="Normal 9 2 3 3 6" xfId="2669" xr:uid="{00000000-0005-0000-0000-0000461F0000}"/>
    <cellStyle name="Normal 9 2 3 3 6 2" xfId="6952" xr:uid="{00000000-0005-0000-0000-0000471F0000}"/>
    <cellStyle name="Normal 9 2 3 3 6 2 2" xfId="15402" xr:uid="{8DD81ABE-830E-4C6A-9531-6E8AF43E7281}"/>
    <cellStyle name="Normal 9 2 3 3 6 2 3" xfId="23849" xr:uid="{DD2D065B-F84F-48F2-8BC8-01E95446E6DB}"/>
    <cellStyle name="Normal 9 2 3 3 6 2 4" xfId="32296" xr:uid="{54951C5E-395B-4E92-B11B-6D11AD84549A}"/>
    <cellStyle name="Normal 9 2 3 3 6 3" xfId="11184" xr:uid="{BDB756E4-82A9-4F0B-9D76-B7DACD006FB9}"/>
    <cellStyle name="Normal 9 2 3 3 6 4" xfId="19632" xr:uid="{1CE69C6C-5FAD-489C-9E86-F76C94D3617A}"/>
    <cellStyle name="Normal 9 2 3 3 6 5" xfId="28079" xr:uid="{C749B2FF-F8CC-4235-A239-C42BA621A40E}"/>
    <cellStyle name="Normal 9 2 3 3 7" xfId="4887" xr:uid="{00000000-0005-0000-0000-0000481F0000}"/>
    <cellStyle name="Normal 9 2 3 3 7 2" xfId="13337" xr:uid="{4C220202-7196-466C-8C95-5DA31ACA47D5}"/>
    <cellStyle name="Normal 9 2 3 3 7 3" xfId="21784" xr:uid="{AAAD93AB-5BB0-431B-9F1F-69066388934F}"/>
    <cellStyle name="Normal 9 2 3 3 7 4" xfId="30231" xr:uid="{8C0741D0-3A4A-4CB4-91E8-D55107869F93}"/>
    <cellStyle name="Normal 9 2 3 3 8" xfId="9119" xr:uid="{A8FA54AB-89B4-4487-9014-D39A2B072D4A}"/>
    <cellStyle name="Normal 9 2 3 3 9" xfId="17567" xr:uid="{86D0C561-EBF0-4C5E-8FF5-F57329D3AD27}"/>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60091925-C717-45E7-BDB8-A552A7FAB297}"/>
    <cellStyle name="Normal 9 2 3 4 2 2 3" xfId="24339" xr:uid="{46CF077F-6691-4265-A459-3D4C6638B323}"/>
    <cellStyle name="Normal 9 2 3 4 2 2 4" xfId="32786" xr:uid="{52076EDE-FC25-42B2-967F-855761A07BDB}"/>
    <cellStyle name="Normal 9 2 3 4 2 3" xfId="11674" xr:uid="{906280B7-DE6B-4619-AA33-A5D23B8D10B7}"/>
    <cellStyle name="Normal 9 2 3 4 2 4" xfId="20122" xr:uid="{F8990878-1076-4F75-8A26-742847374284}"/>
    <cellStyle name="Normal 9 2 3 4 2 5" xfId="28569" xr:uid="{3EEBC948-9050-41C2-BDAD-ABD1906EE9B0}"/>
    <cellStyle name="Normal 9 2 3 4 3" xfId="5297" xr:uid="{00000000-0005-0000-0000-00004C1F0000}"/>
    <cellStyle name="Normal 9 2 3 4 3 2" xfId="13747" xr:uid="{A8E8F354-96C0-4380-ABB4-C3EE0C127A03}"/>
    <cellStyle name="Normal 9 2 3 4 3 3" xfId="22194" xr:uid="{0D3BF4D6-6D0F-4DB5-96FE-869C9DBFE845}"/>
    <cellStyle name="Normal 9 2 3 4 3 4" xfId="30641" xr:uid="{D3B50051-EC9C-497C-97F8-82E6ADBFF6D6}"/>
    <cellStyle name="Normal 9 2 3 4 4" xfId="9529" xr:uid="{24EBA217-BBC7-4A30-98D6-8200E511A1A6}"/>
    <cellStyle name="Normal 9 2 3 4 5" xfId="17977" xr:uid="{9093745C-F675-4F2B-A122-6F2A24E7C190}"/>
    <cellStyle name="Normal 9 2 3 4 6" xfId="26424" xr:uid="{2C1AB67F-C642-4DDA-B08A-2ADAE71DC817}"/>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A18A8A24-C04D-405C-9CCE-DB9329761083}"/>
    <cellStyle name="Normal 9 2 3 5 2 2 3" xfId="24752" xr:uid="{86319010-3FD2-460B-9568-76F39EDB8EF8}"/>
    <cellStyle name="Normal 9 2 3 5 2 2 4" xfId="33199" xr:uid="{70E20752-F497-4546-8AF0-0FFB84FD2DA6}"/>
    <cellStyle name="Normal 9 2 3 5 2 3" xfId="12087" xr:uid="{DF8CB377-6558-4A9C-AAAD-C564F2E1B773}"/>
    <cellStyle name="Normal 9 2 3 5 2 4" xfId="20535" xr:uid="{EB20D848-B3BE-4C34-811F-AD53CA1690F3}"/>
    <cellStyle name="Normal 9 2 3 5 2 5" xfId="28982" xr:uid="{B3A53A84-7DF0-4E1F-B216-210C44A432EB}"/>
    <cellStyle name="Normal 9 2 3 5 3" xfId="5710" xr:uid="{00000000-0005-0000-0000-0000501F0000}"/>
    <cellStyle name="Normal 9 2 3 5 3 2" xfId="14160" xr:uid="{A29C58AD-0BBF-4F44-A5BD-1A124F38B783}"/>
    <cellStyle name="Normal 9 2 3 5 3 3" xfId="22607" xr:uid="{6B913E80-83C6-4481-874D-F4FBBE7F35B1}"/>
    <cellStyle name="Normal 9 2 3 5 3 4" xfId="31054" xr:uid="{4A693C50-C8C7-4B49-AB83-ABDD669C6C09}"/>
    <cellStyle name="Normal 9 2 3 5 4" xfId="9942" xr:uid="{EF389C04-0BD8-4F54-9A02-F7167A13CAD1}"/>
    <cellStyle name="Normal 9 2 3 5 5" xfId="18390" xr:uid="{E3C624C0-8177-4885-AE39-30CD5C58E61D}"/>
    <cellStyle name="Normal 9 2 3 5 6" xfId="26837" xr:uid="{2A3C390C-2275-41FA-B59D-EE1817778EC7}"/>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B2805992-7447-4B0A-AA27-A3F8DF3A36C4}"/>
    <cellStyle name="Normal 9 2 3 6 2 2 3" xfId="25165" xr:uid="{E83DF0DB-9B5D-4DA2-8F80-AAEC41CF09B3}"/>
    <cellStyle name="Normal 9 2 3 6 2 2 4" xfId="33612" xr:uid="{50B6A0D1-37DF-4317-A5BA-A76809E3F26C}"/>
    <cellStyle name="Normal 9 2 3 6 2 3" xfId="12500" xr:uid="{A2A4404A-CE32-4059-99D5-FA29F0446440}"/>
    <cellStyle name="Normal 9 2 3 6 2 4" xfId="20948" xr:uid="{E088B5E5-DFDE-49B4-A27A-704C2CBDC49D}"/>
    <cellStyle name="Normal 9 2 3 6 2 5" xfId="29395" xr:uid="{D10B1747-37FF-42A6-B0D2-852C65437F58}"/>
    <cellStyle name="Normal 9 2 3 6 3" xfId="6123" xr:uid="{00000000-0005-0000-0000-0000541F0000}"/>
    <cellStyle name="Normal 9 2 3 6 3 2" xfId="14573" xr:uid="{7D716D56-7636-4A1E-970E-2391D7B464D8}"/>
    <cellStyle name="Normal 9 2 3 6 3 3" xfId="23020" xr:uid="{801782DD-031A-4EA9-9DE5-7BA4AD646D03}"/>
    <cellStyle name="Normal 9 2 3 6 3 4" xfId="31467" xr:uid="{EC6B3858-C290-48C8-B477-7A26BCFBA97E}"/>
    <cellStyle name="Normal 9 2 3 6 4" xfId="10355" xr:uid="{BCB7F676-E930-4BE7-9CD9-81A566868EEF}"/>
    <cellStyle name="Normal 9 2 3 6 5" xfId="18803" xr:uid="{DB55E524-2B49-4346-B4CB-A2F4DDB15A8E}"/>
    <cellStyle name="Normal 9 2 3 6 6" xfId="27250" xr:uid="{89CBE1F2-AE88-4285-8EEC-9B92B0353E9B}"/>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D8085B7C-9E3C-42C4-A7AC-2E5BE97EB38C}"/>
    <cellStyle name="Normal 9 2 3 7 2 2 3" xfId="25578" xr:uid="{B184F8FE-26E2-4912-A977-7DFA40A09BBC}"/>
    <cellStyle name="Normal 9 2 3 7 2 2 4" xfId="34025" xr:uid="{4BB12598-9748-46A9-85C5-73EC4B0125F0}"/>
    <cellStyle name="Normal 9 2 3 7 2 3" xfId="12913" xr:uid="{F137D380-7E54-4D42-A2FD-C83E283764B3}"/>
    <cellStyle name="Normal 9 2 3 7 2 4" xfId="21361" xr:uid="{AFA08252-E7E2-4D05-89C1-5F1283AE5008}"/>
    <cellStyle name="Normal 9 2 3 7 2 5" xfId="29808" xr:uid="{80FE5CA6-914A-4CFB-89E8-66248BF096E8}"/>
    <cellStyle name="Normal 9 2 3 7 3" xfId="6536" xr:uid="{00000000-0005-0000-0000-0000581F0000}"/>
    <cellStyle name="Normal 9 2 3 7 3 2" xfId="14986" xr:uid="{700598D5-F74B-4180-B170-FD73137A06D2}"/>
    <cellStyle name="Normal 9 2 3 7 3 3" xfId="23433" xr:uid="{55BFBD1E-832E-4A96-B528-8F4378329B52}"/>
    <cellStyle name="Normal 9 2 3 7 3 4" xfId="31880" xr:uid="{93541720-21D2-486C-AF2D-9D4E9E788754}"/>
    <cellStyle name="Normal 9 2 3 7 4" xfId="10768" xr:uid="{993159F2-73E4-4368-9F49-D451971548D1}"/>
    <cellStyle name="Normal 9 2 3 7 5" xfId="19216" xr:uid="{4DED7FB1-F46E-4E3A-9234-89F221BEBF49}"/>
    <cellStyle name="Normal 9 2 3 7 6" xfId="27663" xr:uid="{CB4F45D1-AFBB-4775-901C-83DC35DFE470}"/>
    <cellStyle name="Normal 9 2 3 8" xfId="2666" xr:uid="{00000000-0005-0000-0000-0000591F0000}"/>
    <cellStyle name="Normal 9 2 3 8 2" xfId="6949" xr:uid="{00000000-0005-0000-0000-00005A1F0000}"/>
    <cellStyle name="Normal 9 2 3 8 2 2" xfId="15399" xr:uid="{13E911AD-1E8F-418E-8B04-AD2491A10D0C}"/>
    <cellStyle name="Normal 9 2 3 8 2 3" xfId="23846" xr:uid="{9B4AA229-BE50-40C3-83F0-61C0B5103CED}"/>
    <cellStyle name="Normal 9 2 3 8 2 4" xfId="32293" xr:uid="{E059620D-E099-406E-9394-E7CB06C685D3}"/>
    <cellStyle name="Normal 9 2 3 8 3" xfId="11181" xr:uid="{198CEFC8-C324-4A3A-A155-3F0851C9C570}"/>
    <cellStyle name="Normal 9 2 3 8 4" xfId="19629" xr:uid="{E1C980A2-0DB2-49CD-ADB7-2770A71254B8}"/>
    <cellStyle name="Normal 9 2 3 8 5" xfId="28076" xr:uid="{C109CE31-2249-40FD-99D7-8A2E2B4512A6}"/>
    <cellStyle name="Normal 9 2 3 9" xfId="4884" xr:uid="{00000000-0005-0000-0000-00005B1F0000}"/>
    <cellStyle name="Normal 9 2 3 9 2" xfId="13334" xr:uid="{A1799DA0-AB54-4F16-AF98-5FF9B4ACB569}"/>
    <cellStyle name="Normal 9 2 3 9 3" xfId="21781" xr:uid="{47D6393C-3577-4846-ABFF-194B5B5EF2BE}"/>
    <cellStyle name="Normal 9 2 3 9 4" xfId="30228" xr:uid="{7E88C94F-1086-4ED4-9F31-4F6024ADD7C0}"/>
    <cellStyle name="Normal 9 2 4" xfId="524" xr:uid="{00000000-0005-0000-0000-00005C1F0000}"/>
    <cellStyle name="Normal 9 2 4 10" xfId="17568" xr:uid="{F86D69CB-E3B8-4987-B118-11F87282EA54}"/>
    <cellStyle name="Normal 9 2 4 11" xfId="26015" xr:uid="{1052D2EC-F05A-4EE2-B18F-E1F47A9C1A53}"/>
    <cellStyle name="Normal 9 2 4 2" xfId="525" xr:uid="{00000000-0005-0000-0000-00005D1F0000}"/>
    <cellStyle name="Normal 9 2 4 2 10" xfId="26016" xr:uid="{AA08DE4D-00DF-4606-9EB7-356C6271C073}"/>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A7F8D2B9-7517-4AB3-9C1C-9B61B830C9F0}"/>
    <cellStyle name="Normal 9 2 4 2 2 2 2 3" xfId="24344" xr:uid="{B787C994-1695-4CAA-B65C-FDE0EAB8D653}"/>
    <cellStyle name="Normal 9 2 4 2 2 2 2 4" xfId="32791" xr:uid="{006420E4-CE33-4BED-AFD3-440E78EC7B0B}"/>
    <cellStyle name="Normal 9 2 4 2 2 2 3" xfId="11679" xr:uid="{390C2DCA-F9B8-4D10-93F5-E9FC2FFB9841}"/>
    <cellStyle name="Normal 9 2 4 2 2 2 4" xfId="20127" xr:uid="{ADECF389-3F5E-4E21-B291-EEFCE46BC2FC}"/>
    <cellStyle name="Normal 9 2 4 2 2 2 5" xfId="28574" xr:uid="{9D26B705-7D73-418E-816B-EEA78E0EA846}"/>
    <cellStyle name="Normal 9 2 4 2 2 3" xfId="5302" xr:uid="{00000000-0005-0000-0000-0000611F0000}"/>
    <cellStyle name="Normal 9 2 4 2 2 3 2" xfId="13752" xr:uid="{35D063A0-FB92-43FC-AE44-EBA0FC2BC9D6}"/>
    <cellStyle name="Normal 9 2 4 2 2 3 3" xfId="22199" xr:uid="{A5717D10-99CA-405F-9680-289FF0ADFDB4}"/>
    <cellStyle name="Normal 9 2 4 2 2 3 4" xfId="30646" xr:uid="{C785649D-878F-42A3-96D7-FDA4D9C50034}"/>
    <cellStyle name="Normal 9 2 4 2 2 4" xfId="9534" xr:uid="{4E2C6BE7-CAF9-46E9-A0F7-B7CA006F8AC1}"/>
    <cellStyle name="Normal 9 2 4 2 2 5" xfId="17982" xr:uid="{73C1CAAC-C22D-415A-B92F-0BAC67F44DFE}"/>
    <cellStyle name="Normal 9 2 4 2 2 6" xfId="26429" xr:uid="{2A388018-FBDD-470C-80CE-77CC49C76B2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4E70289A-7101-40EF-A106-B44C9E1C3B8B}"/>
    <cellStyle name="Normal 9 2 4 2 3 2 2 3" xfId="24757" xr:uid="{FA5E88EE-2786-433E-80F4-51B4FF76BB35}"/>
    <cellStyle name="Normal 9 2 4 2 3 2 2 4" xfId="33204" xr:uid="{FB99149F-4A1F-4A4F-871A-ED4A070949F3}"/>
    <cellStyle name="Normal 9 2 4 2 3 2 3" xfId="12092" xr:uid="{1640102F-3E53-4D2D-A71D-DD9464BD0010}"/>
    <cellStyle name="Normal 9 2 4 2 3 2 4" xfId="20540" xr:uid="{8E9DD16E-A89C-42F5-AE4D-FA06548286A2}"/>
    <cellStyle name="Normal 9 2 4 2 3 2 5" xfId="28987" xr:uid="{5861FC48-2AD4-4B5D-BCB4-675B749B7CF0}"/>
    <cellStyle name="Normal 9 2 4 2 3 3" xfId="5715" xr:uid="{00000000-0005-0000-0000-0000651F0000}"/>
    <cellStyle name="Normal 9 2 4 2 3 3 2" xfId="14165" xr:uid="{3272D8EC-D2D1-4A73-A44C-4FECC7978C5C}"/>
    <cellStyle name="Normal 9 2 4 2 3 3 3" xfId="22612" xr:uid="{EC81C6A3-8E86-4FE8-B859-876024E4D55A}"/>
    <cellStyle name="Normal 9 2 4 2 3 3 4" xfId="31059" xr:uid="{080259AC-AA9D-4E56-9E7C-0A67E47ADB52}"/>
    <cellStyle name="Normal 9 2 4 2 3 4" xfId="9947" xr:uid="{329EDDA3-0E20-4245-85ED-4A06C1EDDA37}"/>
    <cellStyle name="Normal 9 2 4 2 3 5" xfId="18395" xr:uid="{08D76C27-2A5C-4883-A3C8-AD1E78A1E0B3}"/>
    <cellStyle name="Normal 9 2 4 2 3 6" xfId="26842" xr:uid="{144B8E5A-7B90-4647-AB3D-3EC904CC19A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51A3D87D-9A96-47C3-9C56-5AC0502494B5}"/>
    <cellStyle name="Normal 9 2 4 2 4 2 2 3" xfId="25170" xr:uid="{E2C0DE52-F301-4712-9E74-CC13B8B7E7E1}"/>
    <cellStyle name="Normal 9 2 4 2 4 2 2 4" xfId="33617" xr:uid="{B96BCDA0-17A9-40B3-83C3-157911F9EB48}"/>
    <cellStyle name="Normal 9 2 4 2 4 2 3" xfId="12505" xr:uid="{F555313E-64B9-4AEC-8E3C-C766967F3F0E}"/>
    <cellStyle name="Normal 9 2 4 2 4 2 4" xfId="20953" xr:uid="{DD37419C-A2FB-41C1-A91A-7B4CBF74A324}"/>
    <cellStyle name="Normal 9 2 4 2 4 2 5" xfId="29400" xr:uid="{6809AE1E-A1A1-470E-8E98-45594F492956}"/>
    <cellStyle name="Normal 9 2 4 2 4 3" xfId="6128" xr:uid="{00000000-0005-0000-0000-0000691F0000}"/>
    <cellStyle name="Normal 9 2 4 2 4 3 2" xfId="14578" xr:uid="{05ABAEF7-04CE-4CFF-8716-6E40D827AA4B}"/>
    <cellStyle name="Normal 9 2 4 2 4 3 3" xfId="23025" xr:uid="{872F1C0F-0E1A-4824-B3A1-32A73F726886}"/>
    <cellStyle name="Normal 9 2 4 2 4 3 4" xfId="31472" xr:uid="{0D83C1F9-E401-40F8-8C99-0DD7A1C45694}"/>
    <cellStyle name="Normal 9 2 4 2 4 4" xfId="10360" xr:uid="{A8B018AF-98D0-469E-A824-E5E416912FBA}"/>
    <cellStyle name="Normal 9 2 4 2 4 5" xfId="18808" xr:uid="{62B77A1F-0DC3-4DBC-8B56-B187DA530C17}"/>
    <cellStyle name="Normal 9 2 4 2 4 6" xfId="27255" xr:uid="{F797554B-832C-4970-BCA7-CFDEFD9FA622}"/>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894458C4-48D8-443E-B940-E6EA08C91483}"/>
    <cellStyle name="Normal 9 2 4 2 5 2 2 3" xfId="25583" xr:uid="{2290A11E-4048-4CAE-A375-0AD80875ACD1}"/>
    <cellStyle name="Normal 9 2 4 2 5 2 2 4" xfId="34030" xr:uid="{63DDB52B-6E7E-4BEB-B274-00D2962B5711}"/>
    <cellStyle name="Normal 9 2 4 2 5 2 3" xfId="12918" xr:uid="{49082D64-1CFA-4A25-8690-6094C3D71CA5}"/>
    <cellStyle name="Normal 9 2 4 2 5 2 4" xfId="21366" xr:uid="{6D368EC2-C461-471C-8A9D-58B5CD83D116}"/>
    <cellStyle name="Normal 9 2 4 2 5 2 5" xfId="29813" xr:uid="{FC9A6DB7-9E01-46D9-B2A6-428E7A3C5994}"/>
    <cellStyle name="Normal 9 2 4 2 5 3" xfId="6541" xr:uid="{00000000-0005-0000-0000-00006D1F0000}"/>
    <cellStyle name="Normal 9 2 4 2 5 3 2" xfId="14991" xr:uid="{8908E829-07C5-4F49-A451-288B2829833D}"/>
    <cellStyle name="Normal 9 2 4 2 5 3 3" xfId="23438" xr:uid="{FD68C0D5-5BA0-41F5-819C-E261BA4CDE83}"/>
    <cellStyle name="Normal 9 2 4 2 5 3 4" xfId="31885" xr:uid="{69824D00-A143-4B70-8163-0AB15F46F2EF}"/>
    <cellStyle name="Normal 9 2 4 2 5 4" xfId="10773" xr:uid="{9A2574F5-A794-42F4-98D5-868AC7587E33}"/>
    <cellStyle name="Normal 9 2 4 2 5 5" xfId="19221" xr:uid="{A60BD884-8FE3-4BD3-9C41-E902E254ED81}"/>
    <cellStyle name="Normal 9 2 4 2 5 6" xfId="27668" xr:uid="{82B4EDC0-04BA-4375-A4DE-5C829466BDB0}"/>
    <cellStyle name="Normal 9 2 4 2 6" xfId="2671" xr:uid="{00000000-0005-0000-0000-00006E1F0000}"/>
    <cellStyle name="Normal 9 2 4 2 6 2" xfId="6954" xr:uid="{00000000-0005-0000-0000-00006F1F0000}"/>
    <cellStyle name="Normal 9 2 4 2 6 2 2" xfId="15404" xr:uid="{6C1C779C-9BF2-4E01-AAA4-322F0E051C87}"/>
    <cellStyle name="Normal 9 2 4 2 6 2 3" xfId="23851" xr:uid="{7C1870A8-7E67-49D7-B63E-59025D7205C3}"/>
    <cellStyle name="Normal 9 2 4 2 6 2 4" xfId="32298" xr:uid="{7B45A23E-2E35-4F4D-9405-0F8188AF7030}"/>
    <cellStyle name="Normal 9 2 4 2 6 3" xfId="11186" xr:uid="{DAB0C945-2549-44CA-A3E4-85623E91B353}"/>
    <cellStyle name="Normal 9 2 4 2 6 4" xfId="19634" xr:uid="{3C5F1CE1-1904-4ED2-B516-91449FD14654}"/>
    <cellStyle name="Normal 9 2 4 2 6 5" xfId="28081" xr:uid="{98FE4225-A38A-4E19-95A5-4FC8544E22E4}"/>
    <cellStyle name="Normal 9 2 4 2 7" xfId="4889" xr:uid="{00000000-0005-0000-0000-0000701F0000}"/>
    <cellStyle name="Normal 9 2 4 2 7 2" xfId="13339" xr:uid="{DAD2D252-EB05-4A89-A555-36FB87C35D8E}"/>
    <cellStyle name="Normal 9 2 4 2 7 3" xfId="21786" xr:uid="{C1C3BA73-2ED6-4903-8E46-4C9967E47875}"/>
    <cellStyle name="Normal 9 2 4 2 7 4" xfId="30233" xr:uid="{975BC492-4E86-46A7-ACE0-898346C265DB}"/>
    <cellStyle name="Normal 9 2 4 2 8" xfId="9121" xr:uid="{8B226017-3568-44E5-8FCF-56C4DB4C94F3}"/>
    <cellStyle name="Normal 9 2 4 2 9" xfId="17569" xr:uid="{91DECB09-5F0D-48A6-926E-E85522CE3E48}"/>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7AFC2A71-F93E-4E24-A08F-AE344604BDC9}"/>
    <cellStyle name="Normal 9 2 4 3 2 2 3" xfId="24343" xr:uid="{AA5C12C8-9317-4BE4-96EB-95D0D7A84D03}"/>
    <cellStyle name="Normal 9 2 4 3 2 2 4" xfId="32790" xr:uid="{73EA7AB7-946B-4623-B52A-6C643F7D9394}"/>
    <cellStyle name="Normal 9 2 4 3 2 3" xfId="11678" xr:uid="{3A12F583-4FB8-4108-B2A2-45EEE5E72445}"/>
    <cellStyle name="Normal 9 2 4 3 2 4" xfId="20126" xr:uid="{B20C5EBF-CF2F-4C72-92F3-B1A5B6A24FB5}"/>
    <cellStyle name="Normal 9 2 4 3 2 5" xfId="28573" xr:uid="{5B3E5540-0BEB-4AD4-9779-257E72E1C6DF}"/>
    <cellStyle name="Normal 9 2 4 3 3" xfId="5301" xr:uid="{00000000-0005-0000-0000-0000741F0000}"/>
    <cellStyle name="Normal 9 2 4 3 3 2" xfId="13751" xr:uid="{FD399E81-1B22-4247-A441-ECB2B64DB3D2}"/>
    <cellStyle name="Normal 9 2 4 3 3 3" xfId="22198" xr:uid="{BCC3A46D-7355-4733-B146-DC8DB6A1E78E}"/>
    <cellStyle name="Normal 9 2 4 3 3 4" xfId="30645" xr:uid="{E8D86F2B-ED72-4890-A3FD-203B787764B5}"/>
    <cellStyle name="Normal 9 2 4 3 4" xfId="9533" xr:uid="{F256D9E3-476D-4E47-8958-F416B24637ED}"/>
    <cellStyle name="Normal 9 2 4 3 5" xfId="17981" xr:uid="{78935FA1-1692-4173-A8E3-F795DBF9E0B8}"/>
    <cellStyle name="Normal 9 2 4 3 6" xfId="26428" xr:uid="{DD81AD5A-BEA8-41BC-99A8-99D07CA25011}"/>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ED314DD9-58A8-4B03-816C-7D3CA79D83A3}"/>
    <cellStyle name="Normal 9 2 4 4 2 2 3" xfId="24756" xr:uid="{238141F9-6673-423F-A579-D778702607DA}"/>
    <cellStyle name="Normal 9 2 4 4 2 2 4" xfId="33203" xr:uid="{999116EC-A733-40A2-9277-4C220B6F3E33}"/>
    <cellStyle name="Normal 9 2 4 4 2 3" xfId="12091" xr:uid="{E3870A76-0997-4C8F-BBCC-65E743D953F7}"/>
    <cellStyle name="Normal 9 2 4 4 2 4" xfId="20539" xr:uid="{42099E03-AA92-43AA-AB2B-AD801D859E27}"/>
    <cellStyle name="Normal 9 2 4 4 2 5" xfId="28986" xr:uid="{79889C0E-4A47-42BB-9453-8ED8483FDC93}"/>
    <cellStyle name="Normal 9 2 4 4 3" xfId="5714" xr:uid="{00000000-0005-0000-0000-0000781F0000}"/>
    <cellStyle name="Normal 9 2 4 4 3 2" xfId="14164" xr:uid="{33A75987-2695-4966-A902-5C742AAB101E}"/>
    <cellStyle name="Normal 9 2 4 4 3 3" xfId="22611" xr:uid="{67512DF6-E9A7-4F63-A8A9-9D4F53A68A48}"/>
    <cellStyle name="Normal 9 2 4 4 3 4" xfId="31058" xr:uid="{9578461E-65CE-4363-86B7-0430BE5A60EE}"/>
    <cellStyle name="Normal 9 2 4 4 4" xfId="9946" xr:uid="{D3F8A498-99B5-4B71-9B21-9AF9B18D2AEA}"/>
    <cellStyle name="Normal 9 2 4 4 5" xfId="18394" xr:uid="{C3660834-613B-4FFB-9DC0-F69CDA93A56F}"/>
    <cellStyle name="Normal 9 2 4 4 6" xfId="26841" xr:uid="{A6CC56A7-A6B6-471E-BE51-362E943F3C0A}"/>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27849EA6-9187-4654-BD82-1946C3F85AC7}"/>
    <cellStyle name="Normal 9 2 4 5 2 2 3" xfId="25169" xr:uid="{B0256B96-4A81-41BA-A366-A94829B80EFC}"/>
    <cellStyle name="Normal 9 2 4 5 2 2 4" xfId="33616" xr:uid="{135F52A2-BE94-4DE6-A909-A9A25E3CAF59}"/>
    <cellStyle name="Normal 9 2 4 5 2 3" xfId="12504" xr:uid="{03D6D7D7-DF20-4029-A23C-D125C1A92735}"/>
    <cellStyle name="Normal 9 2 4 5 2 4" xfId="20952" xr:uid="{939FAB3E-C90C-407C-B3EC-C35FA574C863}"/>
    <cellStyle name="Normal 9 2 4 5 2 5" xfId="29399" xr:uid="{E6EAF1F6-2313-4EA9-93B1-DCD6E9BB0A69}"/>
    <cellStyle name="Normal 9 2 4 5 3" xfId="6127" xr:uid="{00000000-0005-0000-0000-00007C1F0000}"/>
    <cellStyle name="Normal 9 2 4 5 3 2" xfId="14577" xr:uid="{FEAD6B51-98F8-4FAC-8066-373B0C7100AA}"/>
    <cellStyle name="Normal 9 2 4 5 3 3" xfId="23024" xr:uid="{FB5F117C-4672-4D31-A0D8-071CC87BCE82}"/>
    <cellStyle name="Normal 9 2 4 5 3 4" xfId="31471" xr:uid="{DCB95FF1-B439-4D74-A896-C5FEF4DDA2C7}"/>
    <cellStyle name="Normal 9 2 4 5 4" xfId="10359" xr:uid="{2B61A632-2B74-4904-97ED-E59CFD37E586}"/>
    <cellStyle name="Normal 9 2 4 5 5" xfId="18807" xr:uid="{51588DAF-978E-4CE0-B871-48C9743C1758}"/>
    <cellStyle name="Normal 9 2 4 5 6" xfId="27254" xr:uid="{979E9453-9286-4952-8DC9-B36A2997CFCE}"/>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55783191-EEB8-4927-BB25-9123B5391010}"/>
    <cellStyle name="Normal 9 2 4 6 2 2 3" xfId="25582" xr:uid="{26EC2D0C-368C-45B9-9595-0D24874404BB}"/>
    <cellStyle name="Normal 9 2 4 6 2 2 4" xfId="34029" xr:uid="{A8C938FF-E988-471E-BAB4-0D541D113D99}"/>
    <cellStyle name="Normal 9 2 4 6 2 3" xfId="12917" xr:uid="{7DA41CFC-EBCE-444B-936E-FC204E41B82F}"/>
    <cellStyle name="Normal 9 2 4 6 2 4" xfId="21365" xr:uid="{E22A8961-D00A-4410-9E10-73A2E6D79D3B}"/>
    <cellStyle name="Normal 9 2 4 6 2 5" xfId="29812" xr:uid="{49B42765-C731-4D98-B52A-BFCF713FC0F5}"/>
    <cellStyle name="Normal 9 2 4 6 3" xfId="6540" xr:uid="{00000000-0005-0000-0000-0000801F0000}"/>
    <cellStyle name="Normal 9 2 4 6 3 2" xfId="14990" xr:uid="{D5E066F1-42FF-4FC2-8ACF-75A1C7B76F5C}"/>
    <cellStyle name="Normal 9 2 4 6 3 3" xfId="23437" xr:uid="{A5ED684B-E969-48D0-8B01-96BCC1BA69A0}"/>
    <cellStyle name="Normal 9 2 4 6 3 4" xfId="31884" xr:uid="{1BF8F205-7068-4902-B822-B79AFFACC368}"/>
    <cellStyle name="Normal 9 2 4 6 4" xfId="10772" xr:uid="{3631D3BC-98A5-4A79-8D84-D6EC1A7592AB}"/>
    <cellStyle name="Normal 9 2 4 6 5" xfId="19220" xr:uid="{CFA52F8B-7101-4A38-A5DD-BC4CBA90EEA0}"/>
    <cellStyle name="Normal 9 2 4 6 6" xfId="27667" xr:uid="{8FBBC8B3-51DC-4947-9337-4D645DEFF516}"/>
    <cellStyle name="Normal 9 2 4 7" xfId="2670" xr:uid="{00000000-0005-0000-0000-0000811F0000}"/>
    <cellStyle name="Normal 9 2 4 7 2" xfId="6953" xr:uid="{00000000-0005-0000-0000-0000821F0000}"/>
    <cellStyle name="Normal 9 2 4 7 2 2" xfId="15403" xr:uid="{6F62BD83-BFA7-48CF-B1A9-851E254E9BAE}"/>
    <cellStyle name="Normal 9 2 4 7 2 3" xfId="23850" xr:uid="{26E6C796-2006-4F4E-970B-B84505FF50F9}"/>
    <cellStyle name="Normal 9 2 4 7 2 4" xfId="32297" xr:uid="{665F731F-4180-4A08-BCB3-B955E830D1F2}"/>
    <cellStyle name="Normal 9 2 4 7 3" xfId="11185" xr:uid="{2ED0F056-F640-402F-AC14-8DB6D7CB1159}"/>
    <cellStyle name="Normal 9 2 4 7 4" xfId="19633" xr:uid="{25E0A18E-50F8-40EF-8252-18172BB1CEC4}"/>
    <cellStyle name="Normal 9 2 4 7 5" xfId="28080" xr:uid="{6EDC1F27-72E5-409C-9343-19EE1DD98FBE}"/>
    <cellStyle name="Normal 9 2 4 8" xfId="4888" xr:uid="{00000000-0005-0000-0000-0000831F0000}"/>
    <cellStyle name="Normal 9 2 4 8 2" xfId="13338" xr:uid="{86B2F535-D9B3-47AB-AFBA-26699A55949A}"/>
    <cellStyle name="Normal 9 2 4 8 3" xfId="21785" xr:uid="{8513EF02-47A5-4B48-BE8B-58DFAF5D4B90}"/>
    <cellStyle name="Normal 9 2 4 8 4" xfId="30232" xr:uid="{44FD0B03-3EA6-47A7-BAA3-04329317470B}"/>
    <cellStyle name="Normal 9 2 4 9" xfId="9120" xr:uid="{576C1D68-2A32-4906-BBEF-BC96241418DB}"/>
    <cellStyle name="Normal 9 2 5" xfId="526" xr:uid="{00000000-0005-0000-0000-0000841F0000}"/>
    <cellStyle name="Normal 9 2 5 10" xfId="26017" xr:uid="{6D79B482-A4A4-4A50-9E4A-172C22DED26F}"/>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F6A2AA51-6A07-48FB-A370-BB678794AFED}"/>
    <cellStyle name="Normal 9 2 5 2 2 2 3" xfId="24345" xr:uid="{F64A29BC-CEB3-40F6-8E9B-A613122DF5FA}"/>
    <cellStyle name="Normal 9 2 5 2 2 2 4" xfId="32792" xr:uid="{3B6BCCDD-9C5E-4449-BAD2-5645536978F3}"/>
    <cellStyle name="Normal 9 2 5 2 2 3" xfId="11680" xr:uid="{F2C116B1-906C-4EA0-9BB1-124B5B198D28}"/>
    <cellStyle name="Normal 9 2 5 2 2 4" xfId="20128" xr:uid="{2044F486-627C-46E4-917C-F4AB54BD8355}"/>
    <cellStyle name="Normal 9 2 5 2 2 5" xfId="28575" xr:uid="{BE5DABD8-683F-43C8-98C4-1FABDAE85576}"/>
    <cellStyle name="Normal 9 2 5 2 3" xfId="5303" xr:uid="{00000000-0005-0000-0000-0000881F0000}"/>
    <cellStyle name="Normal 9 2 5 2 3 2" xfId="13753" xr:uid="{8526F729-C5D7-4D3D-BB16-D509C50323B8}"/>
    <cellStyle name="Normal 9 2 5 2 3 3" xfId="22200" xr:uid="{65F55536-82B2-4A20-8935-2D1CD3E7AF33}"/>
    <cellStyle name="Normal 9 2 5 2 3 4" xfId="30647" xr:uid="{B547FDEA-85BF-43B8-B7C6-067B8B60578F}"/>
    <cellStyle name="Normal 9 2 5 2 4" xfId="9535" xr:uid="{E586B8D8-D57A-4881-8A45-2E05E1109C78}"/>
    <cellStyle name="Normal 9 2 5 2 5" xfId="17983" xr:uid="{05804BEC-F29C-4108-838D-A35A81FE2235}"/>
    <cellStyle name="Normal 9 2 5 2 6" xfId="26430" xr:uid="{80B9C974-7FA4-4D3B-81D7-CC439D21DD02}"/>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4EADE1BA-4943-4E68-B71A-7096179F3414}"/>
    <cellStyle name="Normal 9 2 5 3 2 2 3" xfId="24758" xr:uid="{ED234CBD-374E-4543-B70E-F8201CC532B8}"/>
    <cellStyle name="Normal 9 2 5 3 2 2 4" xfId="33205" xr:uid="{B5B29A49-6DA0-4D7A-99D0-CA9B1DA7C04B}"/>
    <cellStyle name="Normal 9 2 5 3 2 3" xfId="12093" xr:uid="{63C3E00E-C415-401D-BFB0-606269E88630}"/>
    <cellStyle name="Normal 9 2 5 3 2 4" xfId="20541" xr:uid="{A4ABBB06-ADA4-4CA5-869E-50BDF0A1E522}"/>
    <cellStyle name="Normal 9 2 5 3 2 5" xfId="28988" xr:uid="{1969238F-CF29-4508-857A-7E1964B735D5}"/>
    <cellStyle name="Normal 9 2 5 3 3" xfId="5716" xr:uid="{00000000-0005-0000-0000-00008C1F0000}"/>
    <cellStyle name="Normal 9 2 5 3 3 2" xfId="14166" xr:uid="{0CCC184C-5777-4984-A5C0-F3EDF9E4B9D4}"/>
    <cellStyle name="Normal 9 2 5 3 3 3" xfId="22613" xr:uid="{C3681238-184D-42AE-8708-A98A68EB5621}"/>
    <cellStyle name="Normal 9 2 5 3 3 4" xfId="31060" xr:uid="{48070C03-ED8E-4DE5-9F3B-F289A63C7E5A}"/>
    <cellStyle name="Normal 9 2 5 3 4" xfId="9948" xr:uid="{AA4111EA-A430-4592-A1BB-DF04AE388FC1}"/>
    <cellStyle name="Normal 9 2 5 3 5" xfId="18396" xr:uid="{2E0741AE-40DE-4F5E-BC65-8560DE260835}"/>
    <cellStyle name="Normal 9 2 5 3 6" xfId="26843" xr:uid="{9FC5CEF3-3EF7-4E18-BDC0-D6A6C842629C}"/>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A8CECD48-F720-4534-A1A2-980A3D64E284}"/>
    <cellStyle name="Normal 9 2 5 4 2 2 3" xfId="25171" xr:uid="{CE4E4537-D6B0-4034-8AAF-2E80F5DA7682}"/>
    <cellStyle name="Normal 9 2 5 4 2 2 4" xfId="33618" xr:uid="{296CE15D-F6FF-4FFD-BAE6-44223EA2FE02}"/>
    <cellStyle name="Normal 9 2 5 4 2 3" xfId="12506" xr:uid="{AC14F6F7-1D51-480C-AD02-B9829BD54613}"/>
    <cellStyle name="Normal 9 2 5 4 2 4" xfId="20954" xr:uid="{BBF81789-338A-4197-876D-977B52FB3D73}"/>
    <cellStyle name="Normal 9 2 5 4 2 5" xfId="29401" xr:uid="{979D5212-FB0C-4AF0-A8F3-C660103C96CF}"/>
    <cellStyle name="Normal 9 2 5 4 3" xfId="6129" xr:uid="{00000000-0005-0000-0000-0000901F0000}"/>
    <cellStyle name="Normal 9 2 5 4 3 2" xfId="14579" xr:uid="{E36F2AA3-776C-4F2B-8A42-0FEBE86CC83F}"/>
    <cellStyle name="Normal 9 2 5 4 3 3" xfId="23026" xr:uid="{2DA66FBF-2620-444D-A1EE-3B51043616DD}"/>
    <cellStyle name="Normal 9 2 5 4 3 4" xfId="31473" xr:uid="{D3BC9053-FC38-4E8C-9B67-31E44E62866E}"/>
    <cellStyle name="Normal 9 2 5 4 4" xfId="10361" xr:uid="{3986F397-BAEB-4D25-814B-99B0DA8BEFCB}"/>
    <cellStyle name="Normal 9 2 5 4 5" xfId="18809" xr:uid="{3D67A257-F8C2-4119-9BE3-13D65729A7B9}"/>
    <cellStyle name="Normal 9 2 5 4 6" xfId="27256" xr:uid="{AC35E27E-D8D0-4A3F-AC63-4A71AEECA864}"/>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F2222B54-6DFF-4138-B5AA-3FEC8DBBF04C}"/>
    <cellStyle name="Normal 9 2 5 5 2 2 3" xfId="25584" xr:uid="{06B89146-32E1-42F3-85DD-E5137E9C2182}"/>
    <cellStyle name="Normal 9 2 5 5 2 2 4" xfId="34031" xr:uid="{5D9C0DB5-0D92-41CE-8B69-A82118A2DC7D}"/>
    <cellStyle name="Normal 9 2 5 5 2 3" xfId="12919" xr:uid="{92370FC1-586E-4813-B09F-FF1F9B654A3D}"/>
    <cellStyle name="Normal 9 2 5 5 2 4" xfId="21367" xr:uid="{15DE935E-7D45-413A-B11A-3C7E5CE1EA3B}"/>
    <cellStyle name="Normal 9 2 5 5 2 5" xfId="29814" xr:uid="{02C3ACFB-A374-420F-BDCB-EED53AFEDFF0}"/>
    <cellStyle name="Normal 9 2 5 5 3" xfId="6542" xr:uid="{00000000-0005-0000-0000-0000941F0000}"/>
    <cellStyle name="Normal 9 2 5 5 3 2" xfId="14992" xr:uid="{E1068B61-EE71-4B78-88C9-28934A781B23}"/>
    <cellStyle name="Normal 9 2 5 5 3 3" xfId="23439" xr:uid="{AA98475D-96BB-4862-B882-F272FE66B99F}"/>
    <cellStyle name="Normal 9 2 5 5 3 4" xfId="31886" xr:uid="{670915BC-B3C3-4736-A086-C7948026E4B1}"/>
    <cellStyle name="Normal 9 2 5 5 4" xfId="10774" xr:uid="{F627E1C5-4858-4326-ABC6-701D59143524}"/>
    <cellStyle name="Normal 9 2 5 5 5" xfId="19222" xr:uid="{3E36A934-F843-451F-B997-4D4A80ABADDA}"/>
    <cellStyle name="Normal 9 2 5 5 6" xfId="27669" xr:uid="{C76ABD99-1230-481B-B4EF-A97CFCC7E62D}"/>
    <cellStyle name="Normal 9 2 5 6" xfId="2672" xr:uid="{00000000-0005-0000-0000-0000951F0000}"/>
    <cellStyle name="Normal 9 2 5 6 2" xfId="6955" xr:uid="{00000000-0005-0000-0000-0000961F0000}"/>
    <cellStyle name="Normal 9 2 5 6 2 2" xfId="15405" xr:uid="{AD375791-819D-4479-9CA3-1C513D21E00C}"/>
    <cellStyle name="Normal 9 2 5 6 2 3" xfId="23852" xr:uid="{2A8A8FED-1997-479F-B5CA-B245ACA65550}"/>
    <cellStyle name="Normal 9 2 5 6 2 4" xfId="32299" xr:uid="{CFF7910B-ACED-4EB8-B294-C4A8F3240F9E}"/>
    <cellStyle name="Normal 9 2 5 6 3" xfId="11187" xr:uid="{69F16FB4-F067-403A-B95B-2F12B36AD4EC}"/>
    <cellStyle name="Normal 9 2 5 6 4" xfId="19635" xr:uid="{BFB07906-DE15-4E60-A138-C6CD6125E24E}"/>
    <cellStyle name="Normal 9 2 5 6 5" xfId="28082" xr:uid="{3179A7A4-984F-4BBF-BBBF-73FB0003B1D1}"/>
    <cellStyle name="Normal 9 2 5 7" xfId="4890" xr:uid="{00000000-0005-0000-0000-0000971F0000}"/>
    <cellStyle name="Normal 9 2 5 7 2" xfId="13340" xr:uid="{277A4BB6-B67C-4A8D-9335-F670B8ACC657}"/>
    <cellStyle name="Normal 9 2 5 7 3" xfId="21787" xr:uid="{20A75D4B-E883-42BB-B1E1-603F1863BCCE}"/>
    <cellStyle name="Normal 9 2 5 7 4" xfId="30234" xr:uid="{D8A34749-41D1-4695-B09D-F002A08FAC7E}"/>
    <cellStyle name="Normal 9 2 5 8" xfId="9122" xr:uid="{B9745A53-BA1A-4BCE-A9D3-712C30FA3F15}"/>
    <cellStyle name="Normal 9 2 5 9" xfId="17570" xr:uid="{00ED6521-2DAD-4D81-9024-0C2E0C0E41CE}"/>
    <cellStyle name="Normal 9 2 6" xfId="978" xr:uid="{00000000-0005-0000-0000-0000981F0000}"/>
    <cellStyle name="Normal 9 2 6 2" xfId="3211" xr:uid="{00000000-0005-0000-0000-0000991F0000}"/>
    <cellStyle name="Normal 9 2 6 2 2" xfId="7433" xr:uid="{00000000-0005-0000-0000-00009A1F0000}"/>
    <cellStyle name="Normal 9 2 6 2 2 2" xfId="15883" xr:uid="{72294F6D-43B1-4C8F-AF8D-529C256E48A2}"/>
    <cellStyle name="Normal 9 2 6 2 2 3" xfId="24330" xr:uid="{03342864-EA39-4B44-B887-C3BB6DAFD732}"/>
    <cellStyle name="Normal 9 2 6 2 2 4" xfId="32777" xr:uid="{ACDEF43D-973A-4ACA-AD7B-A0186351BF86}"/>
    <cellStyle name="Normal 9 2 6 2 3" xfId="11665" xr:uid="{11349940-4EC2-43BF-B251-1382633E3BF3}"/>
    <cellStyle name="Normal 9 2 6 2 4" xfId="20113" xr:uid="{31ACDD29-FCA3-4DA2-9CA6-84B200FC8DFC}"/>
    <cellStyle name="Normal 9 2 6 2 5" xfId="28560" xr:uid="{A86FF244-B174-43B4-867C-296C27DA0EEF}"/>
    <cellStyle name="Normal 9 2 6 3" xfId="5288" xr:uid="{00000000-0005-0000-0000-00009B1F0000}"/>
    <cellStyle name="Normal 9 2 6 3 2" xfId="13738" xr:uid="{6CF4AE97-9716-4FF2-8EC5-160E2FA7498D}"/>
    <cellStyle name="Normal 9 2 6 3 3" xfId="22185" xr:uid="{4CC527F5-EFD8-4EF0-AA61-957F3BE8BFF5}"/>
    <cellStyle name="Normal 9 2 6 3 4" xfId="30632" xr:uid="{C24732A2-27F8-4BEB-B2DE-F00423FE2619}"/>
    <cellStyle name="Normal 9 2 6 4" xfId="9520" xr:uid="{B84F639F-36FA-4579-ABE2-2ECD398349D0}"/>
    <cellStyle name="Normal 9 2 6 5" xfId="17968" xr:uid="{19FDF47F-7754-4C6A-AC13-294F54A3548F}"/>
    <cellStyle name="Normal 9 2 6 6" xfId="26415" xr:uid="{137F2481-8C13-40AF-A7CC-1DA172E67FA5}"/>
    <cellStyle name="Normal 9 2 7" xfId="1394" xr:uid="{00000000-0005-0000-0000-00009C1F0000}"/>
    <cellStyle name="Normal 9 2 7 2" xfId="3624" xr:uid="{00000000-0005-0000-0000-00009D1F0000}"/>
    <cellStyle name="Normal 9 2 7 2 2" xfId="7846" xr:uid="{00000000-0005-0000-0000-00009E1F0000}"/>
    <cellStyle name="Normal 9 2 7 2 2 2" xfId="16296" xr:uid="{67B04DA0-A580-4016-9367-DAE12A41D6F7}"/>
    <cellStyle name="Normal 9 2 7 2 2 3" xfId="24743" xr:uid="{6FCAFD3B-E5B3-4D35-B549-8868A90C839D}"/>
    <cellStyle name="Normal 9 2 7 2 2 4" xfId="33190" xr:uid="{22C8B583-919C-4566-8FA7-E397FC41E6BD}"/>
    <cellStyle name="Normal 9 2 7 2 3" xfId="12078" xr:uid="{05F77FC5-38E3-42E1-8533-B7D1E4954250}"/>
    <cellStyle name="Normal 9 2 7 2 4" xfId="20526" xr:uid="{A877A2FB-39CD-41DC-903D-1EE3C5592A4C}"/>
    <cellStyle name="Normal 9 2 7 2 5" xfId="28973" xr:uid="{204E56E8-B8BC-41B8-B8A5-72D9A43F40F9}"/>
    <cellStyle name="Normal 9 2 7 3" xfId="5701" xr:uid="{00000000-0005-0000-0000-00009F1F0000}"/>
    <cellStyle name="Normal 9 2 7 3 2" xfId="14151" xr:uid="{460F7924-42EA-4DDE-9B45-A02FC25839A2}"/>
    <cellStyle name="Normal 9 2 7 3 3" xfId="22598" xr:uid="{596F7443-844E-4CCB-B4DA-223C76AF572B}"/>
    <cellStyle name="Normal 9 2 7 3 4" xfId="31045" xr:uid="{A2D79A87-B451-4D60-B231-985BA9AAC959}"/>
    <cellStyle name="Normal 9 2 7 4" xfId="9933" xr:uid="{27954EF2-0E45-432F-BEF0-20F0B85125EB}"/>
    <cellStyle name="Normal 9 2 7 5" xfId="18381" xr:uid="{2F062FF5-0070-400B-BA5B-9792D23FB78C}"/>
    <cellStyle name="Normal 9 2 7 6" xfId="26828" xr:uid="{103F8AFF-8DF9-4DB8-9194-FDECD8511EA4}"/>
    <cellStyle name="Normal 9 2 8" xfId="1807" xr:uid="{00000000-0005-0000-0000-0000A01F0000}"/>
    <cellStyle name="Normal 9 2 8 2" xfId="4037" xr:uid="{00000000-0005-0000-0000-0000A11F0000}"/>
    <cellStyle name="Normal 9 2 8 2 2" xfId="8259" xr:uid="{00000000-0005-0000-0000-0000A21F0000}"/>
    <cellStyle name="Normal 9 2 8 2 2 2" xfId="16709" xr:uid="{D11B8956-544F-48B5-B8B5-42D79C8AF6EE}"/>
    <cellStyle name="Normal 9 2 8 2 2 3" xfId="25156" xr:uid="{7066ACB6-D736-491B-8484-24D2454BCEFD}"/>
    <cellStyle name="Normal 9 2 8 2 2 4" xfId="33603" xr:uid="{9243F9A7-D2DD-4331-BD12-04FEB0ED7A34}"/>
    <cellStyle name="Normal 9 2 8 2 3" xfId="12491" xr:uid="{A243FC94-5846-4C48-A9A1-95DF537ED5E2}"/>
    <cellStyle name="Normal 9 2 8 2 4" xfId="20939" xr:uid="{3F39700D-A64C-4737-B8C9-083966E62491}"/>
    <cellStyle name="Normal 9 2 8 2 5" xfId="29386" xr:uid="{4683BF70-1D0C-4A4B-BDB3-1DD5EC463BA1}"/>
    <cellStyle name="Normal 9 2 8 3" xfId="6114" xr:uid="{00000000-0005-0000-0000-0000A31F0000}"/>
    <cellStyle name="Normal 9 2 8 3 2" xfId="14564" xr:uid="{0A5BFF20-34D2-4F71-8B2B-8123E741A788}"/>
    <cellStyle name="Normal 9 2 8 3 3" xfId="23011" xr:uid="{D6649C99-ECA9-41AC-A3D4-6483C2E05EB4}"/>
    <cellStyle name="Normal 9 2 8 3 4" xfId="31458" xr:uid="{94296504-9174-4FA0-B96A-5F0EF3AEED0E}"/>
    <cellStyle name="Normal 9 2 8 4" xfId="10346" xr:uid="{BAA3521E-8554-4FD7-9634-3BB832E00E81}"/>
    <cellStyle name="Normal 9 2 8 5" xfId="18794" xr:uid="{5CF09D52-3336-4DB1-88A4-909ED7B58D44}"/>
    <cellStyle name="Normal 9 2 8 6" xfId="27241" xr:uid="{4E9D6EA6-52EB-4235-AB53-1BCABA3B5FB9}"/>
    <cellStyle name="Normal 9 2 9" xfId="2221" xr:uid="{00000000-0005-0000-0000-0000A41F0000}"/>
    <cellStyle name="Normal 9 2 9 2" xfId="4450" xr:uid="{00000000-0005-0000-0000-0000A51F0000}"/>
    <cellStyle name="Normal 9 2 9 2 2" xfId="8672" xr:uid="{00000000-0005-0000-0000-0000A61F0000}"/>
    <cellStyle name="Normal 9 2 9 2 2 2" xfId="17122" xr:uid="{5628031E-5230-4FE8-BFB3-FE905CB01F31}"/>
    <cellStyle name="Normal 9 2 9 2 2 3" xfId="25569" xr:uid="{16981748-67BF-4B91-9CDC-8879F74F4193}"/>
    <cellStyle name="Normal 9 2 9 2 2 4" xfId="34016" xr:uid="{2A2ECAFB-827E-4AC2-8A4B-8CDF4792AC8A}"/>
    <cellStyle name="Normal 9 2 9 2 3" xfId="12904" xr:uid="{BC57C4F6-55AB-499B-8821-7CBE678F6EBE}"/>
    <cellStyle name="Normal 9 2 9 2 4" xfId="21352" xr:uid="{40B5296F-C8FE-4A37-B53A-F85B16B85759}"/>
    <cellStyle name="Normal 9 2 9 2 5" xfId="29799" xr:uid="{4884F751-6D85-4491-A7D4-4E8AB3080B82}"/>
    <cellStyle name="Normal 9 2 9 3" xfId="6527" xr:uid="{00000000-0005-0000-0000-0000A71F0000}"/>
    <cellStyle name="Normal 9 2 9 3 2" xfId="14977" xr:uid="{EBDFBE7A-797E-4542-A2C4-BCFC67C0172C}"/>
    <cellStyle name="Normal 9 2 9 3 3" xfId="23424" xr:uid="{FE550CEE-E07B-4F37-AA4C-6BFC24559227}"/>
    <cellStyle name="Normal 9 2 9 3 4" xfId="31871" xr:uid="{17E26B64-032F-4BB5-A52C-81C0852357B0}"/>
    <cellStyle name="Normal 9 2 9 4" xfId="10759" xr:uid="{803C3A3A-0A01-4340-ACC3-E53C738EC139}"/>
    <cellStyle name="Normal 9 2 9 5" xfId="19207" xr:uid="{077A71D5-881C-4AF1-B03D-968333545E64}"/>
    <cellStyle name="Normal 9 2 9 6" xfId="27654" xr:uid="{849134CF-1E87-417C-BF6C-986C36200B24}"/>
    <cellStyle name="Normal 9 3" xfId="527" xr:uid="{00000000-0005-0000-0000-0000A81F0000}"/>
    <cellStyle name="Normal 9 3 10" xfId="4891" xr:uid="{00000000-0005-0000-0000-0000A91F0000}"/>
    <cellStyle name="Normal 9 3 10 2" xfId="13341" xr:uid="{52BADB6C-68D2-48D1-9F59-7B156D67AC35}"/>
    <cellStyle name="Normal 9 3 10 3" xfId="21788" xr:uid="{FC15559A-5AE2-428F-B9EC-49964BDEBF37}"/>
    <cellStyle name="Normal 9 3 10 4" xfId="30235" xr:uid="{5F3586A0-45B0-42A0-9C23-4BEEC2750D80}"/>
    <cellStyle name="Normal 9 3 11" xfId="9123" xr:uid="{BA83A64C-590D-4112-81F0-27EA890B9A09}"/>
    <cellStyle name="Normal 9 3 12" xfId="17571" xr:uid="{48E38310-56FB-4512-9FD3-08E38A25C1FA}"/>
    <cellStyle name="Normal 9 3 13" xfId="26018" xr:uid="{1CA080B7-22BA-4FFC-A199-5DA432F9C80F}"/>
    <cellStyle name="Normal 9 3 2" xfId="528" xr:uid="{00000000-0005-0000-0000-0000AA1F0000}"/>
    <cellStyle name="Normal 9 3 2 10" xfId="9124" xr:uid="{77612A89-B0C3-4D86-BB26-3E1D478C3ABF}"/>
    <cellStyle name="Normal 9 3 2 11" xfId="17572" xr:uid="{ABD447B5-36C1-4067-A0B5-2B10EC6BC67B}"/>
    <cellStyle name="Normal 9 3 2 12" xfId="26019" xr:uid="{47DD4D43-059B-4C62-916D-53163E784925}"/>
    <cellStyle name="Normal 9 3 2 2" xfId="529" xr:uid="{00000000-0005-0000-0000-0000AB1F0000}"/>
    <cellStyle name="Normal 9 3 2 2 10" xfId="17573" xr:uid="{50B975CC-5E49-4F1C-8310-B6F04F553086}"/>
    <cellStyle name="Normal 9 3 2 2 11" xfId="26020" xr:uid="{9BB5ACC2-43C8-487E-8AC6-07D02C98981E}"/>
    <cellStyle name="Normal 9 3 2 2 2" xfId="530" xr:uid="{00000000-0005-0000-0000-0000AC1F0000}"/>
    <cellStyle name="Normal 9 3 2 2 2 10" xfId="26021" xr:uid="{BE12E0F4-D058-4AEE-89AB-132970F68E44}"/>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B8D9A82F-D0F5-4CFE-9ED4-BE27744CC023}"/>
    <cellStyle name="Normal 9 3 2 2 2 2 2 2 3" xfId="24349" xr:uid="{BD1F40E4-BF9D-4A9E-B24F-596EC6BEB5C9}"/>
    <cellStyle name="Normal 9 3 2 2 2 2 2 2 4" xfId="32796" xr:uid="{6E27F814-06B9-4ED8-9500-D0B8B936D5E3}"/>
    <cellStyle name="Normal 9 3 2 2 2 2 2 3" xfId="11684" xr:uid="{425166C4-8D15-401A-BF3B-F4B0DEC6AAA1}"/>
    <cellStyle name="Normal 9 3 2 2 2 2 2 4" xfId="20132" xr:uid="{0DFA2857-639D-43BC-9D40-0330EFE441C4}"/>
    <cellStyle name="Normal 9 3 2 2 2 2 2 5" xfId="28579" xr:uid="{DDF0F0C5-2B0E-42AB-8EB4-098DB016B413}"/>
    <cellStyle name="Normal 9 3 2 2 2 2 3" xfId="5307" xr:uid="{00000000-0005-0000-0000-0000B01F0000}"/>
    <cellStyle name="Normal 9 3 2 2 2 2 3 2" xfId="13757" xr:uid="{CB650FA5-0A43-4BB7-8D59-799BD9817766}"/>
    <cellStyle name="Normal 9 3 2 2 2 2 3 3" xfId="22204" xr:uid="{531213DE-EB44-4539-B136-74C78B1515F7}"/>
    <cellStyle name="Normal 9 3 2 2 2 2 3 4" xfId="30651" xr:uid="{0B520680-F50E-410E-B74F-D86E2105EB56}"/>
    <cellStyle name="Normal 9 3 2 2 2 2 4" xfId="9539" xr:uid="{A398FE31-3810-4394-AF42-CD0B0447EED9}"/>
    <cellStyle name="Normal 9 3 2 2 2 2 5" xfId="17987" xr:uid="{31B68BB7-E57B-4EF4-B627-BEFCC773EA4E}"/>
    <cellStyle name="Normal 9 3 2 2 2 2 6" xfId="26434" xr:uid="{5315690F-DBED-4B7D-A59B-2B219D545BEB}"/>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9356BCCA-C142-453B-AF2B-9D6479F172FD}"/>
    <cellStyle name="Normal 9 3 2 2 2 3 2 2 3" xfId="24762" xr:uid="{5F22FD52-5793-42F9-AFE7-B5AA90F4EFDA}"/>
    <cellStyle name="Normal 9 3 2 2 2 3 2 2 4" xfId="33209" xr:uid="{B394B62C-E5A5-4088-A982-A4583F2E4CFD}"/>
    <cellStyle name="Normal 9 3 2 2 2 3 2 3" xfId="12097" xr:uid="{858A6D35-A2AC-47C9-8697-9788B8E7E68E}"/>
    <cellStyle name="Normal 9 3 2 2 2 3 2 4" xfId="20545" xr:uid="{1F6AF41F-F0F1-4DD6-AAAB-9DFD2825DBEF}"/>
    <cellStyle name="Normal 9 3 2 2 2 3 2 5" xfId="28992" xr:uid="{BBEC466F-E715-4761-A8C1-19A0003E7200}"/>
    <cellStyle name="Normal 9 3 2 2 2 3 3" xfId="5720" xr:uid="{00000000-0005-0000-0000-0000B41F0000}"/>
    <cellStyle name="Normal 9 3 2 2 2 3 3 2" xfId="14170" xr:uid="{648D9DB5-BE8D-44DD-AF44-60A38AB9FE0D}"/>
    <cellStyle name="Normal 9 3 2 2 2 3 3 3" xfId="22617" xr:uid="{934BB65C-AE9E-44A6-B878-6F4D374CE62F}"/>
    <cellStyle name="Normal 9 3 2 2 2 3 3 4" xfId="31064" xr:uid="{9ACCCD23-507D-44A7-B99E-F904D933C553}"/>
    <cellStyle name="Normal 9 3 2 2 2 3 4" xfId="9952" xr:uid="{2ACA0F1D-2D01-47C0-ACA2-144CDCACEA24}"/>
    <cellStyle name="Normal 9 3 2 2 2 3 5" xfId="18400" xr:uid="{8BE86281-9814-4CE7-A23D-805184350E5D}"/>
    <cellStyle name="Normal 9 3 2 2 2 3 6" xfId="26847" xr:uid="{62DF6192-705C-4D85-8DD5-564F2D38D33A}"/>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8B9472FD-1E45-4EA1-A72B-A68499571304}"/>
    <cellStyle name="Normal 9 3 2 2 2 4 2 2 3" xfId="25175" xr:uid="{7EB64AD7-87B0-49FC-9440-16EBBA80150C}"/>
    <cellStyle name="Normal 9 3 2 2 2 4 2 2 4" xfId="33622" xr:uid="{EFCA0544-FD4F-415B-BB3A-94983E5FA46E}"/>
    <cellStyle name="Normal 9 3 2 2 2 4 2 3" xfId="12510" xr:uid="{41662475-FCD6-4BC2-9F0A-450F217074E9}"/>
    <cellStyle name="Normal 9 3 2 2 2 4 2 4" xfId="20958" xr:uid="{A7C747B0-8EFB-4439-BCCC-8E65BC03C9BF}"/>
    <cellStyle name="Normal 9 3 2 2 2 4 2 5" xfId="29405" xr:uid="{9E7601C6-1B97-4172-9661-19794D13CA9D}"/>
    <cellStyle name="Normal 9 3 2 2 2 4 3" xfId="6133" xr:uid="{00000000-0005-0000-0000-0000B81F0000}"/>
    <cellStyle name="Normal 9 3 2 2 2 4 3 2" xfId="14583" xr:uid="{FC70FE3E-2EFC-41B7-BC4C-56284B891352}"/>
    <cellStyle name="Normal 9 3 2 2 2 4 3 3" xfId="23030" xr:uid="{2EDB2A80-584C-4BBF-AB79-D7F201B3FA89}"/>
    <cellStyle name="Normal 9 3 2 2 2 4 3 4" xfId="31477" xr:uid="{855CDD48-4EC7-4256-8CB8-439F5DAC8A82}"/>
    <cellStyle name="Normal 9 3 2 2 2 4 4" xfId="10365" xr:uid="{85DA165D-8C5B-4BA2-88E7-9DA45FA54FCE}"/>
    <cellStyle name="Normal 9 3 2 2 2 4 5" xfId="18813" xr:uid="{574F8A77-B239-41E0-B962-E342D1342FB0}"/>
    <cellStyle name="Normal 9 3 2 2 2 4 6" xfId="27260" xr:uid="{533E1DEF-21ED-467F-98CE-2A51832F790D}"/>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EA2548C4-FE8F-4DC3-B2F7-B846C5AA51EC}"/>
    <cellStyle name="Normal 9 3 2 2 2 5 2 2 3" xfId="25588" xr:uid="{5E0A3245-5736-479F-9137-1EFA49C9E356}"/>
    <cellStyle name="Normal 9 3 2 2 2 5 2 2 4" xfId="34035" xr:uid="{A3DDB543-4D46-4AEC-876F-2941E8F16425}"/>
    <cellStyle name="Normal 9 3 2 2 2 5 2 3" xfId="12923" xr:uid="{FDC495CD-32A8-4D05-9163-418370AB78F1}"/>
    <cellStyle name="Normal 9 3 2 2 2 5 2 4" xfId="21371" xr:uid="{B4280CCE-82C9-47E5-87CD-2518921D9655}"/>
    <cellStyle name="Normal 9 3 2 2 2 5 2 5" xfId="29818" xr:uid="{05F53E55-9E07-49C5-A2A3-74791FF852E0}"/>
    <cellStyle name="Normal 9 3 2 2 2 5 3" xfId="6546" xr:uid="{00000000-0005-0000-0000-0000BC1F0000}"/>
    <cellStyle name="Normal 9 3 2 2 2 5 3 2" xfId="14996" xr:uid="{9C195D67-DD62-4A21-B489-2568E4BDF7C5}"/>
    <cellStyle name="Normal 9 3 2 2 2 5 3 3" xfId="23443" xr:uid="{E0044226-90AC-4C15-9B71-8A70CB7B31AA}"/>
    <cellStyle name="Normal 9 3 2 2 2 5 3 4" xfId="31890" xr:uid="{F728AAA3-26DE-4D30-819F-B32CE0FDA7D1}"/>
    <cellStyle name="Normal 9 3 2 2 2 5 4" xfId="10778" xr:uid="{301B70FB-B695-400A-A118-2AE155D336D7}"/>
    <cellStyle name="Normal 9 3 2 2 2 5 5" xfId="19226" xr:uid="{3A789BFF-790E-4878-B0DE-4B4E83726E39}"/>
    <cellStyle name="Normal 9 3 2 2 2 5 6" xfId="27673" xr:uid="{6534854D-3B4B-4723-9F55-2F0A8DCD6B58}"/>
    <cellStyle name="Normal 9 3 2 2 2 6" xfId="2676" xr:uid="{00000000-0005-0000-0000-0000BD1F0000}"/>
    <cellStyle name="Normal 9 3 2 2 2 6 2" xfId="6959" xr:uid="{00000000-0005-0000-0000-0000BE1F0000}"/>
    <cellStyle name="Normal 9 3 2 2 2 6 2 2" xfId="15409" xr:uid="{EBCA69BB-906E-4296-B045-76A50ED62D43}"/>
    <cellStyle name="Normal 9 3 2 2 2 6 2 3" xfId="23856" xr:uid="{5D326EC6-C3C8-4B27-92E3-52763CAEE792}"/>
    <cellStyle name="Normal 9 3 2 2 2 6 2 4" xfId="32303" xr:uid="{83E80750-DE8C-49FB-AE8F-D68373D7D464}"/>
    <cellStyle name="Normal 9 3 2 2 2 6 3" xfId="11191" xr:uid="{7B73355A-ECB1-4C26-B618-A5BDEF89D680}"/>
    <cellStyle name="Normal 9 3 2 2 2 6 4" xfId="19639" xr:uid="{552CBE33-208D-4F03-861B-DE47B60AA373}"/>
    <cellStyle name="Normal 9 3 2 2 2 6 5" xfId="28086" xr:uid="{89E2EBC5-0576-42AD-8509-4AA4CCB16D4B}"/>
    <cellStyle name="Normal 9 3 2 2 2 7" xfId="4894" xr:uid="{00000000-0005-0000-0000-0000BF1F0000}"/>
    <cellStyle name="Normal 9 3 2 2 2 7 2" xfId="13344" xr:uid="{C7D6AC39-3AA2-4578-A45D-346F65CC3E50}"/>
    <cellStyle name="Normal 9 3 2 2 2 7 3" xfId="21791" xr:uid="{D7B543AB-8282-4C20-BF81-508F7B9A4808}"/>
    <cellStyle name="Normal 9 3 2 2 2 7 4" xfId="30238" xr:uid="{8C51B7EF-42DD-48F9-888C-CAB5E08CE28F}"/>
    <cellStyle name="Normal 9 3 2 2 2 8" xfId="9126" xr:uid="{2AFAC032-C910-4C23-8611-780616812332}"/>
    <cellStyle name="Normal 9 3 2 2 2 9" xfId="17574" xr:uid="{43EA06E4-2451-40C7-9FE1-CF3FAF3EF69E}"/>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9CFA218E-D878-4AC4-8DFC-C0DB86628987}"/>
    <cellStyle name="Normal 9 3 2 2 3 2 2 3" xfId="24348" xr:uid="{984B82D6-3C84-4858-9F31-C1E627450C6D}"/>
    <cellStyle name="Normal 9 3 2 2 3 2 2 4" xfId="32795" xr:uid="{B2FD16EB-E94F-4E8D-B000-412F2C8DA147}"/>
    <cellStyle name="Normal 9 3 2 2 3 2 3" xfId="11683" xr:uid="{DAA0C819-7144-42D3-8C28-29AC7A0B8640}"/>
    <cellStyle name="Normal 9 3 2 2 3 2 4" xfId="20131" xr:uid="{BAC3AAB4-DA7F-4A31-8626-416AB0C29F72}"/>
    <cellStyle name="Normal 9 3 2 2 3 2 5" xfId="28578" xr:uid="{CF87BB4B-034A-40EC-AEE2-57B3BB6FECEB}"/>
    <cellStyle name="Normal 9 3 2 2 3 3" xfId="5306" xr:uid="{00000000-0005-0000-0000-0000C31F0000}"/>
    <cellStyle name="Normal 9 3 2 2 3 3 2" xfId="13756" xr:uid="{A87C96E1-18FB-4F82-8FC8-2603EEACC290}"/>
    <cellStyle name="Normal 9 3 2 2 3 3 3" xfId="22203" xr:uid="{63DAD507-D16E-49C4-A52F-D5C44BA4EBEE}"/>
    <cellStyle name="Normal 9 3 2 2 3 3 4" xfId="30650" xr:uid="{E90D8C04-2B07-405B-91C4-6A97A0FC9694}"/>
    <cellStyle name="Normal 9 3 2 2 3 4" xfId="9538" xr:uid="{C7B07B3A-2637-4DBE-837D-E0B04D9A5331}"/>
    <cellStyle name="Normal 9 3 2 2 3 5" xfId="17986" xr:uid="{907BC669-7D4B-47F7-939F-B9D4B7FA31AB}"/>
    <cellStyle name="Normal 9 3 2 2 3 6" xfId="26433" xr:uid="{94DB5307-2A36-4A56-84CF-FDED9FA1196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59095213-77F5-4A7F-BEEF-8FB7A81BEF19}"/>
    <cellStyle name="Normal 9 3 2 2 4 2 2 3" xfId="24761" xr:uid="{B7AD0AAC-3E6E-432F-AAFE-AD8CF996DCB9}"/>
    <cellStyle name="Normal 9 3 2 2 4 2 2 4" xfId="33208" xr:uid="{D32073E8-F63F-4164-9814-99EF88AAEAE7}"/>
    <cellStyle name="Normal 9 3 2 2 4 2 3" xfId="12096" xr:uid="{5D64FB4E-31AF-4C6D-9ADD-C198B02D186E}"/>
    <cellStyle name="Normal 9 3 2 2 4 2 4" xfId="20544" xr:uid="{F4D6AB24-680A-4A9D-9666-330C9C2BC874}"/>
    <cellStyle name="Normal 9 3 2 2 4 2 5" xfId="28991" xr:uid="{ED30EA78-4C7D-48A7-A899-FCC9C562B885}"/>
    <cellStyle name="Normal 9 3 2 2 4 3" xfId="5719" xr:uid="{00000000-0005-0000-0000-0000C71F0000}"/>
    <cellStyle name="Normal 9 3 2 2 4 3 2" xfId="14169" xr:uid="{89E1E81E-8447-401F-8661-6A79AEF84846}"/>
    <cellStyle name="Normal 9 3 2 2 4 3 3" xfId="22616" xr:uid="{E654F790-D1A8-4A1B-AC4D-C9715E3681AC}"/>
    <cellStyle name="Normal 9 3 2 2 4 3 4" xfId="31063" xr:uid="{BDC29D4A-47C2-4ED2-BF57-8E802456F3EC}"/>
    <cellStyle name="Normal 9 3 2 2 4 4" xfId="9951" xr:uid="{4F5A9A41-E320-4E95-BF50-2D8F3CA73B40}"/>
    <cellStyle name="Normal 9 3 2 2 4 5" xfId="18399" xr:uid="{EC93412F-3A65-4155-B2A3-467F10759A28}"/>
    <cellStyle name="Normal 9 3 2 2 4 6" xfId="26846" xr:uid="{5FB31FDA-E617-4F9E-947C-309C29F012B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D6BD8D9E-DBBF-473F-A36A-B7A15E780BCE}"/>
    <cellStyle name="Normal 9 3 2 2 5 2 2 3" xfId="25174" xr:uid="{A6FF69EA-30E0-4BDD-A122-099758F3B6D7}"/>
    <cellStyle name="Normal 9 3 2 2 5 2 2 4" xfId="33621" xr:uid="{FEAC8662-BF76-458C-A820-3C173768B1BC}"/>
    <cellStyle name="Normal 9 3 2 2 5 2 3" xfId="12509" xr:uid="{586C8221-30BF-46DE-9ED9-B3F80572B6BC}"/>
    <cellStyle name="Normal 9 3 2 2 5 2 4" xfId="20957" xr:uid="{89CE321A-F091-4744-BF19-D8D2B441BB27}"/>
    <cellStyle name="Normal 9 3 2 2 5 2 5" xfId="29404" xr:uid="{B2272161-D0E3-42DC-B8D7-D4615356526A}"/>
    <cellStyle name="Normal 9 3 2 2 5 3" xfId="6132" xr:uid="{00000000-0005-0000-0000-0000CB1F0000}"/>
    <cellStyle name="Normal 9 3 2 2 5 3 2" xfId="14582" xr:uid="{6C40CCB6-A370-4311-BB0C-4F01480C9945}"/>
    <cellStyle name="Normal 9 3 2 2 5 3 3" xfId="23029" xr:uid="{966B3E47-0F4E-4E45-A59E-9997EB771CE0}"/>
    <cellStyle name="Normal 9 3 2 2 5 3 4" xfId="31476" xr:uid="{BAC1BE91-285D-4B00-AE10-43668D5FCFB0}"/>
    <cellStyle name="Normal 9 3 2 2 5 4" xfId="10364" xr:uid="{B4E4EE81-8133-42F8-A3B9-9CAC6ECAF4AF}"/>
    <cellStyle name="Normal 9 3 2 2 5 5" xfId="18812" xr:uid="{DA8418F4-0F89-46BB-8F68-051815BE2098}"/>
    <cellStyle name="Normal 9 3 2 2 5 6" xfId="27259" xr:uid="{E4B822B9-2F25-4FAB-9C0A-DAE5A785F94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3DE655FA-3B0D-43ED-9A48-AD776216C73E}"/>
    <cellStyle name="Normal 9 3 2 2 6 2 2 3" xfId="25587" xr:uid="{6CF9D55F-F2B1-409E-92CC-DAD501957368}"/>
    <cellStyle name="Normal 9 3 2 2 6 2 2 4" xfId="34034" xr:uid="{A9C85C42-9D36-4115-B37E-C16AD21B2C15}"/>
    <cellStyle name="Normal 9 3 2 2 6 2 3" xfId="12922" xr:uid="{84A5029E-21F1-4A92-B5A1-1CF9FBE74E5E}"/>
    <cellStyle name="Normal 9 3 2 2 6 2 4" xfId="21370" xr:uid="{2A358496-EE29-4A60-AEC7-998A3A5CE672}"/>
    <cellStyle name="Normal 9 3 2 2 6 2 5" xfId="29817" xr:uid="{41D2AEED-23AC-4ED1-95D7-78F1D9C1C621}"/>
    <cellStyle name="Normal 9 3 2 2 6 3" xfId="6545" xr:uid="{00000000-0005-0000-0000-0000CF1F0000}"/>
    <cellStyle name="Normal 9 3 2 2 6 3 2" xfId="14995" xr:uid="{02B5C7F6-AF1A-4454-A7D4-12FA669EA6C4}"/>
    <cellStyle name="Normal 9 3 2 2 6 3 3" xfId="23442" xr:uid="{931577F7-2867-425A-A93A-D20E47C54B22}"/>
    <cellStyle name="Normal 9 3 2 2 6 3 4" xfId="31889" xr:uid="{15EF377A-4440-4131-BB88-F14EA636DD8B}"/>
    <cellStyle name="Normal 9 3 2 2 6 4" xfId="10777" xr:uid="{831ED8C0-AC42-41FD-85AE-CE9CC68BE6D5}"/>
    <cellStyle name="Normal 9 3 2 2 6 5" xfId="19225" xr:uid="{418F73CB-9AEC-4E3C-982B-615136CA66C9}"/>
    <cellStyle name="Normal 9 3 2 2 6 6" xfId="27672" xr:uid="{D3EADEA6-EF96-4E49-9373-308031FA58EE}"/>
    <cellStyle name="Normal 9 3 2 2 7" xfId="2675" xr:uid="{00000000-0005-0000-0000-0000D01F0000}"/>
    <cellStyle name="Normal 9 3 2 2 7 2" xfId="6958" xr:uid="{00000000-0005-0000-0000-0000D11F0000}"/>
    <cellStyle name="Normal 9 3 2 2 7 2 2" xfId="15408" xr:uid="{D95E2309-446C-4DB8-9A11-70B0BF882EF4}"/>
    <cellStyle name="Normal 9 3 2 2 7 2 3" xfId="23855" xr:uid="{41883D24-9578-4526-81AD-CC962685168D}"/>
    <cellStyle name="Normal 9 3 2 2 7 2 4" xfId="32302" xr:uid="{F933AA35-20DB-42BD-A2EF-B2B270D7C203}"/>
    <cellStyle name="Normal 9 3 2 2 7 3" xfId="11190" xr:uid="{5C36AB86-E19D-488E-940A-B53F347CBA9C}"/>
    <cellStyle name="Normal 9 3 2 2 7 4" xfId="19638" xr:uid="{3F620B28-A055-4253-A3AC-FA35EF00CD7B}"/>
    <cellStyle name="Normal 9 3 2 2 7 5" xfId="28085" xr:uid="{15749A37-0DA6-4190-A951-EAD4687083A8}"/>
    <cellStyle name="Normal 9 3 2 2 8" xfId="4893" xr:uid="{00000000-0005-0000-0000-0000D21F0000}"/>
    <cellStyle name="Normal 9 3 2 2 8 2" xfId="13343" xr:uid="{D7C68342-FEE6-4838-B1DB-42E51F5402B0}"/>
    <cellStyle name="Normal 9 3 2 2 8 3" xfId="21790" xr:uid="{38890CA9-2864-4FB7-A5F2-72CD876C2A3B}"/>
    <cellStyle name="Normal 9 3 2 2 8 4" xfId="30237" xr:uid="{A4F979EB-828F-4367-A5A8-0C3FA7EAB653}"/>
    <cellStyle name="Normal 9 3 2 2 9" xfId="9125" xr:uid="{2E4F1673-B921-4BE2-B0EA-82DFBCB81616}"/>
    <cellStyle name="Normal 9 3 2 3" xfId="531" xr:uid="{00000000-0005-0000-0000-0000D31F0000}"/>
    <cellStyle name="Normal 9 3 2 3 10" xfId="26022" xr:uid="{5B087044-5389-4747-9E03-8933FB4D48BC}"/>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35D32986-BCC3-4902-A185-EA187884DB44}"/>
    <cellStyle name="Normal 9 3 2 3 2 2 2 3" xfId="24350" xr:uid="{C4F2437D-B795-42D1-9F9E-42BEFF1DEF40}"/>
    <cellStyle name="Normal 9 3 2 3 2 2 2 4" xfId="32797" xr:uid="{7EDFFE8A-E944-447A-A834-2FEA381241B7}"/>
    <cellStyle name="Normal 9 3 2 3 2 2 3" xfId="11685" xr:uid="{7232DF7C-A8DF-43EC-9920-48F01278D230}"/>
    <cellStyle name="Normal 9 3 2 3 2 2 4" xfId="20133" xr:uid="{68D6383C-DAAC-4699-9E0F-C3768AFEF707}"/>
    <cellStyle name="Normal 9 3 2 3 2 2 5" xfId="28580" xr:uid="{C849FC7F-6760-40A4-BE51-8D29569EA35D}"/>
    <cellStyle name="Normal 9 3 2 3 2 3" xfId="5308" xr:uid="{00000000-0005-0000-0000-0000D71F0000}"/>
    <cellStyle name="Normal 9 3 2 3 2 3 2" xfId="13758" xr:uid="{99C07879-23A6-4A93-8F57-5ED0AAC8BBFB}"/>
    <cellStyle name="Normal 9 3 2 3 2 3 3" xfId="22205" xr:uid="{E7CDC7C5-59E7-4D77-AF5F-5B242AF330E6}"/>
    <cellStyle name="Normal 9 3 2 3 2 3 4" xfId="30652" xr:uid="{86E45AAA-A1F8-4EF8-B8D8-56B9EF164A00}"/>
    <cellStyle name="Normal 9 3 2 3 2 4" xfId="9540" xr:uid="{95821F32-C5AB-49CB-AA67-AD8510E7F7B3}"/>
    <cellStyle name="Normal 9 3 2 3 2 5" xfId="17988" xr:uid="{5B4EBF56-66DE-4655-B73C-6B480BECEC24}"/>
    <cellStyle name="Normal 9 3 2 3 2 6" xfId="26435" xr:uid="{09FA0F0F-D48F-41BE-971E-B5DC79CD5902}"/>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E9A6C16B-BB9F-4F1A-88D1-E180C4DF7935}"/>
    <cellStyle name="Normal 9 3 2 3 3 2 2 3" xfId="24763" xr:uid="{805021AD-DF9F-44DE-ACF0-0893071312FD}"/>
    <cellStyle name="Normal 9 3 2 3 3 2 2 4" xfId="33210" xr:uid="{8991EA50-F0E7-4778-8853-CFA56CE34849}"/>
    <cellStyle name="Normal 9 3 2 3 3 2 3" xfId="12098" xr:uid="{C8FDFF44-3772-4DCF-85EE-5DB80E6B8AD5}"/>
    <cellStyle name="Normal 9 3 2 3 3 2 4" xfId="20546" xr:uid="{FAE7B3A0-30AD-45C1-81D2-7A0CE15F7F68}"/>
    <cellStyle name="Normal 9 3 2 3 3 2 5" xfId="28993" xr:uid="{E992A695-BE42-4730-8B62-F9C64D7AD075}"/>
    <cellStyle name="Normal 9 3 2 3 3 3" xfId="5721" xr:uid="{00000000-0005-0000-0000-0000DB1F0000}"/>
    <cellStyle name="Normal 9 3 2 3 3 3 2" xfId="14171" xr:uid="{DB10D538-32C6-4703-9E9D-EF4C290330FA}"/>
    <cellStyle name="Normal 9 3 2 3 3 3 3" xfId="22618" xr:uid="{D1545FCD-9F99-4DCF-AD97-B6688C84CFF8}"/>
    <cellStyle name="Normal 9 3 2 3 3 3 4" xfId="31065" xr:uid="{BD727965-8204-4844-9476-53F42C1C25A7}"/>
    <cellStyle name="Normal 9 3 2 3 3 4" xfId="9953" xr:uid="{3A55EC72-1359-4126-A79F-9E6B80292C76}"/>
    <cellStyle name="Normal 9 3 2 3 3 5" xfId="18401" xr:uid="{942AA34C-6882-4995-817F-D732B3876F79}"/>
    <cellStyle name="Normal 9 3 2 3 3 6" xfId="26848" xr:uid="{7A1FB087-921B-4CD6-9884-4875001C20C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01E2EA2A-0DC1-4756-AAAE-1CB17DBFD69F}"/>
    <cellStyle name="Normal 9 3 2 3 4 2 2 3" xfId="25176" xr:uid="{990846FC-A266-437A-9F98-BCE84C9A121E}"/>
    <cellStyle name="Normal 9 3 2 3 4 2 2 4" xfId="33623" xr:uid="{E7245D02-C579-46B2-AA29-1C18966019A0}"/>
    <cellStyle name="Normal 9 3 2 3 4 2 3" xfId="12511" xr:uid="{E7C5F772-6E74-42E9-AC48-4F01CFEAE9C5}"/>
    <cellStyle name="Normal 9 3 2 3 4 2 4" xfId="20959" xr:uid="{CDC11962-52CE-4F00-9631-6CA4F8876AF6}"/>
    <cellStyle name="Normal 9 3 2 3 4 2 5" xfId="29406" xr:uid="{737D2DED-7D84-4D5A-BBD4-748C10819582}"/>
    <cellStyle name="Normal 9 3 2 3 4 3" xfId="6134" xr:uid="{00000000-0005-0000-0000-0000DF1F0000}"/>
    <cellStyle name="Normal 9 3 2 3 4 3 2" xfId="14584" xr:uid="{1A5277F9-A0D2-4A53-8747-ED70CA2F9693}"/>
    <cellStyle name="Normal 9 3 2 3 4 3 3" xfId="23031" xr:uid="{52412CB0-36AB-4B6F-93A7-8003316AC555}"/>
    <cellStyle name="Normal 9 3 2 3 4 3 4" xfId="31478" xr:uid="{463A2B9F-01BE-4859-BB37-F77F61A86961}"/>
    <cellStyle name="Normal 9 3 2 3 4 4" xfId="10366" xr:uid="{CB15ED55-E56F-4E19-A408-BDE4C079B88E}"/>
    <cellStyle name="Normal 9 3 2 3 4 5" xfId="18814" xr:uid="{08187F5C-7A10-4B8A-AF4D-86F6C7F34899}"/>
    <cellStyle name="Normal 9 3 2 3 4 6" xfId="27261" xr:uid="{777E79AF-C0F9-4DC7-A104-F9BF42BB64B6}"/>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3D0A38F9-B8F1-4289-B20F-B0E44A464E19}"/>
    <cellStyle name="Normal 9 3 2 3 5 2 2 3" xfId="25589" xr:uid="{9E8370FF-2102-4737-A467-70E6A21F8E45}"/>
    <cellStyle name="Normal 9 3 2 3 5 2 2 4" xfId="34036" xr:uid="{7B6237FF-F612-4A2B-BC2C-D3C32BA48F59}"/>
    <cellStyle name="Normal 9 3 2 3 5 2 3" xfId="12924" xr:uid="{D727F56F-EBE0-4CC8-A2E1-64164889370F}"/>
    <cellStyle name="Normal 9 3 2 3 5 2 4" xfId="21372" xr:uid="{C6648CB2-FDE8-4B00-93A4-87AE5251FA80}"/>
    <cellStyle name="Normal 9 3 2 3 5 2 5" xfId="29819" xr:uid="{0A4E93D3-79C8-45E3-B26A-73A89479225F}"/>
    <cellStyle name="Normal 9 3 2 3 5 3" xfId="6547" xr:uid="{00000000-0005-0000-0000-0000E31F0000}"/>
    <cellStyle name="Normal 9 3 2 3 5 3 2" xfId="14997" xr:uid="{14992A0B-AD80-4E66-AFBD-5C9BCD36F4A4}"/>
    <cellStyle name="Normal 9 3 2 3 5 3 3" xfId="23444" xr:uid="{FC54A4EC-0765-46FC-A554-676CD82F6806}"/>
    <cellStyle name="Normal 9 3 2 3 5 3 4" xfId="31891" xr:uid="{8F5C72EB-C507-4DED-89B6-E26750ED83E9}"/>
    <cellStyle name="Normal 9 3 2 3 5 4" xfId="10779" xr:uid="{E9681FF5-7A8A-476D-9E1A-56518CF500E8}"/>
    <cellStyle name="Normal 9 3 2 3 5 5" xfId="19227" xr:uid="{1E4596E8-04CA-4409-8A90-E9DFCCDAA2BD}"/>
    <cellStyle name="Normal 9 3 2 3 5 6" xfId="27674" xr:uid="{DD3881D6-AAC7-4598-87C2-6D0187FEB961}"/>
    <cellStyle name="Normal 9 3 2 3 6" xfId="2677" xr:uid="{00000000-0005-0000-0000-0000E41F0000}"/>
    <cellStyle name="Normal 9 3 2 3 6 2" xfId="6960" xr:uid="{00000000-0005-0000-0000-0000E51F0000}"/>
    <cellStyle name="Normal 9 3 2 3 6 2 2" xfId="15410" xr:uid="{2E55A4BC-1C0E-4148-AD2E-13CD7C01DF2A}"/>
    <cellStyle name="Normal 9 3 2 3 6 2 3" xfId="23857" xr:uid="{0CD1B88C-A9E8-458F-B113-992ABAA7354C}"/>
    <cellStyle name="Normal 9 3 2 3 6 2 4" xfId="32304" xr:uid="{33916E0E-BFDF-4319-9FF4-3488CD9AAA05}"/>
    <cellStyle name="Normal 9 3 2 3 6 3" xfId="11192" xr:uid="{2CE9C3D2-135B-4C71-8B78-96198C4F6252}"/>
    <cellStyle name="Normal 9 3 2 3 6 4" xfId="19640" xr:uid="{72288A2D-FFBB-4A95-A452-F3FEEF956C8B}"/>
    <cellStyle name="Normal 9 3 2 3 6 5" xfId="28087" xr:uid="{72657A94-24A3-4F28-BD20-FF823C925540}"/>
    <cellStyle name="Normal 9 3 2 3 7" xfId="4895" xr:uid="{00000000-0005-0000-0000-0000E61F0000}"/>
    <cellStyle name="Normal 9 3 2 3 7 2" xfId="13345" xr:uid="{124AF519-7246-4291-B96D-975D08CE360C}"/>
    <cellStyle name="Normal 9 3 2 3 7 3" xfId="21792" xr:uid="{00B03A52-4A5E-4940-B422-D067A13B057E}"/>
    <cellStyle name="Normal 9 3 2 3 7 4" xfId="30239" xr:uid="{7FAE2032-6CDF-40C1-AFFF-2DA0AA83A22C}"/>
    <cellStyle name="Normal 9 3 2 3 8" xfId="9127" xr:uid="{D24E45D0-5203-4E4F-9EEC-662A77FE7906}"/>
    <cellStyle name="Normal 9 3 2 3 9" xfId="17575" xr:uid="{B4CA2FDB-CF38-4C4C-8F9C-7F182734D14A}"/>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2DDEC410-F91F-46BD-8927-6E1B5C4AD235}"/>
    <cellStyle name="Normal 9 3 2 4 2 2 3" xfId="24347" xr:uid="{D2674DA0-C929-4379-B6A7-D89D3BD68FC3}"/>
    <cellStyle name="Normal 9 3 2 4 2 2 4" xfId="32794" xr:uid="{6A301143-E708-47BC-A037-E4E13D7084E8}"/>
    <cellStyle name="Normal 9 3 2 4 2 3" xfId="11682" xr:uid="{69BF9149-8F94-40FC-9ADE-7436E4086FC6}"/>
    <cellStyle name="Normal 9 3 2 4 2 4" xfId="20130" xr:uid="{F76F9EEF-5AA5-465E-9372-5039CEA73405}"/>
    <cellStyle name="Normal 9 3 2 4 2 5" xfId="28577" xr:uid="{35232037-DCBB-42E6-A03D-2363BE4BC901}"/>
    <cellStyle name="Normal 9 3 2 4 3" xfId="5305" xr:uid="{00000000-0005-0000-0000-0000EA1F0000}"/>
    <cellStyle name="Normal 9 3 2 4 3 2" xfId="13755" xr:uid="{3E70F5FD-EA50-4106-822A-C928600BB8C9}"/>
    <cellStyle name="Normal 9 3 2 4 3 3" xfId="22202" xr:uid="{95D9DD2E-36BB-467A-BDDC-78BB3AD856D2}"/>
    <cellStyle name="Normal 9 3 2 4 3 4" xfId="30649" xr:uid="{68A41DF4-A02B-4AAA-BC5C-ABFE0277A7A6}"/>
    <cellStyle name="Normal 9 3 2 4 4" xfId="9537" xr:uid="{5559F2CB-878E-4137-A553-4412C1913318}"/>
    <cellStyle name="Normal 9 3 2 4 5" xfId="17985" xr:uid="{661AB632-77C9-4237-93FC-7C734CE5B335}"/>
    <cellStyle name="Normal 9 3 2 4 6" xfId="26432" xr:uid="{1C8A7F84-AD4D-4999-B986-5F021DE1B0B0}"/>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525D5579-F058-4F3A-854F-62F1D952FFC9}"/>
    <cellStyle name="Normal 9 3 2 5 2 2 3" xfId="24760" xr:uid="{0E6A6699-2AB0-4A5A-87DD-AB33C6CCF2BE}"/>
    <cellStyle name="Normal 9 3 2 5 2 2 4" xfId="33207" xr:uid="{BD3F0FC6-87AA-4C45-A6AE-71123CCA714B}"/>
    <cellStyle name="Normal 9 3 2 5 2 3" xfId="12095" xr:uid="{B6C132EF-C92C-4D7A-A70C-B4D817A97162}"/>
    <cellStyle name="Normal 9 3 2 5 2 4" xfId="20543" xr:uid="{FB59B18F-33C3-4166-AABD-6CBBFE68E7FD}"/>
    <cellStyle name="Normal 9 3 2 5 2 5" xfId="28990" xr:uid="{6E2C4268-7D7C-4DC4-A31F-DB51E4150DF2}"/>
    <cellStyle name="Normal 9 3 2 5 3" xfId="5718" xr:uid="{00000000-0005-0000-0000-0000EE1F0000}"/>
    <cellStyle name="Normal 9 3 2 5 3 2" xfId="14168" xr:uid="{E1031689-E211-4AF0-96DF-F5C6B0D5FFE8}"/>
    <cellStyle name="Normal 9 3 2 5 3 3" xfId="22615" xr:uid="{87EE656B-BFBC-49F8-B4A4-191EA9211C2D}"/>
    <cellStyle name="Normal 9 3 2 5 3 4" xfId="31062" xr:uid="{AAC42D10-C658-4AFE-AFBF-25E7548962ED}"/>
    <cellStyle name="Normal 9 3 2 5 4" xfId="9950" xr:uid="{D149F602-C133-4C9D-92F8-C2EBD4279661}"/>
    <cellStyle name="Normal 9 3 2 5 5" xfId="18398" xr:uid="{993E12F2-F5A5-4669-9BF0-5A16D7FEA45F}"/>
    <cellStyle name="Normal 9 3 2 5 6" xfId="26845" xr:uid="{89CCA32E-575F-4041-B4E0-693960C5CBCC}"/>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853EF9E1-3286-4689-9CA5-4AACD4136F91}"/>
    <cellStyle name="Normal 9 3 2 6 2 2 3" xfId="25173" xr:uid="{E9B6B522-93E4-45A9-80EB-CD69D0D704C1}"/>
    <cellStyle name="Normal 9 3 2 6 2 2 4" xfId="33620" xr:uid="{93988E6B-0035-45E2-AE80-963C601B4CE7}"/>
    <cellStyle name="Normal 9 3 2 6 2 3" xfId="12508" xr:uid="{90C79618-0637-4A6E-B4BF-C489E11B9EF4}"/>
    <cellStyle name="Normal 9 3 2 6 2 4" xfId="20956" xr:uid="{9ADBBA48-6D94-4028-B4D4-33AAB462148D}"/>
    <cellStyle name="Normal 9 3 2 6 2 5" xfId="29403" xr:uid="{DA29B95C-3E04-4C19-BDF1-2BF1E74A20BF}"/>
    <cellStyle name="Normal 9 3 2 6 3" xfId="6131" xr:uid="{00000000-0005-0000-0000-0000F21F0000}"/>
    <cellStyle name="Normal 9 3 2 6 3 2" xfId="14581" xr:uid="{F2125014-89F4-4FF6-93CD-561C63305DB4}"/>
    <cellStyle name="Normal 9 3 2 6 3 3" xfId="23028" xr:uid="{7FE9A67D-A6AD-49C2-B136-041E8E9181BD}"/>
    <cellStyle name="Normal 9 3 2 6 3 4" xfId="31475" xr:uid="{DB482524-13DC-41E6-8DD8-1C527389A6D8}"/>
    <cellStyle name="Normal 9 3 2 6 4" xfId="10363" xr:uid="{28CFE93B-785F-44A5-BC54-B9AD3791DF19}"/>
    <cellStyle name="Normal 9 3 2 6 5" xfId="18811" xr:uid="{5A6C637D-5B60-4258-B99F-BA220B4571A7}"/>
    <cellStyle name="Normal 9 3 2 6 6" xfId="27258" xr:uid="{74264A6F-7A95-4DF7-ADB0-B7AC6D6EC033}"/>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BBBED175-3616-4EB3-8917-9D139916ED97}"/>
    <cellStyle name="Normal 9 3 2 7 2 2 3" xfId="25586" xr:uid="{7E0AB897-ECDD-49BE-8A85-1AA721C2ABC5}"/>
    <cellStyle name="Normal 9 3 2 7 2 2 4" xfId="34033" xr:uid="{F4DCAB1A-7227-4C6C-84E9-78DA49559144}"/>
    <cellStyle name="Normal 9 3 2 7 2 3" xfId="12921" xr:uid="{0E3E0D53-5990-4AAF-8F0E-BA8B76441369}"/>
    <cellStyle name="Normal 9 3 2 7 2 4" xfId="21369" xr:uid="{3DD21E4C-0646-49E4-A3FF-E8CE3D6D7383}"/>
    <cellStyle name="Normal 9 3 2 7 2 5" xfId="29816" xr:uid="{0DB623ED-FA9E-4A8C-916C-A687F1748E5E}"/>
    <cellStyle name="Normal 9 3 2 7 3" xfId="6544" xr:uid="{00000000-0005-0000-0000-0000F61F0000}"/>
    <cellStyle name="Normal 9 3 2 7 3 2" xfId="14994" xr:uid="{29BF5602-8465-46BE-B1E4-FBDDE6A778C8}"/>
    <cellStyle name="Normal 9 3 2 7 3 3" xfId="23441" xr:uid="{44E6435A-E50E-4D8D-AD06-7F20539411B9}"/>
    <cellStyle name="Normal 9 3 2 7 3 4" xfId="31888" xr:uid="{337C7E32-27CB-4CCC-BC12-1D64DEEC3FDB}"/>
    <cellStyle name="Normal 9 3 2 7 4" xfId="10776" xr:uid="{FCEC8212-9E51-4982-82CC-98D2918D9DE5}"/>
    <cellStyle name="Normal 9 3 2 7 5" xfId="19224" xr:uid="{248BD2D8-5F29-4063-BFFB-1671D3A53B0F}"/>
    <cellStyle name="Normal 9 3 2 7 6" xfId="27671" xr:uid="{11959818-6706-4FCD-9DD2-A0B1D4D40E4F}"/>
    <cellStyle name="Normal 9 3 2 8" xfId="2674" xr:uid="{00000000-0005-0000-0000-0000F71F0000}"/>
    <cellStyle name="Normal 9 3 2 8 2" xfId="6957" xr:uid="{00000000-0005-0000-0000-0000F81F0000}"/>
    <cellStyle name="Normal 9 3 2 8 2 2" xfId="15407" xr:uid="{34FE94D4-E65E-402F-83B9-4B4C268418C2}"/>
    <cellStyle name="Normal 9 3 2 8 2 3" xfId="23854" xr:uid="{E48993C3-C237-426B-BAD0-7DA0A8CFBA84}"/>
    <cellStyle name="Normal 9 3 2 8 2 4" xfId="32301" xr:uid="{956484A5-3FA3-4E0C-8CDB-3350840C8AB1}"/>
    <cellStyle name="Normal 9 3 2 8 3" xfId="11189" xr:uid="{1BD2B44D-4F49-4D0B-87C6-2EF6FCA19319}"/>
    <cellStyle name="Normal 9 3 2 8 4" xfId="19637" xr:uid="{40247927-A4C6-40FE-8342-866466456A50}"/>
    <cellStyle name="Normal 9 3 2 8 5" xfId="28084" xr:uid="{B37F2BE0-9850-4E03-A4D6-215B97403B4A}"/>
    <cellStyle name="Normal 9 3 2 9" xfId="4892" xr:uid="{00000000-0005-0000-0000-0000F91F0000}"/>
    <cellStyle name="Normal 9 3 2 9 2" xfId="13342" xr:uid="{AF9C6721-9055-49D9-A005-4276F3F8D9AC}"/>
    <cellStyle name="Normal 9 3 2 9 3" xfId="21789" xr:uid="{CB1AFC0E-0CFD-4AC8-AA3B-335247932AB8}"/>
    <cellStyle name="Normal 9 3 2 9 4" xfId="30236" xr:uid="{6F5A800E-4846-4553-B86D-E2E517D1060A}"/>
    <cellStyle name="Normal 9 3 3" xfId="532" xr:uid="{00000000-0005-0000-0000-0000FA1F0000}"/>
    <cellStyle name="Normal 9 3 3 10" xfId="17576" xr:uid="{E1C49A6C-2A76-40E7-94B6-11EFF8A13763}"/>
    <cellStyle name="Normal 9 3 3 11" xfId="26023" xr:uid="{2C07D45B-03D6-4BDA-9D03-28685F05734B}"/>
    <cellStyle name="Normal 9 3 3 2" xfId="533" xr:uid="{00000000-0005-0000-0000-0000FB1F0000}"/>
    <cellStyle name="Normal 9 3 3 2 10" xfId="26024" xr:uid="{4881D634-7807-45D0-A86F-0CD37A5F7CB8}"/>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88E7063D-D24E-4012-8251-5FCF91375D57}"/>
    <cellStyle name="Normal 9 3 3 2 2 2 2 3" xfId="24352" xr:uid="{31D455C6-6A76-4B1C-8AD9-B136CFA32582}"/>
    <cellStyle name="Normal 9 3 3 2 2 2 2 4" xfId="32799" xr:uid="{0A6C69FE-E37F-4278-9F70-50D066063A2E}"/>
    <cellStyle name="Normal 9 3 3 2 2 2 3" xfId="11687" xr:uid="{3CB52C1F-7DFD-476E-8E7D-8F774758AAEE}"/>
    <cellStyle name="Normal 9 3 3 2 2 2 4" xfId="20135" xr:uid="{096806FF-26EB-4142-94D7-02A061F32EE5}"/>
    <cellStyle name="Normal 9 3 3 2 2 2 5" xfId="28582" xr:uid="{C6311435-DBEB-4A1D-A59A-EDDB9053F1EF}"/>
    <cellStyle name="Normal 9 3 3 2 2 3" xfId="5310" xr:uid="{00000000-0005-0000-0000-0000FF1F0000}"/>
    <cellStyle name="Normal 9 3 3 2 2 3 2" xfId="13760" xr:uid="{A5A35B75-E4D1-4900-AD00-9776859B5852}"/>
    <cellStyle name="Normal 9 3 3 2 2 3 3" xfId="22207" xr:uid="{603CE064-BB00-4B11-9BB5-1CD0E1531517}"/>
    <cellStyle name="Normal 9 3 3 2 2 3 4" xfId="30654" xr:uid="{99DE34BC-D538-423C-B033-055240FD1659}"/>
    <cellStyle name="Normal 9 3 3 2 2 4" xfId="9542" xr:uid="{E3C1FEB4-E763-4997-8BF9-727B2FFFB824}"/>
    <cellStyle name="Normal 9 3 3 2 2 5" xfId="17990" xr:uid="{D375C718-FA68-4509-81FB-70D80EF20C51}"/>
    <cellStyle name="Normal 9 3 3 2 2 6" xfId="26437" xr:uid="{7D5C95A4-AE5B-47AE-A77D-218C7A1C5F78}"/>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A8752734-40AF-4FC5-96BB-B63AA00A6864}"/>
    <cellStyle name="Normal 9 3 3 2 3 2 2 3" xfId="24765" xr:uid="{344A20FC-3AB7-4631-B75B-05523F9B926A}"/>
    <cellStyle name="Normal 9 3 3 2 3 2 2 4" xfId="33212" xr:uid="{3E316D63-51EC-4C94-8660-1FD0CCC3DF07}"/>
    <cellStyle name="Normal 9 3 3 2 3 2 3" xfId="12100" xr:uid="{97A7CCC5-4068-426C-A599-20FB2F664960}"/>
    <cellStyle name="Normal 9 3 3 2 3 2 4" xfId="20548" xr:uid="{44968011-3EE6-4D7C-8886-FA2DF6105150}"/>
    <cellStyle name="Normal 9 3 3 2 3 2 5" xfId="28995" xr:uid="{E0FA4741-787D-41BC-89D8-F2C164ECCE4A}"/>
    <cellStyle name="Normal 9 3 3 2 3 3" xfId="5723" xr:uid="{00000000-0005-0000-0000-000003200000}"/>
    <cellStyle name="Normal 9 3 3 2 3 3 2" xfId="14173" xr:uid="{6F5CAE94-85CC-446E-8290-8E12E9A95372}"/>
    <cellStyle name="Normal 9 3 3 2 3 3 3" xfId="22620" xr:uid="{E59F6259-DC9B-4938-B3BA-9CC162DBA23F}"/>
    <cellStyle name="Normal 9 3 3 2 3 3 4" xfId="31067" xr:uid="{BD7D6A46-1124-49DA-8A44-015B196B93D4}"/>
    <cellStyle name="Normal 9 3 3 2 3 4" xfId="9955" xr:uid="{AFF7EDC1-DB91-445D-93B6-8765B8705899}"/>
    <cellStyle name="Normal 9 3 3 2 3 5" xfId="18403" xr:uid="{17FBA960-C9AD-48A6-95A6-B35554EFFE55}"/>
    <cellStyle name="Normal 9 3 3 2 3 6" xfId="26850" xr:uid="{6DC9C57C-E0BC-4FB8-9CDF-8DCDDDE8DB2F}"/>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2A6A4046-484A-499A-8BAA-933DDEE862A3}"/>
    <cellStyle name="Normal 9 3 3 2 4 2 2 3" xfId="25178" xr:uid="{142FDC35-4259-4040-894D-3DCC5C761FC9}"/>
    <cellStyle name="Normal 9 3 3 2 4 2 2 4" xfId="33625" xr:uid="{CE604D74-BE5E-4AD8-ABC9-28EF2A941E54}"/>
    <cellStyle name="Normal 9 3 3 2 4 2 3" xfId="12513" xr:uid="{61F7712E-10D5-454F-81C0-BE9F74B4FFAD}"/>
    <cellStyle name="Normal 9 3 3 2 4 2 4" xfId="20961" xr:uid="{D65013CB-CF47-4A3D-AFA1-FCD82E2066EA}"/>
    <cellStyle name="Normal 9 3 3 2 4 2 5" xfId="29408" xr:uid="{95B298F6-4D1D-4017-9ADE-D70B11B4AEAE}"/>
    <cellStyle name="Normal 9 3 3 2 4 3" xfId="6136" xr:uid="{00000000-0005-0000-0000-000007200000}"/>
    <cellStyle name="Normal 9 3 3 2 4 3 2" xfId="14586" xr:uid="{F1DF6410-89F9-4A0C-AABE-B70BC6265025}"/>
    <cellStyle name="Normal 9 3 3 2 4 3 3" xfId="23033" xr:uid="{5453A322-9687-470F-9F9A-D5C364AE0DDC}"/>
    <cellStyle name="Normal 9 3 3 2 4 3 4" xfId="31480" xr:uid="{58E4E73C-7F1C-40B5-B28C-1F1FE39B485C}"/>
    <cellStyle name="Normal 9 3 3 2 4 4" xfId="10368" xr:uid="{C90E5512-25B1-4F5C-A488-553EE8DFD39D}"/>
    <cellStyle name="Normal 9 3 3 2 4 5" xfId="18816" xr:uid="{BA6EA40B-12E9-492A-B0B5-53C548F3B104}"/>
    <cellStyle name="Normal 9 3 3 2 4 6" xfId="27263" xr:uid="{29E22C5C-B83F-476A-AAE4-369ADA5D6D3B}"/>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C79C19AE-820F-401B-BDBD-6A229BB4F4CA}"/>
    <cellStyle name="Normal 9 3 3 2 5 2 2 3" xfId="25591" xr:uid="{7A4EEE04-03DB-4D5A-A9DE-00E37C3F3891}"/>
    <cellStyle name="Normal 9 3 3 2 5 2 2 4" xfId="34038" xr:uid="{BA4CB233-A230-4069-ACE7-B7EEA2D5A3DD}"/>
    <cellStyle name="Normal 9 3 3 2 5 2 3" xfId="12926" xr:uid="{6DA59E5E-6D1E-4BE4-BF5A-658A92194A80}"/>
    <cellStyle name="Normal 9 3 3 2 5 2 4" xfId="21374" xr:uid="{1957A6DC-A0F6-47C9-8DF7-ECADE9207445}"/>
    <cellStyle name="Normal 9 3 3 2 5 2 5" xfId="29821" xr:uid="{6DF0EB9B-17CC-42D4-A0CF-C44EC09729AA}"/>
    <cellStyle name="Normal 9 3 3 2 5 3" xfId="6549" xr:uid="{00000000-0005-0000-0000-00000B200000}"/>
    <cellStyle name="Normal 9 3 3 2 5 3 2" xfId="14999" xr:uid="{01C1690F-890D-44D6-AC34-3A3B6E8D3EE8}"/>
    <cellStyle name="Normal 9 3 3 2 5 3 3" xfId="23446" xr:uid="{B092080B-5939-4F0C-942B-1BB15403C412}"/>
    <cellStyle name="Normal 9 3 3 2 5 3 4" xfId="31893" xr:uid="{C21D20C5-5494-451B-A4BA-2A5D94FF7A1F}"/>
    <cellStyle name="Normal 9 3 3 2 5 4" xfId="10781" xr:uid="{A51D6FF3-3B25-4EB8-987B-CC3744F17A96}"/>
    <cellStyle name="Normal 9 3 3 2 5 5" xfId="19229" xr:uid="{4FD85A41-F6D6-4E35-ADBC-ECE9FD0ADCCD}"/>
    <cellStyle name="Normal 9 3 3 2 5 6" xfId="27676" xr:uid="{B73AEFC6-3156-4DC0-96E9-775E5C2AF8CD}"/>
    <cellStyle name="Normal 9 3 3 2 6" xfId="2679" xr:uid="{00000000-0005-0000-0000-00000C200000}"/>
    <cellStyle name="Normal 9 3 3 2 6 2" xfId="6962" xr:uid="{00000000-0005-0000-0000-00000D200000}"/>
    <cellStyle name="Normal 9 3 3 2 6 2 2" xfId="15412" xr:uid="{0795E109-1060-4BCC-92C1-D15253E4866E}"/>
    <cellStyle name="Normal 9 3 3 2 6 2 3" xfId="23859" xr:uid="{244296A4-D96C-48DF-8B57-5A37D993EC5B}"/>
    <cellStyle name="Normal 9 3 3 2 6 2 4" xfId="32306" xr:uid="{096DCCF5-915B-4413-8DDA-8412B1A4FB75}"/>
    <cellStyle name="Normal 9 3 3 2 6 3" xfId="11194" xr:uid="{E27519D5-ED3E-47A9-BD2A-9C634E7308D0}"/>
    <cellStyle name="Normal 9 3 3 2 6 4" xfId="19642" xr:uid="{6F8AB501-A61A-4FAB-81B0-ED8A10C04882}"/>
    <cellStyle name="Normal 9 3 3 2 6 5" xfId="28089" xr:uid="{DE574D4E-8872-4194-A780-DB9F8268A5E8}"/>
    <cellStyle name="Normal 9 3 3 2 7" xfId="4897" xr:uid="{00000000-0005-0000-0000-00000E200000}"/>
    <cellStyle name="Normal 9 3 3 2 7 2" xfId="13347" xr:uid="{CD14668E-0103-4A90-A4CF-B33FA20C21A4}"/>
    <cellStyle name="Normal 9 3 3 2 7 3" xfId="21794" xr:uid="{0FE1BFA8-2B85-4879-9D11-092E7BF42EC1}"/>
    <cellStyle name="Normal 9 3 3 2 7 4" xfId="30241" xr:uid="{39FD01DC-5B80-41DA-B9AF-96B7F4B3263A}"/>
    <cellStyle name="Normal 9 3 3 2 8" xfId="9129" xr:uid="{82A140B3-F538-485D-B9FD-C2DDFD11600D}"/>
    <cellStyle name="Normal 9 3 3 2 9" xfId="17577" xr:uid="{D1D4CA97-E6EA-41AD-9954-91F2FC647993}"/>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87341E2A-9103-4DD7-9DE8-79B4D6832046}"/>
    <cellStyle name="Normal 9 3 3 3 2 2 3" xfId="24351" xr:uid="{3B0CFC86-71D3-43CE-81F0-B7498E3BB516}"/>
    <cellStyle name="Normal 9 3 3 3 2 2 4" xfId="32798" xr:uid="{ED5216DC-C8EE-4AC0-B60A-0AE4D3943913}"/>
    <cellStyle name="Normal 9 3 3 3 2 3" xfId="11686" xr:uid="{DC3BB59F-828F-4868-9695-13A3DEA5BB00}"/>
    <cellStyle name="Normal 9 3 3 3 2 4" xfId="20134" xr:uid="{4A7BF994-8484-4013-A6F6-609CD1FCF39D}"/>
    <cellStyle name="Normal 9 3 3 3 2 5" xfId="28581" xr:uid="{5C44D5CA-DDA2-409D-AD3F-323F481795B5}"/>
    <cellStyle name="Normal 9 3 3 3 3" xfId="5309" xr:uid="{00000000-0005-0000-0000-000012200000}"/>
    <cellStyle name="Normal 9 3 3 3 3 2" xfId="13759" xr:uid="{5A415EE5-9526-4188-ADC9-FB1569BB64DB}"/>
    <cellStyle name="Normal 9 3 3 3 3 3" xfId="22206" xr:uid="{9021D1C8-8EEF-4F87-8ADA-4B9747F6BDE1}"/>
    <cellStyle name="Normal 9 3 3 3 3 4" xfId="30653" xr:uid="{6F511A9B-D1B2-4BA6-94B7-1997B449DC61}"/>
    <cellStyle name="Normal 9 3 3 3 4" xfId="9541" xr:uid="{DA1FB3A6-B2D1-41AA-B89B-7CDA40177695}"/>
    <cellStyle name="Normal 9 3 3 3 5" xfId="17989" xr:uid="{7C3982B5-3F1A-4B13-B166-9AB5F412E766}"/>
    <cellStyle name="Normal 9 3 3 3 6" xfId="26436" xr:uid="{BD007D6D-2434-4B7D-ABE9-50E6D0C567A3}"/>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8483B90C-ADD3-47AE-908D-DA75A1A6DBC8}"/>
    <cellStyle name="Normal 9 3 3 4 2 2 3" xfId="24764" xr:uid="{7F967D73-CF22-468D-A7BE-9DB2A6C960E4}"/>
    <cellStyle name="Normal 9 3 3 4 2 2 4" xfId="33211" xr:uid="{BA115CB1-91BD-4AE0-A57C-464B7AA14B1C}"/>
    <cellStyle name="Normal 9 3 3 4 2 3" xfId="12099" xr:uid="{CB27C34E-C0E3-4F0F-B83E-6BE91599C744}"/>
    <cellStyle name="Normal 9 3 3 4 2 4" xfId="20547" xr:uid="{2BC4ABF2-D4D3-4DE0-AED7-F487CFA2C7EA}"/>
    <cellStyle name="Normal 9 3 3 4 2 5" xfId="28994" xr:uid="{3018DC69-C706-494D-BEF8-CBE703C7961E}"/>
    <cellStyle name="Normal 9 3 3 4 3" xfId="5722" xr:uid="{00000000-0005-0000-0000-000016200000}"/>
    <cellStyle name="Normal 9 3 3 4 3 2" xfId="14172" xr:uid="{05A2318A-3E12-48D1-9CD0-9D91AA4306C0}"/>
    <cellStyle name="Normal 9 3 3 4 3 3" xfId="22619" xr:uid="{E5AC21DC-D5ED-438C-BCAA-E6BDA8A4BB14}"/>
    <cellStyle name="Normal 9 3 3 4 3 4" xfId="31066" xr:uid="{8B3FF7AA-BA24-4A72-9D56-AE2D87164A04}"/>
    <cellStyle name="Normal 9 3 3 4 4" xfId="9954" xr:uid="{9D310589-2D61-441E-975E-65997FB3FC02}"/>
    <cellStyle name="Normal 9 3 3 4 5" xfId="18402" xr:uid="{2C444218-DDA7-48C0-AD2A-AA9DCDB8DB7F}"/>
    <cellStyle name="Normal 9 3 3 4 6" xfId="26849" xr:uid="{A066BBA2-6052-493E-B904-CB2F75B4AA08}"/>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4957EC26-7FF2-45AC-9E36-2F9E74B0E431}"/>
    <cellStyle name="Normal 9 3 3 5 2 2 3" xfId="25177" xr:uid="{53257357-4033-43BC-AFFB-28456F92CA71}"/>
    <cellStyle name="Normal 9 3 3 5 2 2 4" xfId="33624" xr:uid="{DF5E32CB-0601-4347-9965-FF0BB2266A7B}"/>
    <cellStyle name="Normal 9 3 3 5 2 3" xfId="12512" xr:uid="{E008BAAD-358F-4A88-8AF4-87DD6502BDC0}"/>
    <cellStyle name="Normal 9 3 3 5 2 4" xfId="20960" xr:uid="{CF72A5B1-7A11-4A09-A395-52F7F7D05629}"/>
    <cellStyle name="Normal 9 3 3 5 2 5" xfId="29407" xr:uid="{B93AC2A6-08CB-43F0-ABB0-6FA753CC1F73}"/>
    <cellStyle name="Normal 9 3 3 5 3" xfId="6135" xr:uid="{00000000-0005-0000-0000-00001A200000}"/>
    <cellStyle name="Normal 9 3 3 5 3 2" xfId="14585" xr:uid="{05C93A75-59E8-44A3-8B59-41CD5031E107}"/>
    <cellStyle name="Normal 9 3 3 5 3 3" xfId="23032" xr:uid="{BFD644D6-1577-4FA4-B12E-EDC4CAF5AAD9}"/>
    <cellStyle name="Normal 9 3 3 5 3 4" xfId="31479" xr:uid="{40ECD0E2-0153-40CF-A209-E0847AA85ED2}"/>
    <cellStyle name="Normal 9 3 3 5 4" xfId="10367" xr:uid="{6A05C0C0-28B2-4670-9DD0-CCE7FD50EF93}"/>
    <cellStyle name="Normal 9 3 3 5 5" xfId="18815" xr:uid="{71D01799-7254-4371-A18E-8C3A1A089FBA}"/>
    <cellStyle name="Normal 9 3 3 5 6" xfId="27262" xr:uid="{5E27641F-BB57-4C82-BF8F-050C2BE4AB33}"/>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CB9E88C4-6470-4D1E-9626-96F13E11F54A}"/>
    <cellStyle name="Normal 9 3 3 6 2 2 3" xfId="25590" xr:uid="{99896620-9285-4FD5-8B09-8D7CB5AEB67D}"/>
    <cellStyle name="Normal 9 3 3 6 2 2 4" xfId="34037" xr:uid="{78DF4E5B-623B-4C45-B84E-CBC37A1B8B84}"/>
    <cellStyle name="Normal 9 3 3 6 2 3" xfId="12925" xr:uid="{358EC5F2-1A7B-445A-AEEC-80BDD9B29346}"/>
    <cellStyle name="Normal 9 3 3 6 2 4" xfId="21373" xr:uid="{9FF7FC44-BC2A-429A-AACA-B70F3706D8B4}"/>
    <cellStyle name="Normal 9 3 3 6 2 5" xfId="29820" xr:uid="{AF148B10-6EA8-4862-B90A-DC6813004114}"/>
    <cellStyle name="Normal 9 3 3 6 3" xfId="6548" xr:uid="{00000000-0005-0000-0000-00001E200000}"/>
    <cellStyle name="Normal 9 3 3 6 3 2" xfId="14998" xr:uid="{A58EA1FA-A68B-4032-BA3F-90AFA1D9BED9}"/>
    <cellStyle name="Normal 9 3 3 6 3 3" xfId="23445" xr:uid="{155063EB-6E4B-47F5-918E-818D31DACEC5}"/>
    <cellStyle name="Normal 9 3 3 6 3 4" xfId="31892" xr:uid="{10AC54D7-4CD0-443B-95A8-89F3CFF3CCA7}"/>
    <cellStyle name="Normal 9 3 3 6 4" xfId="10780" xr:uid="{80520C23-4279-410D-9357-96B7001A0772}"/>
    <cellStyle name="Normal 9 3 3 6 5" xfId="19228" xr:uid="{F89BEC51-9EF6-42BE-8EA1-469020BA5101}"/>
    <cellStyle name="Normal 9 3 3 6 6" xfId="27675" xr:uid="{264CECB1-1869-4D6B-B6CA-F8C21B8BCE57}"/>
    <cellStyle name="Normal 9 3 3 7" xfId="2678" xr:uid="{00000000-0005-0000-0000-00001F200000}"/>
    <cellStyle name="Normal 9 3 3 7 2" xfId="6961" xr:uid="{00000000-0005-0000-0000-000020200000}"/>
    <cellStyle name="Normal 9 3 3 7 2 2" xfId="15411" xr:uid="{FD9C968A-E85A-48A2-B63D-F555CEB408AA}"/>
    <cellStyle name="Normal 9 3 3 7 2 3" xfId="23858" xr:uid="{610688F0-C77D-4710-A8F6-8403589D1119}"/>
    <cellStyle name="Normal 9 3 3 7 2 4" xfId="32305" xr:uid="{26DF254C-924E-476F-B3BC-32DE96251F91}"/>
    <cellStyle name="Normal 9 3 3 7 3" xfId="11193" xr:uid="{BA47C962-5ACF-4CA6-AAA9-C145FF7339C0}"/>
    <cellStyle name="Normal 9 3 3 7 4" xfId="19641" xr:uid="{B8F3A910-09C1-4FAE-B1C6-2ED94C58F040}"/>
    <cellStyle name="Normal 9 3 3 7 5" xfId="28088" xr:uid="{21EBDFE5-5ADB-449C-9B40-E1D196198DE2}"/>
    <cellStyle name="Normal 9 3 3 8" xfId="4896" xr:uid="{00000000-0005-0000-0000-000021200000}"/>
    <cellStyle name="Normal 9 3 3 8 2" xfId="13346" xr:uid="{1C08DB4E-595E-4FB5-B341-65C4A8FDD30A}"/>
    <cellStyle name="Normal 9 3 3 8 3" xfId="21793" xr:uid="{54FA07B6-F9C1-463C-865F-BA554626BD7F}"/>
    <cellStyle name="Normal 9 3 3 8 4" xfId="30240" xr:uid="{98208C54-BC64-413D-A1CB-BF5E141DC92F}"/>
    <cellStyle name="Normal 9 3 3 9" xfId="9128" xr:uid="{9BC0AA7F-2C91-49F2-BB5B-FE6BCBF0379F}"/>
    <cellStyle name="Normal 9 3 4" xfId="534" xr:uid="{00000000-0005-0000-0000-000022200000}"/>
    <cellStyle name="Normal 9 3 4 10" xfId="26025" xr:uid="{B96D76DD-9E37-4B19-8BCE-C55E8A92991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3F4E525E-5840-481F-9AAD-8EF97666096B}"/>
    <cellStyle name="Normal 9 3 4 2 2 2 3" xfId="24353" xr:uid="{91659C8D-167E-44DC-87A2-8396C52F83C6}"/>
    <cellStyle name="Normal 9 3 4 2 2 2 4" xfId="32800" xr:uid="{01ABF76F-2ACC-4AF6-B545-32BA33192A98}"/>
    <cellStyle name="Normal 9 3 4 2 2 3" xfId="11688" xr:uid="{444310FE-5C5F-4D64-B52C-2E3C30D61C29}"/>
    <cellStyle name="Normal 9 3 4 2 2 4" xfId="20136" xr:uid="{90C388DE-222B-4A8A-B27B-A5D48158ED4F}"/>
    <cellStyle name="Normal 9 3 4 2 2 5" xfId="28583" xr:uid="{4CAEC2FF-A507-48D0-867D-9AA079DF7972}"/>
    <cellStyle name="Normal 9 3 4 2 3" xfId="5311" xr:uid="{00000000-0005-0000-0000-000026200000}"/>
    <cellStyle name="Normal 9 3 4 2 3 2" xfId="13761" xr:uid="{4C9129BB-CA47-409F-BC33-7CAA1C7A934D}"/>
    <cellStyle name="Normal 9 3 4 2 3 3" xfId="22208" xr:uid="{EF0E044C-61BA-4B7E-8184-4890E12BE95E}"/>
    <cellStyle name="Normal 9 3 4 2 3 4" xfId="30655" xr:uid="{C225ADB2-42A1-4A27-9B21-5E95A6C4380B}"/>
    <cellStyle name="Normal 9 3 4 2 4" xfId="9543" xr:uid="{BD458081-D5F1-4CF1-B605-7FB9927C75FC}"/>
    <cellStyle name="Normal 9 3 4 2 5" xfId="17991" xr:uid="{B23C40A1-3841-4D58-BADE-69FD278B0FB8}"/>
    <cellStyle name="Normal 9 3 4 2 6" xfId="26438" xr:uid="{EF9851C7-D1AD-4BBD-B48D-6B3165DF120C}"/>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6498C538-FF0D-481F-952E-E59CE55EA8C4}"/>
    <cellStyle name="Normal 9 3 4 3 2 2 3" xfId="24766" xr:uid="{3F652E10-BE9B-45D3-9A3E-4060B231AF53}"/>
    <cellStyle name="Normal 9 3 4 3 2 2 4" xfId="33213" xr:uid="{6EC4B3BD-2AC7-46CC-82BE-8F79E614D7FD}"/>
    <cellStyle name="Normal 9 3 4 3 2 3" xfId="12101" xr:uid="{67519627-7ECA-4835-8BE5-5606EFE7CD3B}"/>
    <cellStyle name="Normal 9 3 4 3 2 4" xfId="20549" xr:uid="{E804E752-1A77-4198-8550-3AC1BD8B6F7B}"/>
    <cellStyle name="Normal 9 3 4 3 2 5" xfId="28996" xr:uid="{0BAC5DCE-8F86-404D-A401-D9BEC2223BD5}"/>
    <cellStyle name="Normal 9 3 4 3 3" xfId="5724" xr:uid="{00000000-0005-0000-0000-00002A200000}"/>
    <cellStyle name="Normal 9 3 4 3 3 2" xfId="14174" xr:uid="{F86DDAEF-1196-4CD4-878C-90ACABFC099D}"/>
    <cellStyle name="Normal 9 3 4 3 3 3" xfId="22621" xr:uid="{08EFD444-5CA0-4221-94DC-9D93E5D8AFBD}"/>
    <cellStyle name="Normal 9 3 4 3 3 4" xfId="31068" xr:uid="{5E3D2DBC-3F2F-467F-A085-6A432E40F450}"/>
    <cellStyle name="Normal 9 3 4 3 4" xfId="9956" xr:uid="{2FDF86CC-1EC7-4E3B-B000-3DD940263AE5}"/>
    <cellStyle name="Normal 9 3 4 3 5" xfId="18404" xr:uid="{D236C4A1-5023-46E3-85C7-D77EE6E9882D}"/>
    <cellStyle name="Normal 9 3 4 3 6" xfId="26851" xr:uid="{E4EDEC9D-F921-4A93-8AB9-D2DCD003565D}"/>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1146FBC4-EBDA-4BF7-ACC6-9BFBEF5A7F37}"/>
    <cellStyle name="Normal 9 3 4 4 2 2 3" xfId="25179" xr:uid="{626953D6-43B5-442D-9DA6-3F9AF8EC2318}"/>
    <cellStyle name="Normal 9 3 4 4 2 2 4" xfId="33626" xr:uid="{CF35CF51-3467-419A-96D9-53FEEF26E592}"/>
    <cellStyle name="Normal 9 3 4 4 2 3" xfId="12514" xr:uid="{EF2456EC-536B-406A-A931-6AC8D4748007}"/>
    <cellStyle name="Normal 9 3 4 4 2 4" xfId="20962" xr:uid="{73CB2006-FF38-4D65-B2EB-32B1D2AFF241}"/>
    <cellStyle name="Normal 9 3 4 4 2 5" xfId="29409" xr:uid="{29D85C57-7365-45FB-A1B3-5C538A3F1AE3}"/>
    <cellStyle name="Normal 9 3 4 4 3" xfId="6137" xr:uid="{00000000-0005-0000-0000-00002E200000}"/>
    <cellStyle name="Normal 9 3 4 4 3 2" xfId="14587" xr:uid="{F055F0F1-1E12-4B32-AEB3-EB8C924E4AAB}"/>
    <cellStyle name="Normal 9 3 4 4 3 3" xfId="23034" xr:uid="{A7CFC369-E4F8-4818-AD19-A7A33E7EB326}"/>
    <cellStyle name="Normal 9 3 4 4 3 4" xfId="31481" xr:uid="{BEE445A3-09EF-4A51-9D39-79504667DF37}"/>
    <cellStyle name="Normal 9 3 4 4 4" xfId="10369" xr:uid="{EC6E796C-585E-426C-8E86-2F9D552CBA86}"/>
    <cellStyle name="Normal 9 3 4 4 5" xfId="18817" xr:uid="{DE8D8802-D2AF-4F08-B5CE-E02B0A184BF5}"/>
    <cellStyle name="Normal 9 3 4 4 6" xfId="27264" xr:uid="{60DD05D4-B1BE-4DA8-9AA6-942EBDBDCB0C}"/>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2A135618-B41B-43F8-A4D1-67701E343EBD}"/>
    <cellStyle name="Normal 9 3 4 5 2 2 3" xfId="25592" xr:uid="{306E3481-6E57-4E2B-A894-724351210B9C}"/>
    <cellStyle name="Normal 9 3 4 5 2 2 4" xfId="34039" xr:uid="{7957763F-D448-4D2A-B16E-BE9B4525DAFC}"/>
    <cellStyle name="Normal 9 3 4 5 2 3" xfId="12927" xr:uid="{2C393494-4B7A-4102-90B0-EA8137DE5795}"/>
    <cellStyle name="Normal 9 3 4 5 2 4" xfId="21375" xr:uid="{463BDE69-B5A2-4DB2-8D03-F640A392A5B3}"/>
    <cellStyle name="Normal 9 3 4 5 2 5" xfId="29822" xr:uid="{F8321B66-0312-4675-BB1B-A960D0E06849}"/>
    <cellStyle name="Normal 9 3 4 5 3" xfId="6550" xr:uid="{00000000-0005-0000-0000-000032200000}"/>
    <cellStyle name="Normal 9 3 4 5 3 2" xfId="15000" xr:uid="{614798CC-CDAF-49FB-B7BD-F9A106B0AD78}"/>
    <cellStyle name="Normal 9 3 4 5 3 3" xfId="23447" xr:uid="{075B95F8-57A4-406A-B379-6A740277427E}"/>
    <cellStyle name="Normal 9 3 4 5 3 4" xfId="31894" xr:uid="{B705DDFB-6E50-4E56-BF42-9DECDF2CE993}"/>
    <cellStyle name="Normal 9 3 4 5 4" xfId="10782" xr:uid="{F9CD6FF5-FE54-4DAC-BA54-335016CBF98D}"/>
    <cellStyle name="Normal 9 3 4 5 5" xfId="19230" xr:uid="{3D475137-63B6-4086-92A5-6C5619AF672B}"/>
    <cellStyle name="Normal 9 3 4 5 6" xfId="27677" xr:uid="{D1D820E9-FD8A-4FB3-B67E-B40F41A84D08}"/>
    <cellStyle name="Normal 9 3 4 6" xfId="2680" xr:uid="{00000000-0005-0000-0000-000033200000}"/>
    <cellStyle name="Normal 9 3 4 6 2" xfId="6963" xr:uid="{00000000-0005-0000-0000-000034200000}"/>
    <cellStyle name="Normal 9 3 4 6 2 2" xfId="15413" xr:uid="{B1E8E655-4FD7-4485-BC1A-8043D9294F12}"/>
    <cellStyle name="Normal 9 3 4 6 2 3" xfId="23860" xr:uid="{C7C9D4D0-9301-4CAC-A7C5-A6DAC02B6842}"/>
    <cellStyle name="Normal 9 3 4 6 2 4" xfId="32307" xr:uid="{FFCF81C4-4CED-430A-ACB5-3783A3652817}"/>
    <cellStyle name="Normal 9 3 4 6 3" xfId="11195" xr:uid="{0E5C51FE-E2F4-4CBB-949B-1BF40EC13C89}"/>
    <cellStyle name="Normal 9 3 4 6 4" xfId="19643" xr:uid="{47BC45B8-E1AB-44DA-8EF3-7783291DD5CC}"/>
    <cellStyle name="Normal 9 3 4 6 5" xfId="28090" xr:uid="{E8E2AC78-DF76-464E-BB5D-F9CCA8D7B8B3}"/>
    <cellStyle name="Normal 9 3 4 7" xfId="4898" xr:uid="{00000000-0005-0000-0000-000035200000}"/>
    <cellStyle name="Normal 9 3 4 7 2" xfId="13348" xr:uid="{81013A77-4BEE-4D64-9648-0B3343BAC1DC}"/>
    <cellStyle name="Normal 9 3 4 7 3" xfId="21795" xr:uid="{E3D5FD4D-F882-471F-8D30-206F04C5A35E}"/>
    <cellStyle name="Normal 9 3 4 7 4" xfId="30242" xr:uid="{01FEF40A-8C02-4E07-A889-086968C73B61}"/>
    <cellStyle name="Normal 9 3 4 8" xfId="9130" xr:uid="{E9DA66F9-7D4B-42ED-857B-DC032A3D0019}"/>
    <cellStyle name="Normal 9 3 4 9" xfId="17578" xr:uid="{A0CC656D-E862-428E-B29F-333F8CBFF315}"/>
    <cellStyle name="Normal 9 3 5" xfId="994" xr:uid="{00000000-0005-0000-0000-000036200000}"/>
    <cellStyle name="Normal 9 3 5 2" xfId="3227" xr:uid="{00000000-0005-0000-0000-000037200000}"/>
    <cellStyle name="Normal 9 3 5 2 2" xfId="7449" xr:uid="{00000000-0005-0000-0000-000038200000}"/>
    <cellStyle name="Normal 9 3 5 2 2 2" xfId="15899" xr:uid="{0CB2A40F-AA63-4A14-BD1B-CA2496DA588E}"/>
    <cellStyle name="Normal 9 3 5 2 2 3" xfId="24346" xr:uid="{A2084A05-BA36-425B-B30A-E4626577E578}"/>
    <cellStyle name="Normal 9 3 5 2 2 4" xfId="32793" xr:uid="{6B8C7F3A-2E49-48F8-87B4-248D48C159F0}"/>
    <cellStyle name="Normal 9 3 5 2 3" xfId="11681" xr:uid="{D623D03B-7914-42BE-8B4C-A94139EE3032}"/>
    <cellStyle name="Normal 9 3 5 2 4" xfId="20129" xr:uid="{A74C9019-EB4A-40B1-9F10-6C6C4B52B841}"/>
    <cellStyle name="Normal 9 3 5 2 5" xfId="28576" xr:uid="{BABA4103-DF06-4999-A050-81A46B8A4FA5}"/>
    <cellStyle name="Normal 9 3 5 3" xfId="5304" xr:uid="{00000000-0005-0000-0000-000039200000}"/>
    <cellStyle name="Normal 9 3 5 3 2" xfId="13754" xr:uid="{47F2A079-DF18-4C99-AEB5-63A2C757EC14}"/>
    <cellStyle name="Normal 9 3 5 3 3" xfId="22201" xr:uid="{C4128C90-5A66-4CBF-BF78-99A0FEBAA880}"/>
    <cellStyle name="Normal 9 3 5 3 4" xfId="30648" xr:uid="{1075F84F-C85C-4C81-9944-CCDFAB1F61CD}"/>
    <cellStyle name="Normal 9 3 5 4" xfId="9536" xr:uid="{A95BB2CE-3187-4A92-9547-4EA9F5723172}"/>
    <cellStyle name="Normal 9 3 5 5" xfId="17984" xr:uid="{74598B59-9628-4A33-8468-BCA46FAFB45E}"/>
    <cellStyle name="Normal 9 3 5 6" xfId="26431" xr:uid="{7C42305B-82E3-4719-BC94-D5E6E53A9282}"/>
    <cellStyle name="Normal 9 3 6" xfId="1410" xr:uid="{00000000-0005-0000-0000-00003A200000}"/>
    <cellStyle name="Normal 9 3 6 2" xfId="3640" xr:uid="{00000000-0005-0000-0000-00003B200000}"/>
    <cellStyle name="Normal 9 3 6 2 2" xfId="7862" xr:uid="{00000000-0005-0000-0000-00003C200000}"/>
    <cellStyle name="Normal 9 3 6 2 2 2" xfId="16312" xr:uid="{89E51A19-689B-4DEA-A2B4-F9A40C2A1389}"/>
    <cellStyle name="Normal 9 3 6 2 2 3" xfId="24759" xr:uid="{0A28B4C0-DE65-4088-851B-DD2357D42429}"/>
    <cellStyle name="Normal 9 3 6 2 2 4" xfId="33206" xr:uid="{5998C104-DEBD-42D7-89BA-CE9E40C6677A}"/>
    <cellStyle name="Normal 9 3 6 2 3" xfId="12094" xr:uid="{34C11AFA-3F1F-4920-A682-7CED58666470}"/>
    <cellStyle name="Normal 9 3 6 2 4" xfId="20542" xr:uid="{34EE45EE-A623-4EC0-8999-8A21A4A291F3}"/>
    <cellStyle name="Normal 9 3 6 2 5" xfId="28989" xr:uid="{452F9E83-8601-47FB-A2F9-CFE0BAD3BAD0}"/>
    <cellStyle name="Normal 9 3 6 3" xfId="5717" xr:uid="{00000000-0005-0000-0000-00003D200000}"/>
    <cellStyle name="Normal 9 3 6 3 2" xfId="14167" xr:uid="{28AA25DC-ED7D-4F21-A4AB-A9E93D4E2525}"/>
    <cellStyle name="Normal 9 3 6 3 3" xfId="22614" xr:uid="{6CE66995-9784-4C30-80E4-464BC9F46CE8}"/>
    <cellStyle name="Normal 9 3 6 3 4" xfId="31061" xr:uid="{696C0FB4-0B30-4478-B5AC-01833F91A090}"/>
    <cellStyle name="Normal 9 3 6 4" xfId="9949" xr:uid="{F296A2E7-632F-488D-A04E-AB9F2CB34036}"/>
    <cellStyle name="Normal 9 3 6 5" xfId="18397" xr:uid="{FA1D014F-0289-4C1C-B37E-F68E8DC6D84F}"/>
    <cellStyle name="Normal 9 3 6 6" xfId="26844" xr:uid="{66915A97-2BF7-4E8A-88A3-E6E34112296C}"/>
    <cellStyle name="Normal 9 3 7" xfId="1823" xr:uid="{00000000-0005-0000-0000-00003E200000}"/>
    <cellStyle name="Normal 9 3 7 2" xfId="4053" xr:uid="{00000000-0005-0000-0000-00003F200000}"/>
    <cellStyle name="Normal 9 3 7 2 2" xfId="8275" xr:uid="{00000000-0005-0000-0000-000040200000}"/>
    <cellStyle name="Normal 9 3 7 2 2 2" xfId="16725" xr:uid="{D0464B61-0B59-497E-91F5-FD65245A4867}"/>
    <cellStyle name="Normal 9 3 7 2 2 3" xfId="25172" xr:uid="{0CE927DE-F742-4024-BBAB-0B6165216F1A}"/>
    <cellStyle name="Normal 9 3 7 2 2 4" xfId="33619" xr:uid="{4BAF20CE-0707-4C1E-AB14-6C9F78CC84E4}"/>
    <cellStyle name="Normal 9 3 7 2 3" xfId="12507" xr:uid="{93E834BB-414E-461E-841E-F07D309BBEED}"/>
    <cellStyle name="Normal 9 3 7 2 4" xfId="20955" xr:uid="{435360DD-850B-4B55-8380-21C630988FFC}"/>
    <cellStyle name="Normal 9 3 7 2 5" xfId="29402" xr:uid="{686B2A60-E155-40CC-BBD1-161C48267B18}"/>
    <cellStyle name="Normal 9 3 7 3" xfId="6130" xr:uid="{00000000-0005-0000-0000-000041200000}"/>
    <cellStyle name="Normal 9 3 7 3 2" xfId="14580" xr:uid="{D4B19F30-534D-416F-B359-2DFFBCECEAD9}"/>
    <cellStyle name="Normal 9 3 7 3 3" xfId="23027" xr:uid="{192E90BD-E9AA-4F50-B118-766F826614E0}"/>
    <cellStyle name="Normal 9 3 7 3 4" xfId="31474" xr:uid="{536D5850-3A91-42F2-999E-85306C478B05}"/>
    <cellStyle name="Normal 9 3 7 4" xfId="10362" xr:uid="{4DC1BADD-824E-4677-AD30-8E47FD093058}"/>
    <cellStyle name="Normal 9 3 7 5" xfId="18810" xr:uid="{E1D8B2E1-15C5-4BEB-87E8-6EC1EC31A3F4}"/>
    <cellStyle name="Normal 9 3 7 6" xfId="27257" xr:uid="{09EA63F1-CC1C-40B4-96C6-3D8439912137}"/>
    <cellStyle name="Normal 9 3 8" xfId="2237" xr:uid="{00000000-0005-0000-0000-000042200000}"/>
    <cellStyle name="Normal 9 3 8 2" xfId="4466" xr:uid="{00000000-0005-0000-0000-000043200000}"/>
    <cellStyle name="Normal 9 3 8 2 2" xfId="8688" xr:uid="{00000000-0005-0000-0000-000044200000}"/>
    <cellStyle name="Normal 9 3 8 2 2 2" xfId="17138" xr:uid="{9E5370A7-BCDC-4CCE-8167-A48DA0697074}"/>
    <cellStyle name="Normal 9 3 8 2 2 3" xfId="25585" xr:uid="{BD278DB0-41B4-4F1D-8500-DF3243D4EF19}"/>
    <cellStyle name="Normal 9 3 8 2 2 4" xfId="34032" xr:uid="{407773E7-8898-4F35-8F3D-EE25C75B7D5F}"/>
    <cellStyle name="Normal 9 3 8 2 3" xfId="12920" xr:uid="{72D72884-33C6-406D-BCD7-CC4A87F70122}"/>
    <cellStyle name="Normal 9 3 8 2 4" xfId="21368" xr:uid="{8D187BFE-E02E-45A9-99BC-8F5EB1E5EA15}"/>
    <cellStyle name="Normal 9 3 8 2 5" xfId="29815" xr:uid="{B62270D3-D249-482B-8D34-8C1052696BB7}"/>
    <cellStyle name="Normal 9 3 8 3" xfId="6543" xr:uid="{00000000-0005-0000-0000-000045200000}"/>
    <cellStyle name="Normal 9 3 8 3 2" xfId="14993" xr:uid="{58DE93CD-64D0-47AD-9521-456C3F4BD010}"/>
    <cellStyle name="Normal 9 3 8 3 3" xfId="23440" xr:uid="{A260ECBB-F3E5-47A7-BD8D-7D8578AC38BB}"/>
    <cellStyle name="Normal 9 3 8 3 4" xfId="31887" xr:uid="{7623B7BC-2364-4135-BED0-2DC16B5E80D0}"/>
    <cellStyle name="Normal 9 3 8 4" xfId="10775" xr:uid="{11C28EBD-7449-442B-A9F3-24ED3507851F}"/>
    <cellStyle name="Normal 9 3 8 5" xfId="19223" xr:uid="{D88DD70C-27B6-4EEF-82DE-9E2749578741}"/>
    <cellStyle name="Normal 9 3 8 6" xfId="27670" xr:uid="{4529704D-C391-4394-89A2-B1007DF40A48}"/>
    <cellStyle name="Normal 9 3 9" xfId="2673" xr:uid="{00000000-0005-0000-0000-000046200000}"/>
    <cellStyle name="Normal 9 3 9 2" xfId="6956" xr:uid="{00000000-0005-0000-0000-000047200000}"/>
    <cellStyle name="Normal 9 3 9 2 2" xfId="15406" xr:uid="{42ED5A6C-370B-4408-BCDF-D3201F18EA59}"/>
    <cellStyle name="Normal 9 3 9 2 3" xfId="23853" xr:uid="{239E0195-F8A6-4A04-9853-51BA1C5026A4}"/>
    <cellStyle name="Normal 9 3 9 2 4" xfId="32300" xr:uid="{98241C2F-CBF7-4DEB-B646-8691A0893513}"/>
    <cellStyle name="Normal 9 3 9 3" xfId="11188" xr:uid="{8E334B5A-9372-4E9B-89DB-205966C4722F}"/>
    <cellStyle name="Normal 9 3 9 4" xfId="19636" xr:uid="{04139578-EA4D-4BDE-8DC7-A3F6F821652D}"/>
    <cellStyle name="Normal 9 3 9 5" xfId="28083" xr:uid="{2203CBB6-A25E-406A-8957-1CD08CC3FAF9}"/>
    <cellStyle name="Normal 9 4" xfId="535" xr:uid="{00000000-0005-0000-0000-000048200000}"/>
    <cellStyle name="Normal 9 4 2" xfId="1002" xr:uid="{00000000-0005-0000-0000-000049200000}"/>
    <cellStyle name="Normal 9 5" xfId="536" xr:uid="{00000000-0005-0000-0000-00004A200000}"/>
    <cellStyle name="Normal 9 5 10" xfId="17579" xr:uid="{072DD99A-DEBC-431F-A648-312F1F9184D7}"/>
    <cellStyle name="Normal 9 5 11" xfId="26026" xr:uid="{0C8482C4-8DAD-4159-80C8-F98327831341}"/>
    <cellStyle name="Normal 9 5 2" xfId="537" xr:uid="{00000000-0005-0000-0000-00004B200000}"/>
    <cellStyle name="Normal 9 5 2 10" xfId="26027" xr:uid="{2DA39301-6404-477F-887E-80A7F235D73D}"/>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7EF3B1D4-FA43-4E6D-89B8-0B7DEA05885E}"/>
    <cellStyle name="Normal 9 5 2 2 2 2 3" xfId="24355" xr:uid="{AF9D51B3-D7C8-44B2-BF5C-53A9FA1E3194}"/>
    <cellStyle name="Normal 9 5 2 2 2 2 4" xfId="32802" xr:uid="{84D98D94-93EE-487D-8AA0-CC7FFBC1A9A2}"/>
    <cellStyle name="Normal 9 5 2 2 2 3" xfId="11690" xr:uid="{2CD880CD-1918-422D-A46A-0B99B9B8697A}"/>
    <cellStyle name="Normal 9 5 2 2 2 4" xfId="20138" xr:uid="{687B5C76-CBA1-4CD4-88D3-25EC53FDDD76}"/>
    <cellStyle name="Normal 9 5 2 2 2 5" xfId="28585" xr:uid="{9FA29C71-FCB6-4A96-8F75-8449EF9B45E3}"/>
    <cellStyle name="Normal 9 5 2 2 3" xfId="5313" xr:uid="{00000000-0005-0000-0000-00004F200000}"/>
    <cellStyle name="Normal 9 5 2 2 3 2" xfId="13763" xr:uid="{3EDE8A17-AA73-4370-96C6-431D3E18D8C5}"/>
    <cellStyle name="Normal 9 5 2 2 3 3" xfId="22210" xr:uid="{6DB94675-9294-42A5-873F-3712D4D0EA0A}"/>
    <cellStyle name="Normal 9 5 2 2 3 4" xfId="30657" xr:uid="{FC581706-C56F-46CE-9058-3F59BE21813F}"/>
    <cellStyle name="Normal 9 5 2 2 4" xfId="9545" xr:uid="{C579CE70-098B-4037-B4E5-0636F9904ED5}"/>
    <cellStyle name="Normal 9 5 2 2 5" xfId="17993" xr:uid="{FF26240A-46A5-43E8-8D13-7D6DACA1FEC7}"/>
    <cellStyle name="Normal 9 5 2 2 6" xfId="26440" xr:uid="{9DE2E618-7770-4817-B8AB-F031A33BD54C}"/>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B990A196-2280-4F9C-B876-2EEBF08C6AE0}"/>
    <cellStyle name="Normal 9 5 2 3 2 2 3" xfId="24768" xr:uid="{0079B37E-1729-4DA3-ADC5-8080CF3FAD77}"/>
    <cellStyle name="Normal 9 5 2 3 2 2 4" xfId="33215" xr:uid="{4CB8CD9E-C270-450A-BB94-2104E4CB04CD}"/>
    <cellStyle name="Normal 9 5 2 3 2 3" xfId="12103" xr:uid="{4DCA728A-A33B-42CD-B7DC-758F280B41A2}"/>
    <cellStyle name="Normal 9 5 2 3 2 4" xfId="20551" xr:uid="{3ABFCC81-AC7E-40FF-AD39-B590A4598D41}"/>
    <cellStyle name="Normal 9 5 2 3 2 5" xfId="28998" xr:uid="{28C4738C-AD60-4C90-9037-D1DA73FC3648}"/>
    <cellStyle name="Normal 9 5 2 3 3" xfId="5726" xr:uid="{00000000-0005-0000-0000-000053200000}"/>
    <cellStyle name="Normal 9 5 2 3 3 2" xfId="14176" xr:uid="{91350BE9-A238-4540-81C4-61696E3F443D}"/>
    <cellStyle name="Normal 9 5 2 3 3 3" xfId="22623" xr:uid="{6A007BFB-7C6A-4C00-9188-B1F1C7E11E5F}"/>
    <cellStyle name="Normal 9 5 2 3 3 4" xfId="31070" xr:uid="{EFE35108-F6A0-4AC9-BB78-DAE15ECFC661}"/>
    <cellStyle name="Normal 9 5 2 3 4" xfId="9958" xr:uid="{A3B364F5-264E-4D79-83FF-748051F338CD}"/>
    <cellStyle name="Normal 9 5 2 3 5" xfId="18406" xr:uid="{9721DEAF-84F2-4401-9043-57C02E10CBA0}"/>
    <cellStyle name="Normal 9 5 2 3 6" xfId="26853" xr:uid="{6E99CDA6-D77A-458D-BBF0-2AB617CD51D4}"/>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226ADA23-F393-4ED0-A70E-503CDB42BA34}"/>
    <cellStyle name="Normal 9 5 2 4 2 2 3" xfId="25181" xr:uid="{72312E55-1C2A-4F45-B61E-95641C58282C}"/>
    <cellStyle name="Normal 9 5 2 4 2 2 4" xfId="33628" xr:uid="{8297A27E-9E16-4213-9632-4BEE5BFDC9CE}"/>
    <cellStyle name="Normal 9 5 2 4 2 3" xfId="12516" xr:uid="{0BC8999F-06DF-460E-A3AC-F12F0C68C40C}"/>
    <cellStyle name="Normal 9 5 2 4 2 4" xfId="20964" xr:uid="{2202414B-7FD3-496C-9577-C5579804EBC7}"/>
    <cellStyle name="Normal 9 5 2 4 2 5" xfId="29411" xr:uid="{0E757E38-C09A-4F31-8A80-46A8918F9325}"/>
    <cellStyle name="Normal 9 5 2 4 3" xfId="6139" xr:uid="{00000000-0005-0000-0000-000057200000}"/>
    <cellStyle name="Normal 9 5 2 4 3 2" xfId="14589" xr:uid="{69956BD2-8A20-47AF-AB89-42AF073C9CD2}"/>
    <cellStyle name="Normal 9 5 2 4 3 3" xfId="23036" xr:uid="{E757C303-8DAF-496F-BF67-51A5B12AC121}"/>
    <cellStyle name="Normal 9 5 2 4 3 4" xfId="31483" xr:uid="{FAEBF8DC-E7DD-4303-B645-2833A3848352}"/>
    <cellStyle name="Normal 9 5 2 4 4" xfId="10371" xr:uid="{B3D67539-C78D-450D-A3D3-625CA67D46C3}"/>
    <cellStyle name="Normal 9 5 2 4 5" xfId="18819" xr:uid="{1150E8FC-A94E-43E1-8909-42FAB9580EFB}"/>
    <cellStyle name="Normal 9 5 2 4 6" xfId="27266" xr:uid="{FE78F87F-2CD5-4EDA-BB50-F633D74F4E00}"/>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DFA699BD-2754-4374-A2B3-1A6DD98A0632}"/>
    <cellStyle name="Normal 9 5 2 5 2 2 3" xfId="25594" xr:uid="{C5F27019-605F-4378-A911-9BA4891ED758}"/>
    <cellStyle name="Normal 9 5 2 5 2 2 4" xfId="34041" xr:uid="{7B55128D-FFAD-4DEB-BE0C-CDC9D3BA0732}"/>
    <cellStyle name="Normal 9 5 2 5 2 3" xfId="12929" xr:uid="{04C0B3DB-5F29-4CEE-80E1-3B8693417505}"/>
    <cellStyle name="Normal 9 5 2 5 2 4" xfId="21377" xr:uid="{6D878534-DE12-4F36-945F-F8C6E1809872}"/>
    <cellStyle name="Normal 9 5 2 5 2 5" xfId="29824" xr:uid="{793932A0-099E-4EEB-B24F-4296CA613195}"/>
    <cellStyle name="Normal 9 5 2 5 3" xfId="6552" xr:uid="{00000000-0005-0000-0000-00005B200000}"/>
    <cellStyle name="Normal 9 5 2 5 3 2" xfId="15002" xr:uid="{938F39BB-E3F2-4AD7-966B-01880F7699B2}"/>
    <cellStyle name="Normal 9 5 2 5 3 3" xfId="23449" xr:uid="{450DFB59-54C2-410A-A7D8-8050D5894A27}"/>
    <cellStyle name="Normal 9 5 2 5 3 4" xfId="31896" xr:uid="{9B679846-DEE0-4090-9ECA-305315881681}"/>
    <cellStyle name="Normal 9 5 2 5 4" xfId="10784" xr:uid="{647E01B3-4F2D-4FC0-8D8B-6956B6626595}"/>
    <cellStyle name="Normal 9 5 2 5 5" xfId="19232" xr:uid="{8C100567-5D0D-4721-B389-A5F51DC3D82B}"/>
    <cellStyle name="Normal 9 5 2 5 6" xfId="27679" xr:uid="{D17ED9C0-CCF9-40DB-9D9A-0647F5E92FD8}"/>
    <cellStyle name="Normal 9 5 2 6" xfId="2682" xr:uid="{00000000-0005-0000-0000-00005C200000}"/>
    <cellStyle name="Normal 9 5 2 6 2" xfId="6965" xr:uid="{00000000-0005-0000-0000-00005D200000}"/>
    <cellStyle name="Normal 9 5 2 6 2 2" xfId="15415" xr:uid="{7E59A050-3B25-4CC5-ADD1-E453058143CC}"/>
    <cellStyle name="Normal 9 5 2 6 2 3" xfId="23862" xr:uid="{74A2319D-7606-45E9-8B42-B141670D765E}"/>
    <cellStyle name="Normal 9 5 2 6 2 4" xfId="32309" xr:uid="{B3ABCCE2-8441-4334-991C-9047CEB04CC9}"/>
    <cellStyle name="Normal 9 5 2 6 3" xfId="11197" xr:uid="{97BBC0CA-7B6C-437D-8282-D254B8FB949C}"/>
    <cellStyle name="Normal 9 5 2 6 4" xfId="19645" xr:uid="{32329FA5-1AF0-4711-BB5E-E5274D404B40}"/>
    <cellStyle name="Normal 9 5 2 6 5" xfId="28092" xr:uid="{14B7B1D8-AAD6-4640-A546-8CD62F6EB31D}"/>
    <cellStyle name="Normal 9 5 2 7" xfId="4900" xr:uid="{00000000-0005-0000-0000-00005E200000}"/>
    <cellStyle name="Normal 9 5 2 7 2" xfId="13350" xr:uid="{E3A44204-A4B8-4B3C-8A2F-A0EFA1BC2F71}"/>
    <cellStyle name="Normal 9 5 2 7 3" xfId="21797" xr:uid="{8FEE4756-E4EE-4912-9D51-28FE72E10356}"/>
    <cellStyle name="Normal 9 5 2 7 4" xfId="30244" xr:uid="{7B2CA045-386B-4B21-910A-E42CB0D9EAAB}"/>
    <cellStyle name="Normal 9 5 2 8" xfId="9132" xr:uid="{0301BD16-DFC5-4428-9852-1C5C65E2C7A3}"/>
    <cellStyle name="Normal 9 5 2 9" xfId="17580" xr:uid="{1FE6890E-7A4E-478A-8540-FE04765842A7}"/>
    <cellStyle name="Normal 9 5 3" xfId="1003" xr:uid="{00000000-0005-0000-0000-00005F200000}"/>
    <cellStyle name="Normal 9 5 3 2" xfId="3235" xr:uid="{00000000-0005-0000-0000-000060200000}"/>
    <cellStyle name="Normal 9 5 3 2 2" xfId="7457" xr:uid="{00000000-0005-0000-0000-000061200000}"/>
    <cellStyle name="Normal 9 5 3 2 2 2" xfId="15907" xr:uid="{196929B6-14A5-467F-A05D-6A45ED778BED}"/>
    <cellStyle name="Normal 9 5 3 2 2 3" xfId="24354" xr:uid="{8A6EC672-6029-4C88-BE18-99A5FBDA44DF}"/>
    <cellStyle name="Normal 9 5 3 2 2 4" xfId="32801" xr:uid="{A32EE85A-DC47-483D-9B1D-9FF7BF6E4F38}"/>
    <cellStyle name="Normal 9 5 3 2 3" xfId="11689" xr:uid="{BD9615B3-23D9-4C96-B49B-1671B7482030}"/>
    <cellStyle name="Normal 9 5 3 2 4" xfId="20137" xr:uid="{75BB24C3-B871-438F-A0CF-0530E98953B2}"/>
    <cellStyle name="Normal 9 5 3 2 5" xfId="28584" xr:uid="{BF1F78F2-15D2-48E2-B153-E611589C61F4}"/>
    <cellStyle name="Normal 9 5 3 3" xfId="5312" xr:uid="{00000000-0005-0000-0000-000062200000}"/>
    <cellStyle name="Normal 9 5 3 3 2" xfId="13762" xr:uid="{DA24EBFA-50E3-461C-9721-C84C82B95483}"/>
    <cellStyle name="Normal 9 5 3 3 3" xfId="22209" xr:uid="{30090799-F02B-42F3-A34B-652F70C57083}"/>
    <cellStyle name="Normal 9 5 3 3 4" xfId="30656" xr:uid="{EFD10C05-6052-48A6-996A-7E6F0295CD40}"/>
    <cellStyle name="Normal 9 5 3 4" xfId="9544" xr:uid="{00C4C26B-A4A8-48D3-BD8F-522EA8DF4ED9}"/>
    <cellStyle name="Normal 9 5 3 5" xfId="17992" xr:uid="{069F9934-6CF4-41C7-BFB3-6371E30D001C}"/>
    <cellStyle name="Normal 9 5 3 6" xfId="26439" xr:uid="{4D386AC2-AA83-4B79-84BE-37B4A20ACFDC}"/>
    <cellStyle name="Normal 9 5 4" xfId="1418" xr:uid="{00000000-0005-0000-0000-000063200000}"/>
    <cellStyle name="Normal 9 5 4 2" xfId="3648" xr:uid="{00000000-0005-0000-0000-000064200000}"/>
    <cellStyle name="Normal 9 5 4 2 2" xfId="7870" xr:uid="{00000000-0005-0000-0000-000065200000}"/>
    <cellStyle name="Normal 9 5 4 2 2 2" xfId="16320" xr:uid="{A2843363-2E12-45E4-8217-6B8E021F7727}"/>
    <cellStyle name="Normal 9 5 4 2 2 3" xfId="24767" xr:uid="{6B505578-60EC-4EAB-8837-AF448C49E39D}"/>
    <cellStyle name="Normal 9 5 4 2 2 4" xfId="33214" xr:uid="{DAEFD6F1-4F7C-4219-98CD-32B074D7910C}"/>
    <cellStyle name="Normal 9 5 4 2 3" xfId="12102" xr:uid="{C0AD7FDA-0763-4FED-BF31-4D1AB7C5D6E8}"/>
    <cellStyle name="Normal 9 5 4 2 4" xfId="20550" xr:uid="{363E4F97-A192-4495-951E-875D5DE04614}"/>
    <cellStyle name="Normal 9 5 4 2 5" xfId="28997" xr:uid="{98EC6178-13FA-4A96-BE44-B944FD051ED6}"/>
    <cellStyle name="Normal 9 5 4 3" xfId="5725" xr:uid="{00000000-0005-0000-0000-000066200000}"/>
    <cellStyle name="Normal 9 5 4 3 2" xfId="14175" xr:uid="{F15A80E1-F7E0-4AD3-BA56-14D002E8A2CE}"/>
    <cellStyle name="Normal 9 5 4 3 3" xfId="22622" xr:uid="{122CBEEE-C3D7-45D3-920F-9257A31BE93D}"/>
    <cellStyle name="Normal 9 5 4 3 4" xfId="31069" xr:uid="{0641FBCF-40CD-4B01-8D60-EF28598115C3}"/>
    <cellStyle name="Normal 9 5 4 4" xfId="9957" xr:uid="{F12416C9-945C-452E-A612-E50060387A2C}"/>
    <cellStyle name="Normal 9 5 4 5" xfId="18405" xr:uid="{71AF7BCA-A7D2-4BFF-ABB2-46892E9C59F7}"/>
    <cellStyle name="Normal 9 5 4 6" xfId="26852" xr:uid="{0DF983ED-497A-490F-8C38-6E2F0D397070}"/>
    <cellStyle name="Normal 9 5 5" xfId="1831" xr:uid="{00000000-0005-0000-0000-000067200000}"/>
    <cellStyle name="Normal 9 5 5 2" xfId="4061" xr:uid="{00000000-0005-0000-0000-000068200000}"/>
    <cellStyle name="Normal 9 5 5 2 2" xfId="8283" xr:uid="{00000000-0005-0000-0000-000069200000}"/>
    <cellStyle name="Normal 9 5 5 2 2 2" xfId="16733" xr:uid="{99E6111F-35F4-4ADE-A156-72D5B15A3A6C}"/>
    <cellStyle name="Normal 9 5 5 2 2 3" xfId="25180" xr:uid="{2770D6B7-4CE5-465C-B078-04ACF6866DA9}"/>
    <cellStyle name="Normal 9 5 5 2 2 4" xfId="33627" xr:uid="{17713DE5-6C8B-40FE-B1B4-285A0FBF3852}"/>
    <cellStyle name="Normal 9 5 5 2 3" xfId="12515" xr:uid="{08D88F26-F753-416E-9D6A-85DB613FFF68}"/>
    <cellStyle name="Normal 9 5 5 2 4" xfId="20963" xr:uid="{94F5D28A-6F04-432D-B56E-DD79509324B4}"/>
    <cellStyle name="Normal 9 5 5 2 5" xfId="29410" xr:uid="{6CF83702-7A78-4221-820D-0573EB5981EB}"/>
    <cellStyle name="Normal 9 5 5 3" xfId="6138" xr:uid="{00000000-0005-0000-0000-00006A200000}"/>
    <cellStyle name="Normal 9 5 5 3 2" xfId="14588" xr:uid="{F926AEAD-617D-4873-A8A9-3D62DB0D512A}"/>
    <cellStyle name="Normal 9 5 5 3 3" xfId="23035" xr:uid="{B9A5699E-8846-4A25-929A-36961344B35C}"/>
    <cellStyle name="Normal 9 5 5 3 4" xfId="31482" xr:uid="{278EA15F-2C4A-464C-AB3C-C5CD2C6840FB}"/>
    <cellStyle name="Normal 9 5 5 4" xfId="10370" xr:uid="{C7EA0727-01D8-4C77-91BC-B3BE62F894CC}"/>
    <cellStyle name="Normal 9 5 5 5" xfId="18818" xr:uid="{707D7971-6532-450A-A789-B8F1E3691339}"/>
    <cellStyle name="Normal 9 5 5 6" xfId="27265" xr:uid="{C3913B79-C8EE-41C7-A5F7-0FFC134C5D65}"/>
    <cellStyle name="Normal 9 5 6" xfId="2245" xr:uid="{00000000-0005-0000-0000-00006B200000}"/>
    <cellStyle name="Normal 9 5 6 2" xfId="4474" xr:uid="{00000000-0005-0000-0000-00006C200000}"/>
    <cellStyle name="Normal 9 5 6 2 2" xfId="8696" xr:uid="{00000000-0005-0000-0000-00006D200000}"/>
    <cellStyle name="Normal 9 5 6 2 2 2" xfId="17146" xr:uid="{9EA7D9F8-6E8F-416C-A3C2-27DF2F60D1C7}"/>
    <cellStyle name="Normal 9 5 6 2 2 3" xfId="25593" xr:uid="{570DAC43-1699-4CD4-AD45-90CB1EF890B9}"/>
    <cellStyle name="Normal 9 5 6 2 2 4" xfId="34040" xr:uid="{20BECA04-E18D-4D07-98FC-DF6E5495EEB5}"/>
    <cellStyle name="Normal 9 5 6 2 3" xfId="12928" xr:uid="{501656C5-462D-4506-9B4E-71828433DF86}"/>
    <cellStyle name="Normal 9 5 6 2 4" xfId="21376" xr:uid="{8D02DEB4-9282-4133-92A8-34CF2703E05E}"/>
    <cellStyle name="Normal 9 5 6 2 5" xfId="29823" xr:uid="{6FA50CC4-A029-4FF6-B9AC-1C27F74E4E89}"/>
    <cellStyle name="Normal 9 5 6 3" xfId="6551" xr:uid="{00000000-0005-0000-0000-00006E200000}"/>
    <cellStyle name="Normal 9 5 6 3 2" xfId="15001" xr:uid="{92879220-72D8-43F4-991B-F18437FD1628}"/>
    <cellStyle name="Normal 9 5 6 3 3" xfId="23448" xr:uid="{1FD293CB-AE3B-48CE-AD20-80DF73B4230C}"/>
    <cellStyle name="Normal 9 5 6 3 4" xfId="31895" xr:uid="{34194F5F-7D44-436A-BD41-E225AC5865E4}"/>
    <cellStyle name="Normal 9 5 6 4" xfId="10783" xr:uid="{B254F98D-DA79-4406-AB5A-E5F06AB13894}"/>
    <cellStyle name="Normal 9 5 6 5" xfId="19231" xr:uid="{D1ADEDC2-FA4C-48DD-B159-48F351423F91}"/>
    <cellStyle name="Normal 9 5 6 6" xfId="27678" xr:uid="{EDBD092C-4BA7-4924-A600-BA837AA4B675}"/>
    <cellStyle name="Normal 9 5 7" xfId="2681" xr:uid="{00000000-0005-0000-0000-00006F200000}"/>
    <cellStyle name="Normal 9 5 7 2" xfId="6964" xr:uid="{00000000-0005-0000-0000-000070200000}"/>
    <cellStyle name="Normal 9 5 7 2 2" xfId="15414" xr:uid="{38791BA0-16F0-47E1-9E9D-BF48EB71DBBF}"/>
    <cellStyle name="Normal 9 5 7 2 3" xfId="23861" xr:uid="{579C32A6-7B14-4C98-89D8-086A41F6A871}"/>
    <cellStyle name="Normal 9 5 7 2 4" xfId="32308" xr:uid="{869C3E5A-FBF9-43E2-86E2-F19DFC28FC5B}"/>
    <cellStyle name="Normal 9 5 7 3" xfId="11196" xr:uid="{36B37F55-3EB0-4AF7-9960-BFFE742E6B3C}"/>
    <cellStyle name="Normal 9 5 7 4" xfId="19644" xr:uid="{6E8ADDBD-B435-4924-8A69-82B9F0072442}"/>
    <cellStyle name="Normal 9 5 7 5" xfId="28091" xr:uid="{9C8E61E2-2AF2-46F9-9C8C-95AD448B9CC3}"/>
    <cellStyle name="Normal 9 5 8" xfId="4899" xr:uid="{00000000-0005-0000-0000-000071200000}"/>
    <cellStyle name="Normal 9 5 8 2" xfId="13349" xr:uid="{0071CC73-262A-4A1D-A11A-90FB47E1E0B8}"/>
    <cellStyle name="Normal 9 5 8 3" xfId="21796" xr:uid="{C1CFA734-BC4F-4E1A-AB14-3B3012B9E20D}"/>
    <cellStyle name="Normal 9 5 8 4" xfId="30243" xr:uid="{5D8FFB7E-1893-4811-B3FC-9F7ADD689CE3}"/>
    <cellStyle name="Normal 9 5 9" xfId="9131" xr:uid="{223F6F68-464E-4BB1-9451-748283A095FE}"/>
    <cellStyle name="Normal 9 6" xfId="538" xr:uid="{00000000-0005-0000-0000-000072200000}"/>
    <cellStyle name="Normal 9 6 10" xfId="26028" xr:uid="{2F0AE455-3581-4CAB-9DC8-3F3FAED3FBD3}"/>
    <cellStyle name="Normal 9 6 2" xfId="1005" xr:uid="{00000000-0005-0000-0000-000073200000}"/>
    <cellStyle name="Normal 9 6 2 2" xfId="3237" xr:uid="{00000000-0005-0000-0000-000074200000}"/>
    <cellStyle name="Normal 9 6 2 2 2" xfId="7459" xr:uid="{00000000-0005-0000-0000-000075200000}"/>
    <cellStyle name="Normal 9 6 2 2 2 2" xfId="15909" xr:uid="{1F436458-9A21-481F-B65C-BFF1F8F0139D}"/>
    <cellStyle name="Normal 9 6 2 2 2 3" xfId="24356" xr:uid="{B797A8C0-9DA1-44ED-8589-90480B75120D}"/>
    <cellStyle name="Normal 9 6 2 2 2 4" xfId="32803" xr:uid="{B2CC77AE-C752-4900-BEB6-211F7BCC1A9B}"/>
    <cellStyle name="Normal 9 6 2 2 3" xfId="11691" xr:uid="{3DB244B5-F1C4-488A-876A-AA40E91F6712}"/>
    <cellStyle name="Normal 9 6 2 2 4" xfId="20139" xr:uid="{DF945F3D-CAB7-446A-9D80-BD5538D66F94}"/>
    <cellStyle name="Normal 9 6 2 2 5" xfId="28586" xr:uid="{6EF92235-8038-4D2F-97C6-7AFFD2F9DC64}"/>
    <cellStyle name="Normal 9 6 2 3" xfId="5314" xr:uid="{00000000-0005-0000-0000-000076200000}"/>
    <cellStyle name="Normal 9 6 2 3 2" xfId="13764" xr:uid="{F72A265F-DCFB-44FD-9A18-075BBA03DBFB}"/>
    <cellStyle name="Normal 9 6 2 3 3" xfId="22211" xr:uid="{94996ADD-A009-477A-B7B5-3B0ED4CF2204}"/>
    <cellStyle name="Normal 9 6 2 3 4" xfId="30658" xr:uid="{454C3CBF-51F5-46F2-9A46-82BB13633A08}"/>
    <cellStyle name="Normal 9 6 2 4" xfId="9546" xr:uid="{E07731AD-54A8-43F5-A0FA-045F59CD22AD}"/>
    <cellStyle name="Normal 9 6 2 5" xfId="17994" xr:uid="{B4C5AA9E-8CCC-4030-A79D-7B72DC485351}"/>
    <cellStyle name="Normal 9 6 2 6" xfId="26441" xr:uid="{FEC6BE18-E833-4E4F-8E82-B577D56B8ED8}"/>
    <cellStyle name="Normal 9 6 3" xfId="1420" xr:uid="{00000000-0005-0000-0000-000077200000}"/>
    <cellStyle name="Normal 9 6 3 2" xfId="3650" xr:uid="{00000000-0005-0000-0000-000078200000}"/>
    <cellStyle name="Normal 9 6 3 2 2" xfId="7872" xr:uid="{00000000-0005-0000-0000-000079200000}"/>
    <cellStyle name="Normal 9 6 3 2 2 2" xfId="16322" xr:uid="{1D53B0BD-0CF4-4AC5-A41F-0B547439BC76}"/>
    <cellStyle name="Normal 9 6 3 2 2 3" xfId="24769" xr:uid="{E6F5DCCF-46D7-4C12-BC1F-DCC3CEBF958C}"/>
    <cellStyle name="Normal 9 6 3 2 2 4" xfId="33216" xr:uid="{5F1B88B2-EAB9-4030-827D-0B0296DA1CED}"/>
    <cellStyle name="Normal 9 6 3 2 3" xfId="12104" xr:uid="{91459888-B81B-4DD4-85E2-156B36AC85E9}"/>
    <cellStyle name="Normal 9 6 3 2 4" xfId="20552" xr:uid="{D84986EF-935E-44AB-8622-B5DBE6E4F204}"/>
    <cellStyle name="Normal 9 6 3 2 5" xfId="28999" xr:uid="{F57682DA-560F-4526-892E-2D20C081F7C1}"/>
    <cellStyle name="Normal 9 6 3 3" xfId="5727" xr:uid="{00000000-0005-0000-0000-00007A200000}"/>
    <cellStyle name="Normal 9 6 3 3 2" xfId="14177" xr:uid="{21CA120B-80EC-4A2D-99D2-0BDB7D746B82}"/>
    <cellStyle name="Normal 9 6 3 3 3" xfId="22624" xr:uid="{58363C2E-E870-40AA-9707-0DF57AFACCE4}"/>
    <cellStyle name="Normal 9 6 3 3 4" xfId="31071" xr:uid="{246A1D97-0B75-4E0D-A746-52E0B5AAE32F}"/>
    <cellStyle name="Normal 9 6 3 4" xfId="9959" xr:uid="{318BAA00-FEDE-4159-980E-DEBCF0BB9CB0}"/>
    <cellStyle name="Normal 9 6 3 5" xfId="18407" xr:uid="{77308119-D6E5-4863-8453-06B3D6C8EA15}"/>
    <cellStyle name="Normal 9 6 3 6" xfId="26854" xr:uid="{F9F54055-613C-4F01-AF6C-17C43EC61902}"/>
    <cellStyle name="Normal 9 6 4" xfId="1833" xr:uid="{00000000-0005-0000-0000-00007B200000}"/>
    <cellStyle name="Normal 9 6 4 2" xfId="4063" xr:uid="{00000000-0005-0000-0000-00007C200000}"/>
    <cellStyle name="Normal 9 6 4 2 2" xfId="8285" xr:uid="{00000000-0005-0000-0000-00007D200000}"/>
    <cellStyle name="Normal 9 6 4 2 2 2" xfId="16735" xr:uid="{13E8990D-161D-41FE-9B1E-77ABE54C063A}"/>
    <cellStyle name="Normal 9 6 4 2 2 3" xfId="25182" xr:uid="{D2329CB2-2F67-4B51-97F5-4327182EF7F6}"/>
    <cellStyle name="Normal 9 6 4 2 2 4" xfId="33629" xr:uid="{FD913F4E-D448-41DF-871C-E09C1EAEEC4D}"/>
    <cellStyle name="Normal 9 6 4 2 3" xfId="12517" xr:uid="{4E4E330D-478B-410E-B9CF-B64724CE9D44}"/>
    <cellStyle name="Normal 9 6 4 2 4" xfId="20965" xr:uid="{B8A0E1D8-D1F8-4A0C-8D46-5B4AF34FA2C0}"/>
    <cellStyle name="Normal 9 6 4 2 5" xfId="29412" xr:uid="{4290AF0D-1D92-4414-8131-9DC75942F83F}"/>
    <cellStyle name="Normal 9 6 4 3" xfId="6140" xr:uid="{00000000-0005-0000-0000-00007E200000}"/>
    <cellStyle name="Normal 9 6 4 3 2" xfId="14590" xr:uid="{07C0EB99-2493-4A78-A90E-D3F5DB605016}"/>
    <cellStyle name="Normal 9 6 4 3 3" xfId="23037" xr:uid="{97575955-609D-4B4D-B92D-3FF42091BBA5}"/>
    <cellStyle name="Normal 9 6 4 3 4" xfId="31484" xr:uid="{6A2FFD97-3B9F-45F1-AA34-31CDE7DE7845}"/>
    <cellStyle name="Normal 9 6 4 4" xfId="10372" xr:uid="{DDD9573B-F8FE-4AD2-9846-E35E308EC804}"/>
    <cellStyle name="Normal 9 6 4 5" xfId="18820" xr:uid="{77017FE1-9ACA-4922-B1B4-B94833F1378C}"/>
    <cellStyle name="Normal 9 6 4 6" xfId="27267" xr:uid="{0D4E2221-9DEE-44E1-8E30-4454E5CAA520}"/>
    <cellStyle name="Normal 9 6 5" xfId="2247" xr:uid="{00000000-0005-0000-0000-00007F200000}"/>
    <cellStyle name="Normal 9 6 5 2" xfId="4476" xr:uid="{00000000-0005-0000-0000-000080200000}"/>
    <cellStyle name="Normal 9 6 5 2 2" xfId="8698" xr:uid="{00000000-0005-0000-0000-000081200000}"/>
    <cellStyle name="Normal 9 6 5 2 2 2" xfId="17148" xr:uid="{CFA30718-C066-4CCE-8E58-CAB08FD1ACDA}"/>
    <cellStyle name="Normal 9 6 5 2 2 3" xfId="25595" xr:uid="{358FA4CF-4900-4B62-BA0E-99DE0F08BF14}"/>
    <cellStyle name="Normal 9 6 5 2 2 4" xfId="34042" xr:uid="{0ECA5590-AC1F-4F53-BF5A-EACEEDB4D906}"/>
    <cellStyle name="Normal 9 6 5 2 3" xfId="12930" xr:uid="{7DFEAD61-4210-4F5F-968C-346E83338BAE}"/>
    <cellStyle name="Normal 9 6 5 2 4" xfId="21378" xr:uid="{485DAD18-9751-4D68-8802-12C655182826}"/>
    <cellStyle name="Normal 9 6 5 2 5" xfId="29825" xr:uid="{2DB0DEE1-F6D1-4AFB-9341-1FD21A8C8D45}"/>
    <cellStyle name="Normal 9 6 5 3" xfId="6553" xr:uid="{00000000-0005-0000-0000-000082200000}"/>
    <cellStyle name="Normal 9 6 5 3 2" xfId="15003" xr:uid="{104BF201-A34C-42EE-88A8-2E20E70D2331}"/>
    <cellStyle name="Normal 9 6 5 3 3" xfId="23450" xr:uid="{044EF5E5-18AD-4F7A-B4EE-C218419D39E5}"/>
    <cellStyle name="Normal 9 6 5 3 4" xfId="31897" xr:uid="{61B10FE2-2F0D-485B-9C0E-86C41D2DA238}"/>
    <cellStyle name="Normal 9 6 5 4" xfId="10785" xr:uid="{D042992D-5B0A-4386-836E-F297AEEE2CD9}"/>
    <cellStyle name="Normal 9 6 5 5" xfId="19233" xr:uid="{2A4984D4-09CB-4B6E-B674-9D5E38132F23}"/>
    <cellStyle name="Normal 9 6 5 6" xfId="27680" xr:uid="{F4DD194C-C929-4FF5-8B02-51BEEF62B605}"/>
    <cellStyle name="Normal 9 6 6" xfId="2683" xr:uid="{00000000-0005-0000-0000-000083200000}"/>
    <cellStyle name="Normal 9 6 6 2" xfId="6966" xr:uid="{00000000-0005-0000-0000-000084200000}"/>
    <cellStyle name="Normal 9 6 6 2 2" xfId="15416" xr:uid="{BA1C20EA-F2E5-4D91-A423-B713F1FF061E}"/>
    <cellStyle name="Normal 9 6 6 2 3" xfId="23863" xr:uid="{51908CE7-6135-498C-B6FE-4FD7EBA17916}"/>
    <cellStyle name="Normal 9 6 6 2 4" xfId="32310" xr:uid="{80D2B1A2-7929-4680-885B-AE7CE697BCA2}"/>
    <cellStyle name="Normal 9 6 6 3" xfId="11198" xr:uid="{D3A86790-491E-41FA-9FCF-AB030A8DF70B}"/>
    <cellStyle name="Normal 9 6 6 4" xfId="19646" xr:uid="{F4F90C2C-6685-4B68-BD6C-5E2C4FB683A4}"/>
    <cellStyle name="Normal 9 6 6 5" xfId="28093" xr:uid="{963CAAD5-9721-4670-92A8-72E0D6E99DDF}"/>
    <cellStyle name="Normal 9 6 7" xfId="4901" xr:uid="{00000000-0005-0000-0000-000085200000}"/>
    <cellStyle name="Normal 9 6 7 2" xfId="13351" xr:uid="{FB5C9393-5895-484A-A1F1-FA7B0101C161}"/>
    <cellStyle name="Normal 9 6 7 3" xfId="21798" xr:uid="{BE7FA848-2A5A-4D06-9D1A-5E8CCB46D628}"/>
    <cellStyle name="Normal 9 6 7 4" xfId="30245" xr:uid="{82CCE547-BEFD-4179-8543-4D5C6D59C5AB}"/>
    <cellStyle name="Normal 9 6 8" xfId="9133" xr:uid="{991230E3-1230-4543-AB90-13C51A64F575}"/>
    <cellStyle name="Normal 9 6 9" xfId="17581" xr:uid="{0C3472AE-2D7E-4EE3-AF64-68E1F9E895A4}"/>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80E51FBF-EC3A-482D-AB2D-06E2DFABDCEB}"/>
    <cellStyle name="Note 2 2 10 2 3" xfId="23944" xr:uid="{5ACDF77F-CC1F-41BD-90C7-5B3EB9825630}"/>
    <cellStyle name="Note 2 2 10 2 4" xfId="32391" xr:uid="{1EEF7DE5-BF2B-4979-824D-44A0B272D906}"/>
    <cellStyle name="Note 2 2 10 3" xfId="11279" xr:uid="{E20677B3-24D3-4988-8A15-8131815990CF}"/>
    <cellStyle name="Note 2 2 10 4" xfId="19727" xr:uid="{9C54955B-2987-4923-8BAB-32FC01D19685}"/>
    <cellStyle name="Note 2 2 10 5" xfId="28174" xr:uid="{2AD555D2-9D68-49D8-BA56-09610EE76551}"/>
    <cellStyle name="Note 2 2 11" xfId="4902" xr:uid="{00000000-0005-0000-0000-000094200000}"/>
    <cellStyle name="Note 2 2 11 2" xfId="13352" xr:uid="{66863CF5-C65D-47A3-8A56-7E4729464218}"/>
    <cellStyle name="Note 2 2 11 3" xfId="21799" xr:uid="{B8D93BBC-7349-4704-81A9-9285FF91687F}"/>
    <cellStyle name="Note 2 2 11 4" xfId="30246" xr:uid="{8E9FE28B-83A3-4EB8-A440-11F6C25C1EBB}"/>
    <cellStyle name="Note 2 2 12" xfId="9134" xr:uid="{59910BF2-6FC2-4EF6-8A79-E578438BF21A}"/>
    <cellStyle name="Note 2 2 13" xfId="17582" xr:uid="{01B5F60B-8F89-4968-A23A-9600EB4963D0}"/>
    <cellStyle name="Note 2 2 14" xfId="26029" xr:uid="{FDBDAE70-D23B-45CB-B377-A35B4EA476AC}"/>
    <cellStyle name="Note 2 2 2" xfId="546" xr:uid="{00000000-0005-0000-0000-000095200000}"/>
    <cellStyle name="Note 2 2 2 10" xfId="4903" xr:uid="{00000000-0005-0000-0000-000096200000}"/>
    <cellStyle name="Note 2 2 2 10 2" xfId="13353" xr:uid="{141BCBA7-029F-4BED-97B3-DB5F4EBA4B62}"/>
    <cellStyle name="Note 2 2 2 10 3" xfId="21800" xr:uid="{BAA330C1-6B9C-493D-885D-DB7BB0C5D568}"/>
    <cellStyle name="Note 2 2 2 10 4" xfId="30247" xr:uid="{6361D8F7-6DBE-440A-9E86-91E6CBE6FFED}"/>
    <cellStyle name="Note 2 2 2 11" xfId="9135" xr:uid="{208B4A66-C7D6-4F93-AF4C-4EDDA4FDE600}"/>
    <cellStyle name="Note 2 2 2 12" xfId="17583" xr:uid="{21BAC01D-BBA9-4882-8455-12558DB2477F}"/>
    <cellStyle name="Note 2 2 2 13" xfId="26030" xr:uid="{75F50A7A-803C-4A31-9CB1-CB7D755F3A1F}"/>
    <cellStyle name="Note 2 2 2 2" xfId="547" xr:uid="{00000000-0005-0000-0000-000097200000}"/>
    <cellStyle name="Note 2 2 2 2 10" xfId="9136" xr:uid="{8433BA92-D9A4-4685-86C6-FB1954B27B2D}"/>
    <cellStyle name="Note 2 2 2 2 11" xfId="17584" xr:uid="{CFC6E511-5CF6-47CB-8F28-68DD1E9415EE}"/>
    <cellStyle name="Note 2 2 2 2 12" xfId="26031" xr:uid="{55C022D2-DAA3-44A4-829C-9B78DC78BFC7}"/>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458197A9-CEDC-46A9-A4B4-F772152DD468}"/>
    <cellStyle name="Note 2 2 2 2 2 2 2 3" xfId="24359" xr:uid="{7B43AC66-4C35-437F-A74A-09F7E901A159}"/>
    <cellStyle name="Note 2 2 2 2 2 2 2 4" xfId="32806" xr:uid="{7107D706-84B0-43A6-A854-0DADD427D8D3}"/>
    <cellStyle name="Note 2 2 2 2 2 2 3" xfId="11694" xr:uid="{C89BB286-2FBA-44F9-9A57-8EFB6ABCEA74}"/>
    <cellStyle name="Note 2 2 2 2 2 2 4" xfId="20142" xr:uid="{EEE74C1B-D6BB-4158-AECC-C8206CECBCE1}"/>
    <cellStyle name="Note 2 2 2 2 2 2 5" xfId="28589" xr:uid="{8FFDE325-DF96-4BCE-A683-945BA4F369A5}"/>
    <cellStyle name="Note 2 2 2 2 2 3" xfId="5317" xr:uid="{00000000-0005-0000-0000-00009B200000}"/>
    <cellStyle name="Note 2 2 2 2 2 3 2" xfId="13767" xr:uid="{C656D1AB-3B17-41B7-89CC-34B09B86A44E}"/>
    <cellStyle name="Note 2 2 2 2 2 3 3" xfId="22214" xr:uid="{E82B44E1-213A-42AE-8E4D-6181C0D18072}"/>
    <cellStyle name="Note 2 2 2 2 2 3 4" xfId="30661" xr:uid="{AD1FC7BD-9DC3-4ADE-B3D3-2B78CC0E67E7}"/>
    <cellStyle name="Note 2 2 2 2 2 4" xfId="9549" xr:uid="{2BEF4E5D-05C9-4AE0-9643-436EB38B9A52}"/>
    <cellStyle name="Note 2 2 2 2 2 5" xfId="17997" xr:uid="{DDBD3051-CE00-4284-A744-7CEA24974ED0}"/>
    <cellStyle name="Note 2 2 2 2 2 6" xfId="26444" xr:uid="{42AC61B1-242A-4204-907B-6299F6E81A7E}"/>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65FAE6D1-92A2-4CBF-BAC2-C468CA91F35C}"/>
    <cellStyle name="Note 2 2 2 2 3 2 2 3" xfId="24772" xr:uid="{03744695-5416-499B-B2CE-DECDC390F40F}"/>
    <cellStyle name="Note 2 2 2 2 3 2 2 4" xfId="33219" xr:uid="{207D6EBE-FC02-4744-9ACD-33E197D341DF}"/>
    <cellStyle name="Note 2 2 2 2 3 2 3" xfId="12107" xr:uid="{5F6E650F-6DC9-44B9-B285-333F05539867}"/>
    <cellStyle name="Note 2 2 2 2 3 2 4" xfId="20555" xr:uid="{2650BDDC-0598-4AD8-8428-281F371BC415}"/>
    <cellStyle name="Note 2 2 2 2 3 2 5" xfId="29002" xr:uid="{9CBF0FC0-E7BF-4DA0-AE4F-60E1945C2682}"/>
    <cellStyle name="Note 2 2 2 2 3 3" xfId="5730" xr:uid="{00000000-0005-0000-0000-00009F200000}"/>
    <cellStyle name="Note 2 2 2 2 3 3 2" xfId="14180" xr:uid="{9A2007E6-576C-4277-BE6F-DA169E5FAF86}"/>
    <cellStyle name="Note 2 2 2 2 3 3 3" xfId="22627" xr:uid="{A63BAD5C-36DE-4DF7-BAA9-CABAFFC9A448}"/>
    <cellStyle name="Note 2 2 2 2 3 3 4" xfId="31074" xr:uid="{6C8893F7-55E9-4EB3-9239-E406E56BBC6A}"/>
    <cellStyle name="Note 2 2 2 2 3 4" xfId="9962" xr:uid="{FB17962D-2C3D-4E02-8F49-662001CFE498}"/>
    <cellStyle name="Note 2 2 2 2 3 5" xfId="18410" xr:uid="{AA7FB481-30BC-4A09-A808-E21C1CB09FAA}"/>
    <cellStyle name="Note 2 2 2 2 3 6" xfId="26857" xr:uid="{10FA17FF-F05B-4588-8301-4EC0A910B147}"/>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62384BB2-30D0-4F45-AB14-87EC35E1543B}"/>
    <cellStyle name="Note 2 2 2 2 4 2 2 3" xfId="25185" xr:uid="{E7DEE340-81E7-45D3-A6E6-355967F7DC47}"/>
    <cellStyle name="Note 2 2 2 2 4 2 2 4" xfId="33632" xr:uid="{9F917736-6119-4B48-9430-93A8BAF243B1}"/>
    <cellStyle name="Note 2 2 2 2 4 2 3" xfId="12520" xr:uid="{7C90C62C-E640-4932-A7FE-48CBA46F3CA6}"/>
    <cellStyle name="Note 2 2 2 2 4 2 4" xfId="20968" xr:uid="{8B2A5DDD-440F-4A0E-B001-EC75743AEB65}"/>
    <cellStyle name="Note 2 2 2 2 4 2 5" xfId="29415" xr:uid="{99049D2B-DC7C-4A66-8EE5-5EB6DD2066A5}"/>
    <cellStyle name="Note 2 2 2 2 4 3" xfId="6143" xr:uid="{00000000-0005-0000-0000-0000A3200000}"/>
    <cellStyle name="Note 2 2 2 2 4 3 2" xfId="14593" xr:uid="{5CF242DF-DFA8-4EEA-9DAF-E71257D0B48E}"/>
    <cellStyle name="Note 2 2 2 2 4 3 3" xfId="23040" xr:uid="{1AFCBB0F-36A5-49DF-A9AB-52C46BD8E541}"/>
    <cellStyle name="Note 2 2 2 2 4 3 4" xfId="31487" xr:uid="{A0018DBD-3089-4E0E-A05D-4163B581F42A}"/>
    <cellStyle name="Note 2 2 2 2 4 4" xfId="10375" xr:uid="{C36583F6-4FFC-426C-8A34-AFFC2BF7C907}"/>
    <cellStyle name="Note 2 2 2 2 4 5" xfId="18823" xr:uid="{BE3B54D2-9143-44E5-BDD9-6E515D8215C9}"/>
    <cellStyle name="Note 2 2 2 2 4 6" xfId="27270" xr:uid="{4D5D9380-835C-4BAB-99D5-8358BC24C6D4}"/>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3E87C95B-5C5B-4F87-8394-D55E172886BB}"/>
    <cellStyle name="Note 2 2 2 2 5 2 2 3" xfId="25598" xr:uid="{A34F49ED-9AFB-4C83-B815-14D1B9F10868}"/>
    <cellStyle name="Note 2 2 2 2 5 2 2 4" xfId="34045" xr:uid="{194C8C2C-C4A5-48DE-903F-3E5E8105ACCE}"/>
    <cellStyle name="Note 2 2 2 2 5 2 3" xfId="12933" xr:uid="{DDFF9ACD-771A-4DEA-B251-9FC371831AEE}"/>
    <cellStyle name="Note 2 2 2 2 5 2 4" xfId="21381" xr:uid="{523D6F6D-A1E0-40B1-881C-3FB46A1D382A}"/>
    <cellStyle name="Note 2 2 2 2 5 2 5" xfId="29828" xr:uid="{491BC54C-8348-42EF-AE09-EE14A91AF689}"/>
    <cellStyle name="Note 2 2 2 2 5 3" xfId="6556" xr:uid="{00000000-0005-0000-0000-0000A7200000}"/>
    <cellStyle name="Note 2 2 2 2 5 3 2" xfId="15006" xr:uid="{C31A29BC-39FC-4CD4-8324-6EE98A9603F6}"/>
    <cellStyle name="Note 2 2 2 2 5 3 3" xfId="23453" xr:uid="{0279CFFC-4E95-431F-B73F-6F90E77D5249}"/>
    <cellStyle name="Note 2 2 2 2 5 3 4" xfId="31900" xr:uid="{CA4B19DE-A94F-43DD-AB97-563329AAE1C8}"/>
    <cellStyle name="Note 2 2 2 2 5 4" xfId="10788" xr:uid="{9E888320-1A35-4F48-A4FA-C610B7A042FE}"/>
    <cellStyle name="Note 2 2 2 2 5 5" xfId="19236" xr:uid="{04691EFB-1068-46DF-85D4-DE3BA9843274}"/>
    <cellStyle name="Note 2 2 2 2 5 6" xfId="27683" xr:uid="{E4E001D1-13F6-4CE6-8EED-476F6AFE41BE}"/>
    <cellStyle name="Note 2 2 2 2 6" xfId="2686" xr:uid="{00000000-0005-0000-0000-0000A8200000}"/>
    <cellStyle name="Note 2 2 2 2 6 2" xfId="6969" xr:uid="{00000000-0005-0000-0000-0000A9200000}"/>
    <cellStyle name="Note 2 2 2 2 6 2 2" xfId="15419" xr:uid="{020792EF-A5EE-4BD4-832A-FC448C2F874C}"/>
    <cellStyle name="Note 2 2 2 2 6 2 3" xfId="23866" xr:uid="{611A68B4-E9F4-44C7-B8B2-5A427F98638F}"/>
    <cellStyle name="Note 2 2 2 2 6 2 4" xfId="32313" xr:uid="{7C016256-3F59-41FD-8692-5B0A0EFEC845}"/>
    <cellStyle name="Note 2 2 2 2 6 3" xfId="11201" xr:uid="{972A0B80-2B77-47FF-8EFE-7425AD304BA4}"/>
    <cellStyle name="Note 2 2 2 2 6 4" xfId="19649" xr:uid="{0C0AA5F9-3D56-43F1-AEBB-1CCBCCDC5B74}"/>
    <cellStyle name="Note 2 2 2 2 6 5" xfId="28096" xr:uid="{062F2045-9A4D-4CA4-9898-1B2B05C8D3D7}"/>
    <cellStyle name="Note 2 2 2 2 7" xfId="2745" xr:uid="{00000000-0005-0000-0000-0000AA200000}"/>
    <cellStyle name="Note 2 2 2 2 8" xfId="2826" xr:uid="{00000000-0005-0000-0000-0000AB200000}"/>
    <cellStyle name="Note 2 2 2 2 8 2" xfId="7049" xr:uid="{00000000-0005-0000-0000-0000AC200000}"/>
    <cellStyle name="Note 2 2 2 2 8 2 2" xfId="15499" xr:uid="{541642CA-0517-4DBD-9EDE-B23424039C64}"/>
    <cellStyle name="Note 2 2 2 2 8 2 3" xfId="23946" xr:uid="{5DF13029-853C-4BB0-AA7A-410B22A10C37}"/>
    <cellStyle name="Note 2 2 2 2 8 2 4" xfId="32393" xr:uid="{7C534485-98F5-483A-9EA4-E9E4794ADE93}"/>
    <cellStyle name="Note 2 2 2 2 8 3" xfId="11281" xr:uid="{0A09AA54-C96F-4248-970D-C88E8A2AEF62}"/>
    <cellStyle name="Note 2 2 2 2 8 4" xfId="19729" xr:uid="{7FEE331D-DD5E-4304-9BB5-0E9F529F2FF9}"/>
    <cellStyle name="Note 2 2 2 2 8 5" xfId="28176" xr:uid="{0D38F1B3-8B2B-47A0-A617-330C1D1758B3}"/>
    <cellStyle name="Note 2 2 2 2 9" xfId="4904" xr:uid="{00000000-0005-0000-0000-0000AD200000}"/>
    <cellStyle name="Note 2 2 2 2 9 2" xfId="13354" xr:uid="{639D1033-85F2-44A5-9B9B-B7A39FBA1498}"/>
    <cellStyle name="Note 2 2 2 2 9 3" xfId="21801" xr:uid="{41A93972-71C7-4938-AB44-1E75B6B70988}"/>
    <cellStyle name="Note 2 2 2 2 9 4" xfId="30248" xr:uid="{8250BD54-00CC-4112-8B84-AFCE3E4F27AC}"/>
    <cellStyle name="Note 2 2 2 3" xfId="1007" xr:uid="{00000000-0005-0000-0000-0000AE200000}"/>
    <cellStyle name="Note 2 2 2 3 2" xfId="3239" xr:uid="{00000000-0005-0000-0000-0000AF200000}"/>
    <cellStyle name="Note 2 2 2 3 2 2" xfId="7461" xr:uid="{00000000-0005-0000-0000-0000B0200000}"/>
    <cellStyle name="Note 2 2 2 3 2 2 2" xfId="15911" xr:uid="{7947FBBB-A94F-4947-844A-C326C78B28A4}"/>
    <cellStyle name="Note 2 2 2 3 2 2 3" xfId="24358" xr:uid="{D2A3FA0D-A146-4982-BBDD-960EC2B444CF}"/>
    <cellStyle name="Note 2 2 2 3 2 2 4" xfId="32805" xr:uid="{CAD60748-F06D-4214-8E8B-A36C15586DCB}"/>
    <cellStyle name="Note 2 2 2 3 2 3" xfId="11693" xr:uid="{2526B90E-5CA2-4286-A21C-CDD100FBFBBC}"/>
    <cellStyle name="Note 2 2 2 3 2 4" xfId="20141" xr:uid="{FBAC89B8-843C-4422-8DB2-E846FB4FBDAC}"/>
    <cellStyle name="Note 2 2 2 3 2 5" xfId="28588" xr:uid="{38122C53-D4C3-44E9-90D6-A69AD9DCB58D}"/>
    <cellStyle name="Note 2 2 2 3 3" xfId="5316" xr:uid="{00000000-0005-0000-0000-0000B1200000}"/>
    <cellStyle name="Note 2 2 2 3 3 2" xfId="13766" xr:uid="{1FD3B8C9-1C9C-47A4-9F2B-756BF6176385}"/>
    <cellStyle name="Note 2 2 2 3 3 3" xfId="22213" xr:uid="{86EB95B7-3B72-4821-9DC7-6C65B1ECB1D1}"/>
    <cellStyle name="Note 2 2 2 3 3 4" xfId="30660" xr:uid="{2D1455C0-05A4-4A49-AECF-BD05D5B49677}"/>
    <cellStyle name="Note 2 2 2 3 4" xfId="9548" xr:uid="{D3237DE5-B2F2-49A0-BC97-CC48B0B770B2}"/>
    <cellStyle name="Note 2 2 2 3 5" xfId="17996" xr:uid="{531D1573-C05B-4F07-9388-289966DF7B14}"/>
    <cellStyle name="Note 2 2 2 3 6" xfId="26443" xr:uid="{C584DC1D-6D8B-4BBD-9567-0E4F24FB82F9}"/>
    <cellStyle name="Note 2 2 2 4" xfId="1422" xr:uid="{00000000-0005-0000-0000-0000B2200000}"/>
    <cellStyle name="Note 2 2 2 4 2" xfId="3652" xr:uid="{00000000-0005-0000-0000-0000B3200000}"/>
    <cellStyle name="Note 2 2 2 4 2 2" xfId="7874" xr:uid="{00000000-0005-0000-0000-0000B4200000}"/>
    <cellStyle name="Note 2 2 2 4 2 2 2" xfId="16324" xr:uid="{8018799B-27D1-4C7A-B4B6-890F97E610AA}"/>
    <cellStyle name="Note 2 2 2 4 2 2 3" xfId="24771" xr:uid="{2067DFBC-BAAA-4A80-B287-88C0DDE8BB03}"/>
    <cellStyle name="Note 2 2 2 4 2 2 4" xfId="33218" xr:uid="{58FBA0E9-D233-4297-9A2A-2A60E580B481}"/>
    <cellStyle name="Note 2 2 2 4 2 3" xfId="12106" xr:uid="{FAE3362B-22CF-4816-BE50-0B3660B45040}"/>
    <cellStyle name="Note 2 2 2 4 2 4" xfId="20554" xr:uid="{BECCBDC1-9125-46B4-B2E5-7CEF47B97CBC}"/>
    <cellStyle name="Note 2 2 2 4 2 5" xfId="29001" xr:uid="{2E5C90A1-1DE2-4F1A-9208-5A2B43BD525F}"/>
    <cellStyle name="Note 2 2 2 4 3" xfId="5729" xr:uid="{00000000-0005-0000-0000-0000B5200000}"/>
    <cellStyle name="Note 2 2 2 4 3 2" xfId="14179" xr:uid="{D4C64FCD-605C-4D5B-9B27-722B70B02641}"/>
    <cellStyle name="Note 2 2 2 4 3 3" xfId="22626" xr:uid="{45E81374-AAC2-4B20-B5FC-003945AE76C1}"/>
    <cellStyle name="Note 2 2 2 4 3 4" xfId="31073" xr:uid="{F2550CFD-E8EC-4EF6-932A-2CD53549426E}"/>
    <cellStyle name="Note 2 2 2 4 4" xfId="9961" xr:uid="{8D89F259-1572-45C6-8BED-764A55FE8BAA}"/>
    <cellStyle name="Note 2 2 2 4 5" xfId="18409" xr:uid="{A3C6FA8A-5B36-42E5-B130-557173C72264}"/>
    <cellStyle name="Note 2 2 2 4 6" xfId="26856" xr:uid="{0633F3D4-7FA3-4AC5-8868-E28B9FCE0F4A}"/>
    <cellStyle name="Note 2 2 2 5" xfId="1836" xr:uid="{00000000-0005-0000-0000-0000B6200000}"/>
    <cellStyle name="Note 2 2 2 5 2" xfId="4065" xr:uid="{00000000-0005-0000-0000-0000B7200000}"/>
    <cellStyle name="Note 2 2 2 5 2 2" xfId="8287" xr:uid="{00000000-0005-0000-0000-0000B8200000}"/>
    <cellStyle name="Note 2 2 2 5 2 2 2" xfId="16737" xr:uid="{E27D5164-FBF4-4AF8-AABE-7117A97B7227}"/>
    <cellStyle name="Note 2 2 2 5 2 2 3" xfId="25184" xr:uid="{62FC760A-0972-417B-BD4B-EAC31AE42143}"/>
    <cellStyle name="Note 2 2 2 5 2 2 4" xfId="33631" xr:uid="{79C78C45-EB99-4792-A6C0-2A3F280FE1AD}"/>
    <cellStyle name="Note 2 2 2 5 2 3" xfId="12519" xr:uid="{5F7FC6B7-538C-4897-AF9F-B6CF57AEF284}"/>
    <cellStyle name="Note 2 2 2 5 2 4" xfId="20967" xr:uid="{297C00D1-561E-4570-996C-372BB9F3466A}"/>
    <cellStyle name="Note 2 2 2 5 2 5" xfId="29414" xr:uid="{D30AE4FD-DC8B-4D17-A640-299AD8D3A3DF}"/>
    <cellStyle name="Note 2 2 2 5 3" xfId="6142" xr:uid="{00000000-0005-0000-0000-0000B9200000}"/>
    <cellStyle name="Note 2 2 2 5 3 2" xfId="14592" xr:uid="{4558DE7D-1444-41DE-A1CE-8FC215D0E4C7}"/>
    <cellStyle name="Note 2 2 2 5 3 3" xfId="23039" xr:uid="{4B2CC03E-DB86-43D8-878C-CBC55A2C79DE}"/>
    <cellStyle name="Note 2 2 2 5 3 4" xfId="31486" xr:uid="{281D63EC-2507-4933-9982-E4470590D341}"/>
    <cellStyle name="Note 2 2 2 5 4" xfId="10374" xr:uid="{60BC07DF-1655-4592-B590-3D60E5152D3F}"/>
    <cellStyle name="Note 2 2 2 5 5" xfId="18822" xr:uid="{3A32526C-6A1B-4F79-BF36-15378B2F36CC}"/>
    <cellStyle name="Note 2 2 2 5 6" xfId="27269" xr:uid="{C8BE523B-230E-406D-8988-08ECDB84A091}"/>
    <cellStyle name="Note 2 2 2 6" xfId="2249" xr:uid="{00000000-0005-0000-0000-0000BA200000}"/>
    <cellStyle name="Note 2 2 2 6 2" xfId="4478" xr:uid="{00000000-0005-0000-0000-0000BB200000}"/>
    <cellStyle name="Note 2 2 2 6 2 2" xfId="8700" xr:uid="{00000000-0005-0000-0000-0000BC200000}"/>
    <cellStyle name="Note 2 2 2 6 2 2 2" xfId="17150" xr:uid="{4C5CDC4D-20E1-4B6C-9911-B01B5BB4DE13}"/>
    <cellStyle name="Note 2 2 2 6 2 2 3" xfId="25597" xr:uid="{C3E74B3C-3A2D-4073-8154-E9C22314803B}"/>
    <cellStyle name="Note 2 2 2 6 2 2 4" xfId="34044" xr:uid="{19DEEB7B-D307-4A0B-AC40-7553CA19B0DD}"/>
    <cellStyle name="Note 2 2 2 6 2 3" xfId="12932" xr:uid="{A52108C5-885B-4091-98C3-692BCB34DA03}"/>
    <cellStyle name="Note 2 2 2 6 2 4" xfId="21380" xr:uid="{9F3BCA33-6786-4E70-AE74-88E774674AF3}"/>
    <cellStyle name="Note 2 2 2 6 2 5" xfId="29827" xr:uid="{D7740D0E-36E7-4EEA-8C7E-2AD45952A885}"/>
    <cellStyle name="Note 2 2 2 6 3" xfId="6555" xr:uid="{00000000-0005-0000-0000-0000BD200000}"/>
    <cellStyle name="Note 2 2 2 6 3 2" xfId="15005" xr:uid="{6581496B-9201-43A0-B11F-AC62E94B5361}"/>
    <cellStyle name="Note 2 2 2 6 3 3" xfId="23452" xr:uid="{46072B25-821B-4531-BFD7-918F8FF1F9C0}"/>
    <cellStyle name="Note 2 2 2 6 3 4" xfId="31899" xr:uid="{BB649C5A-6188-4630-B05C-8F6C026FD58C}"/>
    <cellStyle name="Note 2 2 2 6 4" xfId="10787" xr:uid="{D34E5645-916B-4BA1-9B84-0FA87A57A215}"/>
    <cellStyle name="Note 2 2 2 6 5" xfId="19235" xr:uid="{8F80B250-3141-47C8-92EB-D0B309E3C521}"/>
    <cellStyle name="Note 2 2 2 6 6" xfId="27682" xr:uid="{95184308-C6AF-496C-A9C6-616DE22B2990}"/>
    <cellStyle name="Note 2 2 2 7" xfId="2685" xr:uid="{00000000-0005-0000-0000-0000BE200000}"/>
    <cellStyle name="Note 2 2 2 7 2" xfId="6968" xr:uid="{00000000-0005-0000-0000-0000BF200000}"/>
    <cellStyle name="Note 2 2 2 7 2 2" xfId="15418" xr:uid="{E5750F6B-8FF7-4928-9A2C-7FD7C6558E81}"/>
    <cellStyle name="Note 2 2 2 7 2 3" xfId="23865" xr:uid="{3E50596D-2EB7-4598-AADC-59738F390BC0}"/>
    <cellStyle name="Note 2 2 2 7 2 4" xfId="32312" xr:uid="{408873D2-1484-4DD7-A8D7-1EAFC9814A74}"/>
    <cellStyle name="Note 2 2 2 7 3" xfId="11200" xr:uid="{F7A1EC3E-2E8A-49B0-83E6-392E6863C0FE}"/>
    <cellStyle name="Note 2 2 2 7 4" xfId="19648" xr:uid="{4AF561AC-8B1C-4695-81EA-A734420A181C}"/>
    <cellStyle name="Note 2 2 2 7 5" xfId="28095" xr:uid="{1821DC79-86E2-4E4B-BFF2-1CA4B833D065}"/>
    <cellStyle name="Note 2 2 2 8" xfId="2744" xr:uid="{00000000-0005-0000-0000-0000C0200000}"/>
    <cellStyle name="Note 2 2 2 9" xfId="2825" xr:uid="{00000000-0005-0000-0000-0000C1200000}"/>
    <cellStyle name="Note 2 2 2 9 2" xfId="7048" xr:uid="{00000000-0005-0000-0000-0000C2200000}"/>
    <cellStyle name="Note 2 2 2 9 2 2" xfId="15498" xr:uid="{F7D4C59B-649E-4971-8D43-92A2AF53882C}"/>
    <cellStyle name="Note 2 2 2 9 2 3" xfId="23945" xr:uid="{EE90BF3A-E1C4-4F54-AAFB-5148A8AD7BA7}"/>
    <cellStyle name="Note 2 2 2 9 2 4" xfId="32392" xr:uid="{4C26C31C-669B-480B-8183-B5285C62B340}"/>
    <cellStyle name="Note 2 2 2 9 3" xfId="11280" xr:uid="{4605EA38-728D-49B1-9C33-2D5F0CA4198A}"/>
    <cellStyle name="Note 2 2 2 9 4" xfId="19728" xr:uid="{0D85A57C-2E6E-4CDA-B816-4EFBAE275B91}"/>
    <cellStyle name="Note 2 2 2 9 5" xfId="28175" xr:uid="{3639D6C4-7823-424E-BDC9-9B869F0673CB}"/>
    <cellStyle name="Note 2 2 3" xfId="548" xr:uid="{00000000-0005-0000-0000-0000C3200000}"/>
    <cellStyle name="Note 2 2 3 10" xfId="9137" xr:uid="{5C1B5ED7-2D45-4C73-AA7E-02B6BFCCE690}"/>
    <cellStyle name="Note 2 2 3 11" xfId="17585" xr:uid="{E5C7ACFD-279A-449D-820A-1FA07118AFE9}"/>
    <cellStyle name="Note 2 2 3 12" xfId="26032" xr:uid="{FD7E9BDF-8417-4AA0-BC7F-70421B325953}"/>
    <cellStyle name="Note 2 2 3 2" xfId="1009" xr:uid="{00000000-0005-0000-0000-0000C4200000}"/>
    <cellStyle name="Note 2 2 3 2 2" xfId="3241" xr:uid="{00000000-0005-0000-0000-0000C5200000}"/>
    <cellStyle name="Note 2 2 3 2 2 2" xfId="7463" xr:uid="{00000000-0005-0000-0000-0000C6200000}"/>
    <cellStyle name="Note 2 2 3 2 2 2 2" xfId="15913" xr:uid="{91ECECE8-D3F5-4F7E-A908-E81A16B99DAA}"/>
    <cellStyle name="Note 2 2 3 2 2 2 3" xfId="24360" xr:uid="{358F181C-DAAB-4851-B0D8-DBB9C7FB3131}"/>
    <cellStyle name="Note 2 2 3 2 2 2 4" xfId="32807" xr:uid="{CDCA84C1-C8D0-4B3A-AE81-7441F8559F59}"/>
    <cellStyle name="Note 2 2 3 2 2 3" xfId="11695" xr:uid="{5182770E-D8F9-4AA5-B8A5-86E660153601}"/>
    <cellStyle name="Note 2 2 3 2 2 4" xfId="20143" xr:uid="{9DB0F63F-2769-404A-A45B-4FAD0010263E}"/>
    <cellStyle name="Note 2 2 3 2 2 5" xfId="28590" xr:uid="{4B7BAD88-6FE2-4168-92F8-C37927070458}"/>
    <cellStyle name="Note 2 2 3 2 3" xfId="5318" xr:uid="{00000000-0005-0000-0000-0000C7200000}"/>
    <cellStyle name="Note 2 2 3 2 3 2" xfId="13768" xr:uid="{5D4EF35F-1696-4BD1-8B29-E7CC35C4E165}"/>
    <cellStyle name="Note 2 2 3 2 3 3" xfId="22215" xr:uid="{E77AD5B8-16BC-4CFD-BECC-4B94A8BF9C72}"/>
    <cellStyle name="Note 2 2 3 2 3 4" xfId="30662" xr:uid="{0DC1E42D-F2E6-4CFA-9CE0-79B63F09718B}"/>
    <cellStyle name="Note 2 2 3 2 4" xfId="9550" xr:uid="{3E31F37A-116B-403F-80DF-43F73451D8E3}"/>
    <cellStyle name="Note 2 2 3 2 5" xfId="17998" xr:uid="{2032B2F1-77BF-4D1B-A877-3CB38DAFE0EE}"/>
    <cellStyle name="Note 2 2 3 2 6" xfId="26445" xr:uid="{C3114DB3-A582-4AB4-B277-2E9AB2E64469}"/>
    <cellStyle name="Note 2 2 3 3" xfId="1424" xr:uid="{00000000-0005-0000-0000-0000C8200000}"/>
    <cellStyle name="Note 2 2 3 3 2" xfId="3654" xr:uid="{00000000-0005-0000-0000-0000C9200000}"/>
    <cellStyle name="Note 2 2 3 3 2 2" xfId="7876" xr:uid="{00000000-0005-0000-0000-0000CA200000}"/>
    <cellStyle name="Note 2 2 3 3 2 2 2" xfId="16326" xr:uid="{96FD666D-749B-48F0-865F-A5F16E97E1B1}"/>
    <cellStyle name="Note 2 2 3 3 2 2 3" xfId="24773" xr:uid="{53CDD7CA-F246-4BF8-ACF7-6F470C887DF8}"/>
    <cellStyle name="Note 2 2 3 3 2 2 4" xfId="33220" xr:uid="{FFDE3724-730B-4B50-92D3-A92F87D56DEF}"/>
    <cellStyle name="Note 2 2 3 3 2 3" xfId="12108" xr:uid="{68A0B9BB-F183-4123-B5AB-18CF47ED2705}"/>
    <cellStyle name="Note 2 2 3 3 2 4" xfId="20556" xr:uid="{92549871-576A-41F0-A22C-0C351B3BA22F}"/>
    <cellStyle name="Note 2 2 3 3 2 5" xfId="29003" xr:uid="{3E0F5AA3-DCB8-42F5-9FC6-5B3034A3BF50}"/>
    <cellStyle name="Note 2 2 3 3 3" xfId="5731" xr:uid="{00000000-0005-0000-0000-0000CB200000}"/>
    <cellStyle name="Note 2 2 3 3 3 2" xfId="14181" xr:uid="{F511A3F1-FC39-4123-97F3-8E1695318BC5}"/>
    <cellStyle name="Note 2 2 3 3 3 3" xfId="22628" xr:uid="{B70D3F89-155F-409C-9C26-385455BFEECD}"/>
    <cellStyle name="Note 2 2 3 3 3 4" xfId="31075" xr:uid="{6C8E1355-35BC-4306-8508-FB2655BF5B26}"/>
    <cellStyle name="Note 2 2 3 3 4" xfId="9963" xr:uid="{C7E74D17-F793-4CCC-8111-463D92A7DF29}"/>
    <cellStyle name="Note 2 2 3 3 5" xfId="18411" xr:uid="{844CAEA5-A3E7-4B5D-9C6E-5DD95E162A1E}"/>
    <cellStyle name="Note 2 2 3 3 6" xfId="26858" xr:uid="{6287D9E2-0AEE-412A-BE82-CD918488D9A2}"/>
    <cellStyle name="Note 2 2 3 4" xfId="1838" xr:uid="{00000000-0005-0000-0000-0000CC200000}"/>
    <cellStyle name="Note 2 2 3 4 2" xfId="4067" xr:uid="{00000000-0005-0000-0000-0000CD200000}"/>
    <cellStyle name="Note 2 2 3 4 2 2" xfId="8289" xr:uid="{00000000-0005-0000-0000-0000CE200000}"/>
    <cellStyle name="Note 2 2 3 4 2 2 2" xfId="16739" xr:uid="{C384849D-A47B-4750-996E-719EA08B3E6B}"/>
    <cellStyle name="Note 2 2 3 4 2 2 3" xfId="25186" xr:uid="{2DD25EC3-9C15-4E4A-84D1-6894F425B849}"/>
    <cellStyle name="Note 2 2 3 4 2 2 4" xfId="33633" xr:uid="{0F059DE3-121C-4554-AE0E-DC82DFB44A08}"/>
    <cellStyle name="Note 2 2 3 4 2 3" xfId="12521" xr:uid="{B9D978E5-4DD7-4F47-8E51-D91A2ACE8A4B}"/>
    <cellStyle name="Note 2 2 3 4 2 4" xfId="20969" xr:uid="{927B1C87-24E2-4350-B35D-124894B40D67}"/>
    <cellStyle name="Note 2 2 3 4 2 5" xfId="29416" xr:uid="{ACBA6790-63CA-4208-81AF-1B6418718B32}"/>
    <cellStyle name="Note 2 2 3 4 3" xfId="6144" xr:uid="{00000000-0005-0000-0000-0000CF200000}"/>
    <cellStyle name="Note 2 2 3 4 3 2" xfId="14594" xr:uid="{F9E6C381-2C61-4741-B847-C54C2A6CBD37}"/>
    <cellStyle name="Note 2 2 3 4 3 3" xfId="23041" xr:uid="{4F286334-5C3D-4741-B34C-34FE81621EB2}"/>
    <cellStyle name="Note 2 2 3 4 3 4" xfId="31488" xr:uid="{6E27EC5A-3D39-4DC3-BB7B-748133845104}"/>
    <cellStyle name="Note 2 2 3 4 4" xfId="10376" xr:uid="{28CEFFE7-8CC4-4CCE-8D64-3D537E2685E0}"/>
    <cellStyle name="Note 2 2 3 4 5" xfId="18824" xr:uid="{E75D3CD9-09CD-4E2E-A282-EAD790F209F5}"/>
    <cellStyle name="Note 2 2 3 4 6" xfId="27271" xr:uid="{BE5C6786-77A5-4C1C-BC24-4017B60CD2B6}"/>
    <cellStyle name="Note 2 2 3 5" xfId="2251" xr:uid="{00000000-0005-0000-0000-0000D0200000}"/>
    <cellStyle name="Note 2 2 3 5 2" xfId="4480" xr:uid="{00000000-0005-0000-0000-0000D1200000}"/>
    <cellStyle name="Note 2 2 3 5 2 2" xfId="8702" xr:uid="{00000000-0005-0000-0000-0000D2200000}"/>
    <cellStyle name="Note 2 2 3 5 2 2 2" xfId="17152" xr:uid="{E3D0E584-A10D-4DF0-8513-7AFE427D9885}"/>
    <cellStyle name="Note 2 2 3 5 2 2 3" xfId="25599" xr:uid="{3D96FE4D-B05E-4183-9508-6B4B72381161}"/>
    <cellStyle name="Note 2 2 3 5 2 2 4" xfId="34046" xr:uid="{41C65B91-172C-4FB4-978A-C89D0854D60E}"/>
    <cellStyle name="Note 2 2 3 5 2 3" xfId="12934" xr:uid="{F7885CF9-8C61-4E2E-97EB-965BA909E137}"/>
    <cellStyle name="Note 2 2 3 5 2 4" xfId="21382" xr:uid="{99BF4272-66FF-494B-8443-9DB7BAF7FA81}"/>
    <cellStyle name="Note 2 2 3 5 2 5" xfId="29829" xr:uid="{17FA6BE8-7EF5-438D-87C8-ADFDF029C93B}"/>
    <cellStyle name="Note 2 2 3 5 3" xfId="6557" xr:uid="{00000000-0005-0000-0000-0000D3200000}"/>
    <cellStyle name="Note 2 2 3 5 3 2" xfId="15007" xr:uid="{765FC292-D6DD-4930-9567-8D8546FD852C}"/>
    <cellStyle name="Note 2 2 3 5 3 3" xfId="23454" xr:uid="{5287FB67-5346-4A13-93AC-8D333BABC7C1}"/>
    <cellStyle name="Note 2 2 3 5 3 4" xfId="31901" xr:uid="{9F7FB4A9-04FE-4A5B-996D-BAE73A2DCCDE}"/>
    <cellStyle name="Note 2 2 3 5 4" xfId="10789" xr:uid="{41908881-8208-4E5C-A3F5-F17ED2BBDF7C}"/>
    <cellStyle name="Note 2 2 3 5 5" xfId="19237" xr:uid="{D505450E-0CB0-4209-8281-6D8823A8A7C4}"/>
    <cellStyle name="Note 2 2 3 5 6" xfId="27684" xr:uid="{EDB05239-4ECD-4A13-A2AC-3F056F887F47}"/>
    <cellStyle name="Note 2 2 3 6" xfId="2687" xr:uid="{00000000-0005-0000-0000-0000D4200000}"/>
    <cellStyle name="Note 2 2 3 6 2" xfId="6970" xr:uid="{00000000-0005-0000-0000-0000D5200000}"/>
    <cellStyle name="Note 2 2 3 6 2 2" xfId="15420" xr:uid="{35455F63-8403-41C3-B6FE-58C46C7847EF}"/>
    <cellStyle name="Note 2 2 3 6 2 3" xfId="23867" xr:uid="{B29E4ABE-8A3E-4349-92CB-C7470C97CA9B}"/>
    <cellStyle name="Note 2 2 3 6 2 4" xfId="32314" xr:uid="{47F5AD75-0D9B-4487-9B14-F4B5879C0E6C}"/>
    <cellStyle name="Note 2 2 3 6 3" xfId="11202" xr:uid="{F1F6EB2A-968D-4B4E-A6E1-C5B79DE1DBB1}"/>
    <cellStyle name="Note 2 2 3 6 4" xfId="19650" xr:uid="{027BFB5C-1B4D-4E8E-BE7C-C1C5B9DA5116}"/>
    <cellStyle name="Note 2 2 3 6 5" xfId="28097" xr:uid="{AF5939EF-29CC-4C40-86EA-0967D66A9DFC}"/>
    <cellStyle name="Note 2 2 3 7" xfId="2746" xr:uid="{00000000-0005-0000-0000-0000D6200000}"/>
    <cellStyle name="Note 2 2 3 8" xfId="2827" xr:uid="{00000000-0005-0000-0000-0000D7200000}"/>
    <cellStyle name="Note 2 2 3 8 2" xfId="7050" xr:uid="{00000000-0005-0000-0000-0000D8200000}"/>
    <cellStyle name="Note 2 2 3 8 2 2" xfId="15500" xr:uid="{935E811D-38C4-45CA-B2C6-2C2DE0B99F97}"/>
    <cellStyle name="Note 2 2 3 8 2 3" xfId="23947" xr:uid="{5F6AA529-21C8-4673-8F8A-6051DA1E860E}"/>
    <cellStyle name="Note 2 2 3 8 2 4" xfId="32394" xr:uid="{EDF2C64B-8F20-4923-BF4D-64013A514C6B}"/>
    <cellStyle name="Note 2 2 3 8 3" xfId="11282" xr:uid="{91F43273-1182-4CE8-AC7F-2D3A17B34CF6}"/>
    <cellStyle name="Note 2 2 3 8 4" xfId="19730" xr:uid="{C33527E2-4BBD-45E4-A294-D3BAE894F026}"/>
    <cellStyle name="Note 2 2 3 8 5" xfId="28177" xr:uid="{F8B13512-EDE9-46DC-ACF4-E2370F5E3056}"/>
    <cellStyle name="Note 2 2 3 9" xfId="4905" xr:uid="{00000000-0005-0000-0000-0000D9200000}"/>
    <cellStyle name="Note 2 2 3 9 2" xfId="13355" xr:uid="{C60AD774-E33C-47D4-A2F1-3336BF64AFA1}"/>
    <cellStyle name="Note 2 2 3 9 3" xfId="21802" xr:uid="{3F756BD3-4DB8-4155-9E66-23D817CA6CCA}"/>
    <cellStyle name="Note 2 2 3 9 4" xfId="30249" xr:uid="{7E626A1A-1869-4ABE-84A3-2B8267ED9660}"/>
    <cellStyle name="Note 2 2 4" xfId="1006" xr:uid="{00000000-0005-0000-0000-0000DA200000}"/>
    <cellStyle name="Note 2 2 4 2" xfId="3238" xr:uid="{00000000-0005-0000-0000-0000DB200000}"/>
    <cellStyle name="Note 2 2 4 2 2" xfId="7460" xr:uid="{00000000-0005-0000-0000-0000DC200000}"/>
    <cellStyle name="Note 2 2 4 2 2 2" xfId="15910" xr:uid="{A19F71B8-674D-4EDB-8167-10D8F173ABEB}"/>
    <cellStyle name="Note 2 2 4 2 2 3" xfId="24357" xr:uid="{8978E1FA-5B01-4144-B002-B7C9023977F7}"/>
    <cellStyle name="Note 2 2 4 2 2 4" xfId="32804" xr:uid="{31D7F582-5AA6-4F1B-9229-B76179FCDF8E}"/>
    <cellStyle name="Note 2 2 4 2 3" xfId="11692" xr:uid="{687CCA91-6B87-4703-8688-241ED4846F6A}"/>
    <cellStyle name="Note 2 2 4 2 4" xfId="20140" xr:uid="{66104D0E-B3D4-428E-862F-9EBFEF0E476B}"/>
    <cellStyle name="Note 2 2 4 2 5" xfId="28587" xr:uid="{5C5DCB63-945B-4263-A491-91737D6B79FA}"/>
    <cellStyle name="Note 2 2 4 3" xfId="5315" xr:uid="{00000000-0005-0000-0000-0000DD200000}"/>
    <cellStyle name="Note 2 2 4 3 2" xfId="13765" xr:uid="{7ACA3C45-51E8-4C8A-AB4A-8AC556E695DE}"/>
    <cellStyle name="Note 2 2 4 3 3" xfId="22212" xr:uid="{E2A8DB45-BB8E-4C28-B2E3-FE5A9A056D9D}"/>
    <cellStyle name="Note 2 2 4 3 4" xfId="30659" xr:uid="{3ECA5B19-DFCF-45A0-9127-F8D0161DA8E4}"/>
    <cellStyle name="Note 2 2 4 4" xfId="9547" xr:uid="{C09F8A57-5781-4787-8B23-B9622CC3D0DC}"/>
    <cellStyle name="Note 2 2 4 5" xfId="17995" xr:uid="{F20F9A99-3A87-4932-B156-2DCB87652D23}"/>
    <cellStyle name="Note 2 2 4 6" xfId="26442" xr:uid="{8017034B-EDE1-460B-9F37-6060F48E022F}"/>
    <cellStyle name="Note 2 2 5" xfId="1421" xr:uid="{00000000-0005-0000-0000-0000DE200000}"/>
    <cellStyle name="Note 2 2 5 2" xfId="3651" xr:uid="{00000000-0005-0000-0000-0000DF200000}"/>
    <cellStyle name="Note 2 2 5 2 2" xfId="7873" xr:uid="{00000000-0005-0000-0000-0000E0200000}"/>
    <cellStyle name="Note 2 2 5 2 2 2" xfId="16323" xr:uid="{D8634F5A-8C8D-4C29-8570-C83816895B97}"/>
    <cellStyle name="Note 2 2 5 2 2 3" xfId="24770" xr:uid="{AF2EAAAC-5FBB-4D1A-B2CF-1A63886AA6FA}"/>
    <cellStyle name="Note 2 2 5 2 2 4" xfId="33217" xr:uid="{6FE507A5-EB9E-4C08-BB71-2C2CFCA6E904}"/>
    <cellStyle name="Note 2 2 5 2 3" xfId="12105" xr:uid="{24E6B4A2-4D82-4C09-92E0-69D32F75CA6B}"/>
    <cellStyle name="Note 2 2 5 2 4" xfId="20553" xr:uid="{82B1C34E-0873-4BD4-87ED-81BE4843D3B3}"/>
    <cellStyle name="Note 2 2 5 2 5" xfId="29000" xr:uid="{0F8E1D37-A150-42C7-BDCF-DC9E7AE09F23}"/>
    <cellStyle name="Note 2 2 5 3" xfId="5728" xr:uid="{00000000-0005-0000-0000-0000E1200000}"/>
    <cellStyle name="Note 2 2 5 3 2" xfId="14178" xr:uid="{FA3357C8-1FEE-4A57-83C4-91C7CD0712D7}"/>
    <cellStyle name="Note 2 2 5 3 3" xfId="22625" xr:uid="{027F41CC-7556-462F-BCB0-0E6441952568}"/>
    <cellStyle name="Note 2 2 5 3 4" xfId="31072" xr:uid="{3282865F-4D47-464E-967A-7DAD4CD192F7}"/>
    <cellStyle name="Note 2 2 5 4" xfId="9960" xr:uid="{9CFB037D-1801-4226-AA42-0C1115325A89}"/>
    <cellStyle name="Note 2 2 5 5" xfId="18408" xr:uid="{C1EF5C8F-B5ED-421F-8920-19756A8984E6}"/>
    <cellStyle name="Note 2 2 5 6" xfId="26855" xr:uid="{7929BBC4-DCDC-4518-8338-9F7BB638CCBF}"/>
    <cellStyle name="Note 2 2 6" xfId="1835" xr:uid="{00000000-0005-0000-0000-0000E2200000}"/>
    <cellStyle name="Note 2 2 6 2" xfId="4064" xr:uid="{00000000-0005-0000-0000-0000E3200000}"/>
    <cellStyle name="Note 2 2 6 2 2" xfId="8286" xr:uid="{00000000-0005-0000-0000-0000E4200000}"/>
    <cellStyle name="Note 2 2 6 2 2 2" xfId="16736" xr:uid="{175596AE-9566-41C2-BDFC-9990786BFCE2}"/>
    <cellStyle name="Note 2 2 6 2 2 3" xfId="25183" xr:uid="{770F093B-A1AF-4981-B619-D6A3C79AEBA8}"/>
    <cellStyle name="Note 2 2 6 2 2 4" xfId="33630" xr:uid="{89C620C7-50EE-4938-8352-AEF656E2802F}"/>
    <cellStyle name="Note 2 2 6 2 3" xfId="12518" xr:uid="{ABE1534A-531F-401F-A547-AE6EBB5348E0}"/>
    <cellStyle name="Note 2 2 6 2 4" xfId="20966" xr:uid="{D3DA7D88-FCD7-4CAD-92A5-157FD42FEA5C}"/>
    <cellStyle name="Note 2 2 6 2 5" xfId="29413" xr:uid="{B3867F2C-F1C1-480A-B00A-F31BDA779481}"/>
    <cellStyle name="Note 2 2 6 3" xfId="6141" xr:uid="{00000000-0005-0000-0000-0000E5200000}"/>
    <cellStyle name="Note 2 2 6 3 2" xfId="14591" xr:uid="{3133428B-FADD-4E38-A189-B2E069BF8FDC}"/>
    <cellStyle name="Note 2 2 6 3 3" xfId="23038" xr:uid="{B59BAB27-7694-4FA7-9481-399BD65D5910}"/>
    <cellStyle name="Note 2 2 6 3 4" xfId="31485" xr:uid="{70DD4A40-8B49-48CC-AC2D-5E1E1E71033A}"/>
    <cellStyle name="Note 2 2 6 4" xfId="10373" xr:uid="{DDBDF529-55F1-4907-85DD-EA178A4929A9}"/>
    <cellStyle name="Note 2 2 6 5" xfId="18821" xr:uid="{B271146A-6EF5-4416-A828-B0615B1E50B2}"/>
    <cellStyle name="Note 2 2 6 6" xfId="27268" xr:uid="{CF8108ED-869D-4681-A80D-E5E31BF33C00}"/>
    <cellStyle name="Note 2 2 7" xfId="2248" xr:uid="{00000000-0005-0000-0000-0000E6200000}"/>
    <cellStyle name="Note 2 2 7 2" xfId="4477" xr:uid="{00000000-0005-0000-0000-0000E7200000}"/>
    <cellStyle name="Note 2 2 7 2 2" xfId="8699" xr:uid="{00000000-0005-0000-0000-0000E8200000}"/>
    <cellStyle name="Note 2 2 7 2 2 2" xfId="17149" xr:uid="{AA2B9744-D7F9-497C-BC44-8098EBBE40FC}"/>
    <cellStyle name="Note 2 2 7 2 2 3" xfId="25596" xr:uid="{41A81BE7-8AAE-4ADB-9DB8-9DCDB3D277BC}"/>
    <cellStyle name="Note 2 2 7 2 2 4" xfId="34043" xr:uid="{54F34BA4-67AD-4622-A33B-8892D2A1BEF5}"/>
    <cellStyle name="Note 2 2 7 2 3" xfId="12931" xr:uid="{7A843A2B-AFB3-455C-960A-00C308223428}"/>
    <cellStyle name="Note 2 2 7 2 4" xfId="21379" xr:uid="{3B0714FE-A3B1-4CC4-AE20-91DD3FBFE3C2}"/>
    <cellStyle name="Note 2 2 7 2 5" xfId="29826" xr:uid="{276EFAFD-95D6-4108-9F52-5E1792919708}"/>
    <cellStyle name="Note 2 2 7 3" xfId="6554" xr:uid="{00000000-0005-0000-0000-0000E9200000}"/>
    <cellStyle name="Note 2 2 7 3 2" xfId="15004" xr:uid="{7A52FC32-E759-4834-8D35-9358F9E06C83}"/>
    <cellStyle name="Note 2 2 7 3 3" xfId="23451" xr:uid="{EC2E6336-F3F1-4CAD-9A82-EA7168251724}"/>
    <cellStyle name="Note 2 2 7 3 4" xfId="31898" xr:uid="{B9B81320-1465-473A-B6FD-19F48D3AB3C0}"/>
    <cellStyle name="Note 2 2 7 4" xfId="10786" xr:uid="{0F256E9A-D3BF-4C1A-8273-4E588BAEC316}"/>
    <cellStyle name="Note 2 2 7 5" xfId="19234" xr:uid="{AB7C306A-58AD-453B-B158-C4754AA8BF97}"/>
    <cellStyle name="Note 2 2 7 6" xfId="27681" xr:uid="{35168FBD-6DA7-4944-B5CA-F54A9A1EAC25}"/>
    <cellStyle name="Note 2 2 8" xfId="2684" xr:uid="{00000000-0005-0000-0000-0000EA200000}"/>
    <cellStyle name="Note 2 2 8 2" xfId="6967" xr:uid="{00000000-0005-0000-0000-0000EB200000}"/>
    <cellStyle name="Note 2 2 8 2 2" xfId="15417" xr:uid="{7620178D-7B28-4134-9300-0DAC354CD019}"/>
    <cellStyle name="Note 2 2 8 2 3" xfId="23864" xr:uid="{D7DB70DD-C70B-4750-8988-D7E28D0A063C}"/>
    <cellStyle name="Note 2 2 8 2 4" xfId="32311" xr:uid="{473C0B77-870F-4E96-88FA-5C6431383578}"/>
    <cellStyle name="Note 2 2 8 3" xfId="11199" xr:uid="{D071150B-E771-4BA1-ABAA-8B63AFEFB8B2}"/>
    <cellStyle name="Note 2 2 8 4" xfId="19647" xr:uid="{C185C729-DBED-41DB-ABFB-64B79417440F}"/>
    <cellStyle name="Note 2 2 8 5" xfId="28094" xr:uid="{6E1BEF17-7284-471B-A36A-6BFAC264085E}"/>
    <cellStyle name="Note 2 2 9" xfId="2743" xr:uid="{00000000-0005-0000-0000-0000EC200000}"/>
    <cellStyle name="Note 2 3" xfId="549" xr:uid="{00000000-0005-0000-0000-0000ED200000}"/>
    <cellStyle name="Note 2 3 10" xfId="4906" xr:uid="{00000000-0005-0000-0000-0000EE200000}"/>
    <cellStyle name="Note 2 3 10 2" xfId="13356" xr:uid="{1397FD67-6C42-47C9-94DA-79E26239BB48}"/>
    <cellStyle name="Note 2 3 10 3" xfId="21803" xr:uid="{1EF31C6B-30AD-433D-BF49-EE0200BEBB0C}"/>
    <cellStyle name="Note 2 3 10 4" xfId="30250" xr:uid="{0D4908C1-F3B6-42EC-A6DD-548954B4C980}"/>
    <cellStyle name="Note 2 3 11" xfId="9138" xr:uid="{E0ED581B-73BC-4D4A-BCAA-9EC4CA0F1C50}"/>
    <cellStyle name="Note 2 3 12" xfId="17586" xr:uid="{3B4A6497-FD67-44B2-A9A4-036833AF23C2}"/>
    <cellStyle name="Note 2 3 13" xfId="26033" xr:uid="{373CFED4-8E0F-4706-8443-F840D99385D6}"/>
    <cellStyle name="Note 2 3 2" xfId="550" xr:uid="{00000000-0005-0000-0000-0000EF200000}"/>
    <cellStyle name="Note 2 3 2 10" xfId="9139" xr:uid="{27228E99-8661-4FD5-BCE6-B7CF03D2A29E}"/>
    <cellStyle name="Note 2 3 2 11" xfId="17587" xr:uid="{64916967-1F53-4B75-AD41-C110FFA6FB6A}"/>
    <cellStyle name="Note 2 3 2 12" xfId="26034" xr:uid="{395B12D0-B1C4-442B-85AA-32B1F1A9F890}"/>
    <cellStyle name="Note 2 3 2 2" xfId="1011" xr:uid="{00000000-0005-0000-0000-0000F0200000}"/>
    <cellStyle name="Note 2 3 2 2 2" xfId="3243" xr:uid="{00000000-0005-0000-0000-0000F1200000}"/>
    <cellStyle name="Note 2 3 2 2 2 2" xfId="7465" xr:uid="{00000000-0005-0000-0000-0000F2200000}"/>
    <cellStyle name="Note 2 3 2 2 2 2 2" xfId="15915" xr:uid="{0A885D48-D8BD-46D6-8FAA-C819F5961BA0}"/>
    <cellStyle name="Note 2 3 2 2 2 2 3" xfId="24362" xr:uid="{3B7F07F9-C58F-46D0-B577-19BFD2E2C4B9}"/>
    <cellStyle name="Note 2 3 2 2 2 2 4" xfId="32809" xr:uid="{9677A758-0786-4B89-A685-6B2921337D6D}"/>
    <cellStyle name="Note 2 3 2 2 2 3" xfId="11697" xr:uid="{6F499C19-D114-4CE6-8554-244A8834E0A0}"/>
    <cellStyle name="Note 2 3 2 2 2 4" xfId="20145" xr:uid="{BE66FEC8-D1D4-4C99-ACBC-58B17F60D2F4}"/>
    <cellStyle name="Note 2 3 2 2 2 5" xfId="28592" xr:uid="{6633AE96-D107-4423-AE87-113941400E06}"/>
    <cellStyle name="Note 2 3 2 2 3" xfId="5320" xr:uid="{00000000-0005-0000-0000-0000F3200000}"/>
    <cellStyle name="Note 2 3 2 2 3 2" xfId="13770" xr:uid="{0DF127B7-2792-4084-8210-1EA58E02EE16}"/>
    <cellStyle name="Note 2 3 2 2 3 3" xfId="22217" xr:uid="{C9690AAC-24EB-4270-9EF0-9BE75D2C7CEF}"/>
    <cellStyle name="Note 2 3 2 2 3 4" xfId="30664" xr:uid="{9EA7B061-4CB7-4A09-A013-5590A4D22F8F}"/>
    <cellStyle name="Note 2 3 2 2 4" xfId="9552" xr:uid="{05A232ED-6EBA-4F92-A80E-E121D89E4E9D}"/>
    <cellStyle name="Note 2 3 2 2 5" xfId="18000" xr:uid="{F1A8610D-B146-4FAB-93E2-BC59D8A79560}"/>
    <cellStyle name="Note 2 3 2 2 6" xfId="26447" xr:uid="{0F1B1E0F-8BAD-4C07-891A-0E0CEB830B01}"/>
    <cellStyle name="Note 2 3 2 3" xfId="1426" xr:uid="{00000000-0005-0000-0000-0000F4200000}"/>
    <cellStyle name="Note 2 3 2 3 2" xfId="3656" xr:uid="{00000000-0005-0000-0000-0000F5200000}"/>
    <cellStyle name="Note 2 3 2 3 2 2" xfId="7878" xr:uid="{00000000-0005-0000-0000-0000F6200000}"/>
    <cellStyle name="Note 2 3 2 3 2 2 2" xfId="16328" xr:uid="{9ED42568-E3DE-4797-8FC0-25F4EB2DF412}"/>
    <cellStyle name="Note 2 3 2 3 2 2 3" xfId="24775" xr:uid="{6C8BA6E2-73DF-456D-B860-9A458302C000}"/>
    <cellStyle name="Note 2 3 2 3 2 2 4" xfId="33222" xr:uid="{9BE658AF-5F39-4356-ABAB-195D4B453814}"/>
    <cellStyle name="Note 2 3 2 3 2 3" xfId="12110" xr:uid="{0D0A3D82-E412-46AF-B7B3-FBB59CB17D6C}"/>
    <cellStyle name="Note 2 3 2 3 2 4" xfId="20558" xr:uid="{16A1BC13-898F-4D7E-8D7D-669A6067FEAD}"/>
    <cellStyle name="Note 2 3 2 3 2 5" xfId="29005" xr:uid="{2A6EB4BC-82EA-41CC-A275-8E979F3EC2FA}"/>
    <cellStyle name="Note 2 3 2 3 3" xfId="5733" xr:uid="{00000000-0005-0000-0000-0000F7200000}"/>
    <cellStyle name="Note 2 3 2 3 3 2" xfId="14183" xr:uid="{D2ECC242-B737-41B8-87CC-DF4362AE85BA}"/>
    <cellStyle name="Note 2 3 2 3 3 3" xfId="22630" xr:uid="{E6955A06-84E9-4279-818B-73CA4BD1104B}"/>
    <cellStyle name="Note 2 3 2 3 3 4" xfId="31077" xr:uid="{554012FE-4EBD-4C92-B340-E2C697B61E46}"/>
    <cellStyle name="Note 2 3 2 3 4" xfId="9965" xr:uid="{829706DF-2A65-4819-A194-C7D531950564}"/>
    <cellStyle name="Note 2 3 2 3 5" xfId="18413" xr:uid="{AC35C57B-B5AD-497B-B348-BBF658CA1408}"/>
    <cellStyle name="Note 2 3 2 3 6" xfId="26860" xr:uid="{FD2FD53B-0172-46CB-8276-073C3B3D23CD}"/>
    <cellStyle name="Note 2 3 2 4" xfId="1840" xr:uid="{00000000-0005-0000-0000-0000F8200000}"/>
    <cellStyle name="Note 2 3 2 4 2" xfId="4069" xr:uid="{00000000-0005-0000-0000-0000F9200000}"/>
    <cellStyle name="Note 2 3 2 4 2 2" xfId="8291" xr:uid="{00000000-0005-0000-0000-0000FA200000}"/>
    <cellStyle name="Note 2 3 2 4 2 2 2" xfId="16741" xr:uid="{9677F7E0-B090-4A99-AD85-A3559B957FA1}"/>
    <cellStyle name="Note 2 3 2 4 2 2 3" xfId="25188" xr:uid="{370AF9D9-73F3-47DA-B63C-BFB8126FF5F9}"/>
    <cellStyle name="Note 2 3 2 4 2 2 4" xfId="33635" xr:uid="{5C956E45-FBAC-474A-9094-90456EC1D96F}"/>
    <cellStyle name="Note 2 3 2 4 2 3" xfId="12523" xr:uid="{25C61919-7FBB-4A7A-B90A-FC4CDE486C3C}"/>
    <cellStyle name="Note 2 3 2 4 2 4" xfId="20971" xr:uid="{3E90C2A6-BE08-4FC2-BCB9-1849B268B098}"/>
    <cellStyle name="Note 2 3 2 4 2 5" xfId="29418" xr:uid="{2CE95F11-ABDB-4BB6-94EA-7AA7A369329C}"/>
    <cellStyle name="Note 2 3 2 4 3" xfId="6146" xr:uid="{00000000-0005-0000-0000-0000FB200000}"/>
    <cellStyle name="Note 2 3 2 4 3 2" xfId="14596" xr:uid="{1DF3309D-93EF-4181-9FDC-AF758DB0D396}"/>
    <cellStyle name="Note 2 3 2 4 3 3" xfId="23043" xr:uid="{2C08335D-85ED-49BC-9206-56A66C6C20CF}"/>
    <cellStyle name="Note 2 3 2 4 3 4" xfId="31490" xr:uid="{A37BD6AD-2ED6-49BC-9C21-970A236767A7}"/>
    <cellStyle name="Note 2 3 2 4 4" xfId="10378" xr:uid="{F95D629B-A87A-495F-839E-76FB4E89FE20}"/>
    <cellStyle name="Note 2 3 2 4 5" xfId="18826" xr:uid="{47E51EDA-7D34-452D-8E43-CF7F1082C784}"/>
    <cellStyle name="Note 2 3 2 4 6" xfId="27273" xr:uid="{70BD72F2-FB8A-4C52-BD8F-9BFFBF0A6F1C}"/>
    <cellStyle name="Note 2 3 2 5" xfId="2253" xr:uid="{00000000-0005-0000-0000-0000FC200000}"/>
    <cellStyle name="Note 2 3 2 5 2" xfId="4482" xr:uid="{00000000-0005-0000-0000-0000FD200000}"/>
    <cellStyle name="Note 2 3 2 5 2 2" xfId="8704" xr:uid="{00000000-0005-0000-0000-0000FE200000}"/>
    <cellStyle name="Note 2 3 2 5 2 2 2" xfId="17154" xr:uid="{B41656A9-3A22-4ED9-A063-806F9574A153}"/>
    <cellStyle name="Note 2 3 2 5 2 2 3" xfId="25601" xr:uid="{9B75287F-3F41-4422-8212-0F03909DCB81}"/>
    <cellStyle name="Note 2 3 2 5 2 2 4" xfId="34048" xr:uid="{2E8DA221-5D4B-4023-B591-B9D3DB4DF3AB}"/>
    <cellStyle name="Note 2 3 2 5 2 3" xfId="12936" xr:uid="{13BDB47D-B3DF-49FF-BA50-0333BDA9113E}"/>
    <cellStyle name="Note 2 3 2 5 2 4" xfId="21384" xr:uid="{B33A3278-5529-47DA-A224-99498C1B26FC}"/>
    <cellStyle name="Note 2 3 2 5 2 5" xfId="29831" xr:uid="{4D8A3C6F-90A4-47BC-B9E5-112884572D09}"/>
    <cellStyle name="Note 2 3 2 5 3" xfId="6559" xr:uid="{00000000-0005-0000-0000-0000FF200000}"/>
    <cellStyle name="Note 2 3 2 5 3 2" xfId="15009" xr:uid="{7EF31E54-8A5E-47C3-977B-5D7334F276D2}"/>
    <cellStyle name="Note 2 3 2 5 3 3" xfId="23456" xr:uid="{76AB0D8F-2E47-4314-9A53-CB429F67AF7D}"/>
    <cellStyle name="Note 2 3 2 5 3 4" xfId="31903" xr:uid="{607F0037-C41D-4BD3-84D8-3FD5E7471C94}"/>
    <cellStyle name="Note 2 3 2 5 4" xfId="10791" xr:uid="{9E0D0815-F8A9-4202-A6B0-7B48D33103FD}"/>
    <cellStyle name="Note 2 3 2 5 5" xfId="19239" xr:uid="{C0922450-50B6-4108-ABA3-431B608A391C}"/>
    <cellStyle name="Note 2 3 2 5 6" xfId="27686" xr:uid="{7E3204D7-BDA5-46C1-A6CA-E968F8637E20}"/>
    <cellStyle name="Note 2 3 2 6" xfId="2689" xr:uid="{00000000-0005-0000-0000-000000210000}"/>
    <cellStyle name="Note 2 3 2 6 2" xfId="6972" xr:uid="{00000000-0005-0000-0000-000001210000}"/>
    <cellStyle name="Note 2 3 2 6 2 2" xfId="15422" xr:uid="{7FD7145E-5B1D-4E31-BCDB-AEA9993D1CBA}"/>
    <cellStyle name="Note 2 3 2 6 2 3" xfId="23869" xr:uid="{430D6A65-66D8-46CB-BD95-DB9CA7CC7EF1}"/>
    <cellStyle name="Note 2 3 2 6 2 4" xfId="32316" xr:uid="{AA10AFB1-7F69-4C7B-AD61-700A573B111C}"/>
    <cellStyle name="Note 2 3 2 6 3" xfId="11204" xr:uid="{E1B4D862-E404-4FF6-9D2E-151D3B07CC2C}"/>
    <cellStyle name="Note 2 3 2 6 4" xfId="19652" xr:uid="{22B062D3-FC28-4C02-A2E9-9489E5130831}"/>
    <cellStyle name="Note 2 3 2 6 5" xfId="28099" xr:uid="{CF69E49B-82E2-48E3-A706-C87D7B63586A}"/>
    <cellStyle name="Note 2 3 2 7" xfId="2748" xr:uid="{00000000-0005-0000-0000-000002210000}"/>
    <cellStyle name="Note 2 3 2 8" xfId="2829" xr:uid="{00000000-0005-0000-0000-000003210000}"/>
    <cellStyle name="Note 2 3 2 8 2" xfId="7052" xr:uid="{00000000-0005-0000-0000-000004210000}"/>
    <cellStyle name="Note 2 3 2 8 2 2" xfId="15502" xr:uid="{4221216C-475E-4725-988F-460FBAA25901}"/>
    <cellStyle name="Note 2 3 2 8 2 3" xfId="23949" xr:uid="{58448B78-0163-4C28-A3FF-8101E57C2DC4}"/>
    <cellStyle name="Note 2 3 2 8 2 4" xfId="32396" xr:uid="{4796CDB6-AC9C-4FA3-9803-5DFBB9C716DA}"/>
    <cellStyle name="Note 2 3 2 8 3" xfId="11284" xr:uid="{6907FF33-4179-434C-AACC-BC7EB7A4FCAE}"/>
    <cellStyle name="Note 2 3 2 8 4" xfId="19732" xr:uid="{B6D126BE-AA95-4683-A2BD-91E00C2C5A43}"/>
    <cellStyle name="Note 2 3 2 8 5" xfId="28179" xr:uid="{817D89F6-9C6B-44E6-85C9-5B663BC2129F}"/>
    <cellStyle name="Note 2 3 2 9" xfId="4907" xr:uid="{00000000-0005-0000-0000-000005210000}"/>
    <cellStyle name="Note 2 3 2 9 2" xfId="13357" xr:uid="{0B03C0F6-2815-4ED3-9AEF-D6695E63131A}"/>
    <cellStyle name="Note 2 3 2 9 3" xfId="21804" xr:uid="{2A592B9E-083A-4061-9FE7-7C013E4D4E64}"/>
    <cellStyle name="Note 2 3 2 9 4" xfId="30251" xr:uid="{81627620-481C-4591-A074-3DA17EDB0657}"/>
    <cellStyle name="Note 2 3 3" xfId="1010" xr:uid="{00000000-0005-0000-0000-000006210000}"/>
    <cellStyle name="Note 2 3 3 2" xfId="3242" xr:uid="{00000000-0005-0000-0000-000007210000}"/>
    <cellStyle name="Note 2 3 3 2 2" xfId="7464" xr:uid="{00000000-0005-0000-0000-000008210000}"/>
    <cellStyle name="Note 2 3 3 2 2 2" xfId="15914" xr:uid="{D0A24A5E-6D0B-4890-BCBD-2C055E593ED1}"/>
    <cellStyle name="Note 2 3 3 2 2 3" xfId="24361" xr:uid="{E7E25E86-D1A7-4C4D-BE33-1211EE7508C9}"/>
    <cellStyle name="Note 2 3 3 2 2 4" xfId="32808" xr:uid="{0027379B-F50E-4419-A098-E1B33E81CD8E}"/>
    <cellStyle name="Note 2 3 3 2 3" xfId="11696" xr:uid="{6B6C43C3-491A-4359-BBAE-D878DA03DECC}"/>
    <cellStyle name="Note 2 3 3 2 4" xfId="20144" xr:uid="{105012CC-D441-4B1D-96A9-A73887A74449}"/>
    <cellStyle name="Note 2 3 3 2 5" xfId="28591" xr:uid="{9CA67881-4DBE-45AF-AC6D-B51EBFE98651}"/>
    <cellStyle name="Note 2 3 3 3" xfId="5319" xr:uid="{00000000-0005-0000-0000-000009210000}"/>
    <cellStyle name="Note 2 3 3 3 2" xfId="13769" xr:uid="{60DE9522-F8AE-48C9-AEC7-33506C794E33}"/>
    <cellStyle name="Note 2 3 3 3 3" xfId="22216" xr:uid="{0D6DD14B-EC88-4A32-B61C-AB79C60977D4}"/>
    <cellStyle name="Note 2 3 3 3 4" xfId="30663" xr:uid="{E3C0BC10-37FC-4B01-A322-46B486319B7F}"/>
    <cellStyle name="Note 2 3 3 4" xfId="9551" xr:uid="{8BBFC035-8D60-4091-BCAC-60E73CA69414}"/>
    <cellStyle name="Note 2 3 3 5" xfId="17999" xr:uid="{352DD909-2B62-47FA-97C9-F82D5DFC8860}"/>
    <cellStyle name="Note 2 3 3 6" xfId="26446" xr:uid="{E8D02181-6284-4F2F-9BE3-55FAC9B7B90C}"/>
    <cellStyle name="Note 2 3 4" xfId="1425" xr:uid="{00000000-0005-0000-0000-00000A210000}"/>
    <cellStyle name="Note 2 3 4 2" xfId="3655" xr:uid="{00000000-0005-0000-0000-00000B210000}"/>
    <cellStyle name="Note 2 3 4 2 2" xfId="7877" xr:uid="{00000000-0005-0000-0000-00000C210000}"/>
    <cellStyle name="Note 2 3 4 2 2 2" xfId="16327" xr:uid="{206C1B75-991C-41A9-92E7-8C07A412CBCD}"/>
    <cellStyle name="Note 2 3 4 2 2 3" xfId="24774" xr:uid="{218370F8-2D03-47E5-864F-CA89694C8942}"/>
    <cellStyle name="Note 2 3 4 2 2 4" xfId="33221" xr:uid="{AE197F33-7F14-40AE-8204-034A6B8DD5D2}"/>
    <cellStyle name="Note 2 3 4 2 3" xfId="12109" xr:uid="{8B264CC8-8375-40AC-A6DA-A010B6B6D773}"/>
    <cellStyle name="Note 2 3 4 2 4" xfId="20557" xr:uid="{E909B09F-B996-45C3-8E8D-8B9DDF331186}"/>
    <cellStyle name="Note 2 3 4 2 5" xfId="29004" xr:uid="{3B9CE05C-6CE0-411C-89B7-2EC8A4510132}"/>
    <cellStyle name="Note 2 3 4 3" xfId="5732" xr:uid="{00000000-0005-0000-0000-00000D210000}"/>
    <cellStyle name="Note 2 3 4 3 2" xfId="14182" xr:uid="{6D97E16E-7629-486E-894E-E8C9D30B604A}"/>
    <cellStyle name="Note 2 3 4 3 3" xfId="22629" xr:uid="{3A606822-928B-4D72-A381-CCA05D3D6421}"/>
    <cellStyle name="Note 2 3 4 3 4" xfId="31076" xr:uid="{CC99C0AC-0C64-4101-BBB4-E518E2138F85}"/>
    <cellStyle name="Note 2 3 4 4" xfId="9964" xr:uid="{3FCF03D8-8078-453B-9DCC-0363F570CDC5}"/>
    <cellStyle name="Note 2 3 4 5" xfId="18412" xr:uid="{CBC85637-DBDE-4CA2-8839-09EE15DFAE70}"/>
    <cellStyle name="Note 2 3 4 6" xfId="26859" xr:uid="{A6CC6963-4341-4DB2-B0D0-44669612AA67}"/>
    <cellStyle name="Note 2 3 5" xfId="1839" xr:uid="{00000000-0005-0000-0000-00000E210000}"/>
    <cellStyle name="Note 2 3 5 2" xfId="4068" xr:uid="{00000000-0005-0000-0000-00000F210000}"/>
    <cellStyle name="Note 2 3 5 2 2" xfId="8290" xr:uid="{00000000-0005-0000-0000-000010210000}"/>
    <cellStyle name="Note 2 3 5 2 2 2" xfId="16740" xr:uid="{E2970CDA-184F-4787-99E7-0B5DAE039759}"/>
    <cellStyle name="Note 2 3 5 2 2 3" xfId="25187" xr:uid="{A555F3B6-D84A-4DF4-9A86-EE382BCC30D1}"/>
    <cellStyle name="Note 2 3 5 2 2 4" xfId="33634" xr:uid="{2F51EABE-939C-400A-BE93-AA2255AAB416}"/>
    <cellStyle name="Note 2 3 5 2 3" xfId="12522" xr:uid="{42C95143-C06E-4AC9-B896-A882D87CFF5C}"/>
    <cellStyle name="Note 2 3 5 2 4" xfId="20970" xr:uid="{6D8B0C58-803B-49D8-BEEE-08BD9B159202}"/>
    <cellStyle name="Note 2 3 5 2 5" xfId="29417" xr:uid="{8A6F1094-FF47-46CD-9520-074564BF042E}"/>
    <cellStyle name="Note 2 3 5 3" xfId="6145" xr:uid="{00000000-0005-0000-0000-000011210000}"/>
    <cellStyle name="Note 2 3 5 3 2" xfId="14595" xr:uid="{DDCA6BDC-078F-48A8-91AD-7EB6645AF7A4}"/>
    <cellStyle name="Note 2 3 5 3 3" xfId="23042" xr:uid="{417F49D5-3760-45FB-9516-6CD180175CF5}"/>
    <cellStyle name="Note 2 3 5 3 4" xfId="31489" xr:uid="{6EE45381-9C5E-43B1-AB7F-BCE652449D78}"/>
    <cellStyle name="Note 2 3 5 4" xfId="10377" xr:uid="{28ADBD26-A8C6-47E6-B04B-5EFE095867E7}"/>
    <cellStyle name="Note 2 3 5 5" xfId="18825" xr:uid="{F6C1BFB1-25B9-452F-B8AC-0F27CD04076C}"/>
    <cellStyle name="Note 2 3 5 6" xfId="27272" xr:uid="{51ECEA7B-734B-4A41-9918-69505734F784}"/>
    <cellStyle name="Note 2 3 6" xfId="2252" xr:uid="{00000000-0005-0000-0000-000012210000}"/>
    <cellStyle name="Note 2 3 6 2" xfId="4481" xr:uid="{00000000-0005-0000-0000-000013210000}"/>
    <cellStyle name="Note 2 3 6 2 2" xfId="8703" xr:uid="{00000000-0005-0000-0000-000014210000}"/>
    <cellStyle name="Note 2 3 6 2 2 2" xfId="17153" xr:uid="{D267966E-6169-49D2-9C05-3617BD3054E1}"/>
    <cellStyle name="Note 2 3 6 2 2 3" xfId="25600" xr:uid="{03274E67-CC0D-4572-A65A-1DDA555DA05C}"/>
    <cellStyle name="Note 2 3 6 2 2 4" xfId="34047" xr:uid="{D45EC696-6542-4740-BC15-91004330493B}"/>
    <cellStyle name="Note 2 3 6 2 3" xfId="12935" xr:uid="{FFB5B315-01AC-4F9F-9AC6-462372FD1033}"/>
    <cellStyle name="Note 2 3 6 2 4" xfId="21383" xr:uid="{DB61434C-8BBB-4812-ABCB-11047300902D}"/>
    <cellStyle name="Note 2 3 6 2 5" xfId="29830" xr:uid="{6C446F16-C898-446D-BE99-85A3F254590A}"/>
    <cellStyle name="Note 2 3 6 3" xfId="6558" xr:uid="{00000000-0005-0000-0000-000015210000}"/>
    <cellStyle name="Note 2 3 6 3 2" xfId="15008" xr:uid="{BF283B8E-260C-46C4-86D8-E141CFA5951C}"/>
    <cellStyle name="Note 2 3 6 3 3" xfId="23455" xr:uid="{FE08DB2D-51DB-4373-B2E1-E47B864ADDE6}"/>
    <cellStyle name="Note 2 3 6 3 4" xfId="31902" xr:uid="{69A85BA9-C907-4B59-A310-0B6088CC2D32}"/>
    <cellStyle name="Note 2 3 6 4" xfId="10790" xr:uid="{12EDB49C-D557-47A8-AB6B-CA2FD6A2A4AA}"/>
    <cellStyle name="Note 2 3 6 5" xfId="19238" xr:uid="{2AD02A1E-40CD-466E-B4E8-EB86D43692D6}"/>
    <cellStyle name="Note 2 3 6 6" xfId="27685" xr:uid="{517DE1BE-68FF-4770-B877-97E5B3258484}"/>
    <cellStyle name="Note 2 3 7" xfId="2688" xr:uid="{00000000-0005-0000-0000-000016210000}"/>
    <cellStyle name="Note 2 3 7 2" xfId="6971" xr:uid="{00000000-0005-0000-0000-000017210000}"/>
    <cellStyle name="Note 2 3 7 2 2" xfId="15421" xr:uid="{F13870EE-8AB0-4730-A949-66539C6A9DFC}"/>
    <cellStyle name="Note 2 3 7 2 3" xfId="23868" xr:uid="{B458E184-F337-455E-81A3-842656E1FA8D}"/>
    <cellStyle name="Note 2 3 7 2 4" xfId="32315" xr:uid="{7DC136D6-440E-4503-98CB-340A96AF6104}"/>
    <cellStyle name="Note 2 3 7 3" xfId="11203" xr:uid="{A4EAC01E-22B1-4F16-AB21-6281864CFEB7}"/>
    <cellStyle name="Note 2 3 7 4" xfId="19651" xr:uid="{2E38F682-6D85-43EF-A3D0-4E34C644914C}"/>
    <cellStyle name="Note 2 3 7 5" xfId="28098" xr:uid="{0DF287F9-A9A8-4DC7-9C57-846E52EC48F6}"/>
    <cellStyle name="Note 2 3 8" xfId="2747" xr:uid="{00000000-0005-0000-0000-000018210000}"/>
    <cellStyle name="Note 2 3 9" xfId="2828" xr:uid="{00000000-0005-0000-0000-000019210000}"/>
    <cellStyle name="Note 2 3 9 2" xfId="7051" xr:uid="{00000000-0005-0000-0000-00001A210000}"/>
    <cellStyle name="Note 2 3 9 2 2" xfId="15501" xr:uid="{CA418A6F-F123-4F79-879E-AACEBB92E446}"/>
    <cellStyle name="Note 2 3 9 2 3" xfId="23948" xr:uid="{9FF986DF-6441-4C14-BF1C-03B240D55AC6}"/>
    <cellStyle name="Note 2 3 9 2 4" xfId="32395" xr:uid="{97847C08-146F-4267-866F-0AB558DEACAA}"/>
    <cellStyle name="Note 2 3 9 3" xfId="11283" xr:uid="{FCE30E90-7544-4EBB-B8A2-DDF4FBE10803}"/>
    <cellStyle name="Note 2 3 9 4" xfId="19731" xr:uid="{8B36FD75-0594-4B07-8ED4-6631294371D5}"/>
    <cellStyle name="Note 2 3 9 5" xfId="28178" xr:uid="{32D3691C-831E-43ED-B76F-390CC7F2369C}"/>
    <cellStyle name="Note 2 4" xfId="551" xr:uid="{00000000-0005-0000-0000-00001B210000}"/>
    <cellStyle name="Note 2 4 10" xfId="9140" xr:uid="{C68EF3B0-A551-4B78-917E-FC5844675700}"/>
    <cellStyle name="Note 2 4 11" xfId="17588" xr:uid="{08945F18-9BD2-4BEF-9D0C-280511FFB16D}"/>
    <cellStyle name="Note 2 4 12" xfId="26035" xr:uid="{CFC7554B-A374-430F-AA9E-9472AA834965}"/>
    <cellStyle name="Note 2 4 2" xfId="1012" xr:uid="{00000000-0005-0000-0000-00001C210000}"/>
    <cellStyle name="Note 2 4 2 2" xfId="3244" xr:uid="{00000000-0005-0000-0000-00001D210000}"/>
    <cellStyle name="Note 2 4 2 2 2" xfId="7466" xr:uid="{00000000-0005-0000-0000-00001E210000}"/>
    <cellStyle name="Note 2 4 2 2 2 2" xfId="15916" xr:uid="{76A82A31-FDD7-493C-9D82-733EF7FB44AC}"/>
    <cellStyle name="Note 2 4 2 2 2 3" xfId="24363" xr:uid="{E880D541-6BDE-4BA8-8684-4EBD1CB6333E}"/>
    <cellStyle name="Note 2 4 2 2 2 4" xfId="32810" xr:uid="{8E45694F-F403-4981-9698-4A67B5C19873}"/>
    <cellStyle name="Note 2 4 2 2 3" xfId="11698" xr:uid="{4C061793-A06C-4844-8799-FAE8BD753635}"/>
    <cellStyle name="Note 2 4 2 2 4" xfId="20146" xr:uid="{5536CE43-0148-4C40-AA99-1EBD8C8F8FFE}"/>
    <cellStyle name="Note 2 4 2 2 5" xfId="28593" xr:uid="{291E1B70-187B-4A00-A5F7-51041DB7DA54}"/>
    <cellStyle name="Note 2 4 2 3" xfId="5321" xr:uid="{00000000-0005-0000-0000-00001F210000}"/>
    <cellStyle name="Note 2 4 2 3 2" xfId="13771" xr:uid="{A29D70E0-8B04-4A63-B9EE-21ECD8F51887}"/>
    <cellStyle name="Note 2 4 2 3 3" xfId="22218" xr:uid="{13ABFCB7-D26E-4B86-BE3C-C00DA8214DFE}"/>
    <cellStyle name="Note 2 4 2 3 4" xfId="30665" xr:uid="{8FA352AF-6631-4FD0-A1F8-988B70DF9659}"/>
    <cellStyle name="Note 2 4 2 4" xfId="9553" xr:uid="{3F7C8222-A7A3-443E-A7C6-E88A58F3ABD0}"/>
    <cellStyle name="Note 2 4 2 5" xfId="18001" xr:uid="{11A41E7B-FA5B-4CE0-A4DC-B65F649E7A64}"/>
    <cellStyle name="Note 2 4 2 6" xfId="26448" xr:uid="{8740B898-3ACC-45B7-AFAA-5085FFA2FF16}"/>
    <cellStyle name="Note 2 4 3" xfId="1427" xr:uid="{00000000-0005-0000-0000-000020210000}"/>
    <cellStyle name="Note 2 4 3 2" xfId="3657" xr:uid="{00000000-0005-0000-0000-000021210000}"/>
    <cellStyle name="Note 2 4 3 2 2" xfId="7879" xr:uid="{00000000-0005-0000-0000-000022210000}"/>
    <cellStyle name="Note 2 4 3 2 2 2" xfId="16329" xr:uid="{A4B6BD7B-B943-425D-9A95-D44285FDD9FA}"/>
    <cellStyle name="Note 2 4 3 2 2 3" xfId="24776" xr:uid="{19717CA4-9C9E-4E8F-9B0D-41197F96F426}"/>
    <cellStyle name="Note 2 4 3 2 2 4" xfId="33223" xr:uid="{B62FF26C-14AC-490B-BD7A-AE4CE411A874}"/>
    <cellStyle name="Note 2 4 3 2 3" xfId="12111" xr:uid="{CA26D6FA-5A04-4FC2-8578-009E7CB3CEC9}"/>
    <cellStyle name="Note 2 4 3 2 4" xfId="20559" xr:uid="{3DCCAB94-1D1D-4C72-8EFD-E93A3FABB20B}"/>
    <cellStyle name="Note 2 4 3 2 5" xfId="29006" xr:uid="{867C7536-0D33-41AB-B9A3-482173BBE9FE}"/>
    <cellStyle name="Note 2 4 3 3" xfId="5734" xr:uid="{00000000-0005-0000-0000-000023210000}"/>
    <cellStyle name="Note 2 4 3 3 2" xfId="14184" xr:uid="{D8777695-5174-4B32-9EE7-F03BCCA4E792}"/>
    <cellStyle name="Note 2 4 3 3 3" xfId="22631" xr:uid="{33E334CF-ED4F-4FBF-97FF-DA25B0582D6E}"/>
    <cellStyle name="Note 2 4 3 3 4" xfId="31078" xr:uid="{FF51DB19-E3FD-4CCD-B84D-8BF9B47D4656}"/>
    <cellStyle name="Note 2 4 3 4" xfId="9966" xr:uid="{E127EED2-5B70-4A8A-83E5-68863A3685C5}"/>
    <cellStyle name="Note 2 4 3 5" xfId="18414" xr:uid="{B3ACFB4D-1B7C-49E9-9D90-43C9B026FAAB}"/>
    <cellStyle name="Note 2 4 3 6" xfId="26861" xr:uid="{D0C54F79-2822-48D8-93B3-D08D32BB3B40}"/>
    <cellStyle name="Note 2 4 4" xfId="1841" xr:uid="{00000000-0005-0000-0000-000024210000}"/>
    <cellStyle name="Note 2 4 4 2" xfId="4070" xr:uid="{00000000-0005-0000-0000-000025210000}"/>
    <cellStyle name="Note 2 4 4 2 2" xfId="8292" xr:uid="{00000000-0005-0000-0000-000026210000}"/>
    <cellStyle name="Note 2 4 4 2 2 2" xfId="16742" xr:uid="{8F6E200B-E440-4738-BA32-961D91479503}"/>
    <cellStyle name="Note 2 4 4 2 2 3" xfId="25189" xr:uid="{605CD8F7-820F-4E3C-8079-472C442163B6}"/>
    <cellStyle name="Note 2 4 4 2 2 4" xfId="33636" xr:uid="{49373C8C-7B36-408B-A24B-D5C3B85A26FD}"/>
    <cellStyle name="Note 2 4 4 2 3" xfId="12524" xr:uid="{07AE9CAE-14D6-4A2D-94F6-E13C78B20F99}"/>
    <cellStyle name="Note 2 4 4 2 4" xfId="20972" xr:uid="{7CB2DF13-2CC7-4D0B-9509-82D4C87AD323}"/>
    <cellStyle name="Note 2 4 4 2 5" xfId="29419" xr:uid="{7A38DCDD-BF89-43FC-AB53-5FC40826AC97}"/>
    <cellStyle name="Note 2 4 4 3" xfId="6147" xr:uid="{00000000-0005-0000-0000-000027210000}"/>
    <cellStyle name="Note 2 4 4 3 2" xfId="14597" xr:uid="{7CBF5267-7602-4BA8-9D15-0B55F0CA0502}"/>
    <cellStyle name="Note 2 4 4 3 3" xfId="23044" xr:uid="{C60A0A09-16B3-4F2D-9BA3-DBAEF5F510E5}"/>
    <cellStyle name="Note 2 4 4 3 4" xfId="31491" xr:uid="{8844D4CF-F4E9-43A1-A8C9-39AC08DEC879}"/>
    <cellStyle name="Note 2 4 4 4" xfId="10379" xr:uid="{68CD28B8-B882-4DBF-A5F1-852B55C6E834}"/>
    <cellStyle name="Note 2 4 4 5" xfId="18827" xr:uid="{DE2B2AD4-A5D0-4070-96D4-EB573C57A7E7}"/>
    <cellStyle name="Note 2 4 4 6" xfId="27274" xr:uid="{FC3472B4-B8B1-4057-9C96-8C21794937E8}"/>
    <cellStyle name="Note 2 4 5" xfId="2254" xr:uid="{00000000-0005-0000-0000-000028210000}"/>
    <cellStyle name="Note 2 4 5 2" xfId="4483" xr:uid="{00000000-0005-0000-0000-000029210000}"/>
    <cellStyle name="Note 2 4 5 2 2" xfId="8705" xr:uid="{00000000-0005-0000-0000-00002A210000}"/>
    <cellStyle name="Note 2 4 5 2 2 2" xfId="17155" xr:uid="{67842969-19F4-4B1B-80FC-770ECE53B53A}"/>
    <cellStyle name="Note 2 4 5 2 2 3" xfId="25602" xr:uid="{FAAD733F-7E88-451B-B6DB-DB711B5B2C1E}"/>
    <cellStyle name="Note 2 4 5 2 2 4" xfId="34049" xr:uid="{EEE580B1-0A52-4662-9FAA-3E2E833BDD84}"/>
    <cellStyle name="Note 2 4 5 2 3" xfId="12937" xr:uid="{A9D8F5E3-556B-4D85-B36D-E7F3E48CF0DE}"/>
    <cellStyle name="Note 2 4 5 2 4" xfId="21385" xr:uid="{D4EA0F06-629F-4DEE-ADC4-FF939F609301}"/>
    <cellStyle name="Note 2 4 5 2 5" xfId="29832" xr:uid="{4C4A4676-53CC-4D43-8085-DEFAB057D795}"/>
    <cellStyle name="Note 2 4 5 3" xfId="6560" xr:uid="{00000000-0005-0000-0000-00002B210000}"/>
    <cellStyle name="Note 2 4 5 3 2" xfId="15010" xr:uid="{0E2306D7-9629-49EF-AF18-6A087E4311BE}"/>
    <cellStyle name="Note 2 4 5 3 3" xfId="23457" xr:uid="{DE42D760-D04B-4661-8AE9-B72A29C31B08}"/>
    <cellStyle name="Note 2 4 5 3 4" xfId="31904" xr:uid="{5F2A009F-E061-4D24-BA51-E729C64BBFBB}"/>
    <cellStyle name="Note 2 4 5 4" xfId="10792" xr:uid="{BD8F6348-4AF1-407D-B2A2-783B8361027E}"/>
    <cellStyle name="Note 2 4 5 5" xfId="19240" xr:uid="{4A309ED7-04E1-4F74-B529-AA7C40288E0F}"/>
    <cellStyle name="Note 2 4 5 6" xfId="27687" xr:uid="{904AFF43-48D7-4165-8B64-3E5CB33E363D}"/>
    <cellStyle name="Note 2 4 6" xfId="2690" xr:uid="{00000000-0005-0000-0000-00002C210000}"/>
    <cellStyle name="Note 2 4 6 2" xfId="6973" xr:uid="{00000000-0005-0000-0000-00002D210000}"/>
    <cellStyle name="Note 2 4 6 2 2" xfId="15423" xr:uid="{26B13CBA-EA33-404E-84E1-A151208A3E34}"/>
    <cellStyle name="Note 2 4 6 2 3" xfId="23870" xr:uid="{BC809AFC-4F5A-41B3-B625-CED2DE34A570}"/>
    <cellStyle name="Note 2 4 6 2 4" xfId="32317" xr:uid="{BBCE5D97-7116-4989-9C42-858916393522}"/>
    <cellStyle name="Note 2 4 6 3" xfId="11205" xr:uid="{17401B88-3E1F-4D37-AA17-7EB4DB9BF20C}"/>
    <cellStyle name="Note 2 4 6 4" xfId="19653" xr:uid="{C97982B0-9093-4AAD-9E62-9A1DAEA591EF}"/>
    <cellStyle name="Note 2 4 6 5" xfId="28100" xr:uid="{5AE6952D-7BA0-475F-8610-0BA68F71B8C2}"/>
    <cellStyle name="Note 2 4 7" xfId="2749" xr:uid="{00000000-0005-0000-0000-00002E210000}"/>
    <cellStyle name="Note 2 4 8" xfId="2830" xr:uid="{00000000-0005-0000-0000-00002F210000}"/>
    <cellStyle name="Note 2 4 8 2" xfId="7053" xr:uid="{00000000-0005-0000-0000-000030210000}"/>
    <cellStyle name="Note 2 4 8 2 2" xfId="15503" xr:uid="{C6165FFE-D7CA-4739-9708-78E2C574626F}"/>
    <cellStyle name="Note 2 4 8 2 3" xfId="23950" xr:uid="{5AE42E6F-080E-41DF-A3D9-FEB2CD96F9B5}"/>
    <cellStyle name="Note 2 4 8 2 4" xfId="32397" xr:uid="{DDF1DD37-EF90-4FFE-874C-65053EA04151}"/>
    <cellStyle name="Note 2 4 8 3" xfId="11285" xr:uid="{638EA67A-8179-42B9-90B8-F4099E737804}"/>
    <cellStyle name="Note 2 4 8 4" xfId="19733" xr:uid="{B8BC5575-38C6-47B8-A65F-029673DCFC9F}"/>
    <cellStyle name="Note 2 4 8 5" xfId="28180" xr:uid="{31BD0154-34EA-40FB-B618-5E6B9AEF9A25}"/>
    <cellStyle name="Note 2 4 9" xfId="4908" xr:uid="{00000000-0005-0000-0000-000031210000}"/>
    <cellStyle name="Note 2 4 9 2" xfId="13358" xr:uid="{CF3ECE3E-9DDB-45DF-89CD-38E627DC8FAF}"/>
    <cellStyle name="Note 2 4 9 3" xfId="21805" xr:uid="{9C25E1EB-3274-4EF7-B3D0-5D097E3F4A0F}"/>
    <cellStyle name="Note 2 4 9 4" xfId="30252" xr:uid="{506A0284-33C9-4E51-9298-9491A753B467}"/>
    <cellStyle name="Note 2 5" xfId="552" xr:uid="{00000000-0005-0000-0000-000032210000}"/>
    <cellStyle name="Note 2 5 10" xfId="9141" xr:uid="{5BB8A694-0A8F-4203-A868-FCA597678861}"/>
    <cellStyle name="Note 2 5 11" xfId="17589" xr:uid="{D09DA8B7-E7BF-4DB8-8AF1-1937912C7FA8}"/>
    <cellStyle name="Note 2 5 12" xfId="26036" xr:uid="{6346CAE2-D212-47E6-8623-E5519515F7E3}"/>
    <cellStyle name="Note 2 5 2" xfId="1013" xr:uid="{00000000-0005-0000-0000-000033210000}"/>
    <cellStyle name="Note 2 5 2 2" xfId="3245" xr:uid="{00000000-0005-0000-0000-000034210000}"/>
    <cellStyle name="Note 2 5 2 2 2" xfId="7467" xr:uid="{00000000-0005-0000-0000-000035210000}"/>
    <cellStyle name="Note 2 5 2 2 2 2" xfId="15917" xr:uid="{3068D014-5E43-4624-A533-FEDBFE4A9AF5}"/>
    <cellStyle name="Note 2 5 2 2 2 3" xfId="24364" xr:uid="{4A7D5974-6EA7-48A6-99BC-9C1A0EB4267B}"/>
    <cellStyle name="Note 2 5 2 2 2 4" xfId="32811" xr:uid="{6176FDF8-6E89-492E-A955-23F08688CA34}"/>
    <cellStyle name="Note 2 5 2 2 3" xfId="11699" xr:uid="{75CC84F7-2CEF-4C30-82E5-1FEB57AE59E0}"/>
    <cellStyle name="Note 2 5 2 2 4" xfId="20147" xr:uid="{CFEFF3CE-59A6-4933-8A9A-0D4CCA9B8868}"/>
    <cellStyle name="Note 2 5 2 2 5" xfId="28594" xr:uid="{61B2D230-AEAC-4027-92E9-EB85859AF278}"/>
    <cellStyle name="Note 2 5 2 3" xfId="5322" xr:uid="{00000000-0005-0000-0000-000036210000}"/>
    <cellStyle name="Note 2 5 2 3 2" xfId="13772" xr:uid="{398B1E24-C532-4655-9572-2D66CB49AFAC}"/>
    <cellStyle name="Note 2 5 2 3 3" xfId="22219" xr:uid="{32F02BD2-0C5F-436C-9C83-DC7694C09AA1}"/>
    <cellStyle name="Note 2 5 2 3 4" xfId="30666" xr:uid="{45D2DB64-3DEE-4946-9BE2-D52EDA75BD40}"/>
    <cellStyle name="Note 2 5 2 4" xfId="9554" xr:uid="{DAAC98B4-C56F-4408-B1BC-C2B1147B33C6}"/>
    <cellStyle name="Note 2 5 2 5" xfId="18002" xr:uid="{46FC4861-EE20-475E-9468-7BA6A664870F}"/>
    <cellStyle name="Note 2 5 2 6" xfId="26449" xr:uid="{33F9443A-0B2C-41CF-9CA2-B3360F485BA0}"/>
    <cellStyle name="Note 2 5 3" xfId="1428" xr:uid="{00000000-0005-0000-0000-000037210000}"/>
    <cellStyle name="Note 2 5 3 2" xfId="3658" xr:uid="{00000000-0005-0000-0000-000038210000}"/>
    <cellStyle name="Note 2 5 3 2 2" xfId="7880" xr:uid="{00000000-0005-0000-0000-000039210000}"/>
    <cellStyle name="Note 2 5 3 2 2 2" xfId="16330" xr:uid="{F1D52ADE-B02E-43B5-9663-3FFA5D5E9078}"/>
    <cellStyle name="Note 2 5 3 2 2 3" xfId="24777" xr:uid="{D7AB13BA-035B-471E-94C3-C136FF01B1B5}"/>
    <cellStyle name="Note 2 5 3 2 2 4" xfId="33224" xr:uid="{54A57740-0C69-4575-BF50-22095BE090F7}"/>
    <cellStyle name="Note 2 5 3 2 3" xfId="12112" xr:uid="{BCBFF7F5-665C-4B30-A2DB-61B75088ED2B}"/>
    <cellStyle name="Note 2 5 3 2 4" xfId="20560" xr:uid="{F2C0CEDC-9B9C-4EF3-8B48-EA6FBADE0625}"/>
    <cellStyle name="Note 2 5 3 2 5" xfId="29007" xr:uid="{1232CCE8-AE0A-467D-9ABA-F92652776D80}"/>
    <cellStyle name="Note 2 5 3 3" xfId="5735" xr:uid="{00000000-0005-0000-0000-00003A210000}"/>
    <cellStyle name="Note 2 5 3 3 2" xfId="14185" xr:uid="{91128724-7C9C-4F10-BD95-2D1C0D2A4C29}"/>
    <cellStyle name="Note 2 5 3 3 3" xfId="22632" xr:uid="{A9A7FE36-D6CC-4ABD-8D2F-4E518048F42C}"/>
    <cellStyle name="Note 2 5 3 3 4" xfId="31079" xr:uid="{8EDFD44C-C629-4A84-8E05-09536A2FC0F1}"/>
    <cellStyle name="Note 2 5 3 4" xfId="9967" xr:uid="{48943F87-3948-4F40-9410-3893C178D098}"/>
    <cellStyle name="Note 2 5 3 5" xfId="18415" xr:uid="{9557AE2E-071F-4262-90CA-FF079B484EAC}"/>
    <cellStyle name="Note 2 5 3 6" xfId="26862" xr:uid="{A3762A20-B649-499B-B2A8-716CF810CC60}"/>
    <cellStyle name="Note 2 5 4" xfId="1842" xr:uid="{00000000-0005-0000-0000-00003B210000}"/>
    <cellStyle name="Note 2 5 4 2" xfId="4071" xr:uid="{00000000-0005-0000-0000-00003C210000}"/>
    <cellStyle name="Note 2 5 4 2 2" xfId="8293" xr:uid="{00000000-0005-0000-0000-00003D210000}"/>
    <cellStyle name="Note 2 5 4 2 2 2" xfId="16743" xr:uid="{AA1465D2-3FAD-46E1-8C59-AB4C03C22F23}"/>
    <cellStyle name="Note 2 5 4 2 2 3" xfId="25190" xr:uid="{2FBA3E23-558C-436B-A602-1386247655D6}"/>
    <cellStyle name="Note 2 5 4 2 2 4" xfId="33637" xr:uid="{CB30CBB1-8E80-4CD1-BAD4-AEFC39B68C31}"/>
    <cellStyle name="Note 2 5 4 2 3" xfId="12525" xr:uid="{93EAA1DD-D3BC-404F-8DDE-4B1C8EE03DE4}"/>
    <cellStyle name="Note 2 5 4 2 4" xfId="20973" xr:uid="{9DA1EDF8-686F-4231-8671-B16FF8ED3415}"/>
    <cellStyle name="Note 2 5 4 2 5" xfId="29420" xr:uid="{1EC048D8-CB01-4BBD-957C-4A9CB8A8C6CA}"/>
    <cellStyle name="Note 2 5 4 3" xfId="6148" xr:uid="{00000000-0005-0000-0000-00003E210000}"/>
    <cellStyle name="Note 2 5 4 3 2" xfId="14598" xr:uid="{C22D04BD-56BE-419F-B971-E03AD6DF3068}"/>
    <cellStyle name="Note 2 5 4 3 3" xfId="23045" xr:uid="{0271BB3B-E979-4CDE-B7D9-900C063C10F2}"/>
    <cellStyle name="Note 2 5 4 3 4" xfId="31492" xr:uid="{EE99E41B-5C32-43CB-BF19-088202451DE9}"/>
    <cellStyle name="Note 2 5 4 4" xfId="10380" xr:uid="{696A32BC-6F1A-4C1F-9CD6-FB5141881D25}"/>
    <cellStyle name="Note 2 5 4 5" xfId="18828" xr:uid="{C3BC70E4-90FE-43A5-AEA7-E44E2E674840}"/>
    <cellStyle name="Note 2 5 4 6" xfId="27275" xr:uid="{983FD6D5-B904-4D95-AD8B-BDCB0D5D1601}"/>
    <cellStyle name="Note 2 5 5" xfId="2255" xr:uid="{00000000-0005-0000-0000-00003F210000}"/>
    <cellStyle name="Note 2 5 5 2" xfId="4484" xr:uid="{00000000-0005-0000-0000-000040210000}"/>
    <cellStyle name="Note 2 5 5 2 2" xfId="8706" xr:uid="{00000000-0005-0000-0000-000041210000}"/>
    <cellStyle name="Note 2 5 5 2 2 2" xfId="17156" xr:uid="{1D9E9BE0-2684-416D-B28F-CA41B89B7F82}"/>
    <cellStyle name="Note 2 5 5 2 2 3" xfId="25603" xr:uid="{A627D2E4-C2E7-40C0-9B19-190B26000ACB}"/>
    <cellStyle name="Note 2 5 5 2 2 4" xfId="34050" xr:uid="{82963F53-BECC-46D6-ABC9-8386B297ED69}"/>
    <cellStyle name="Note 2 5 5 2 3" xfId="12938" xr:uid="{4468789B-A079-42F3-8E24-09B18FDBD257}"/>
    <cellStyle name="Note 2 5 5 2 4" xfId="21386" xr:uid="{A98FAC58-5728-4B70-B00B-B4FEF9CA64FD}"/>
    <cellStyle name="Note 2 5 5 2 5" xfId="29833" xr:uid="{6CAF21D1-BA60-43CC-A593-3BE70D769894}"/>
    <cellStyle name="Note 2 5 5 3" xfId="6561" xr:uid="{00000000-0005-0000-0000-000042210000}"/>
    <cellStyle name="Note 2 5 5 3 2" xfId="15011" xr:uid="{52BB5434-D91A-40A5-8028-EFEF50E3C544}"/>
    <cellStyle name="Note 2 5 5 3 3" xfId="23458" xr:uid="{E5E66E80-1A6C-4671-B20E-D723C33DFEB8}"/>
    <cellStyle name="Note 2 5 5 3 4" xfId="31905" xr:uid="{D527360E-B1FA-4EFC-8350-BD7B69F3950F}"/>
    <cellStyle name="Note 2 5 5 4" xfId="10793" xr:uid="{6BD4C28E-D17C-4A1B-808D-798425AA3F0A}"/>
    <cellStyle name="Note 2 5 5 5" xfId="19241" xr:uid="{718A9304-DEE7-4586-A053-8C2C679B21AB}"/>
    <cellStyle name="Note 2 5 5 6" xfId="27688" xr:uid="{A72CC3A8-2A39-4D2C-ACD0-4C2F91065FCA}"/>
    <cellStyle name="Note 2 5 6" xfId="2691" xr:uid="{00000000-0005-0000-0000-000043210000}"/>
    <cellStyle name="Note 2 5 6 2" xfId="6974" xr:uid="{00000000-0005-0000-0000-000044210000}"/>
    <cellStyle name="Note 2 5 6 2 2" xfId="15424" xr:uid="{D8B35582-00E4-443F-B012-03C0F99691FE}"/>
    <cellStyle name="Note 2 5 6 2 3" xfId="23871" xr:uid="{8A806D7A-B838-4853-8BDC-517B85D0862C}"/>
    <cellStyle name="Note 2 5 6 2 4" xfId="32318" xr:uid="{130E4940-C183-48C1-AD25-341C1B0AD3C4}"/>
    <cellStyle name="Note 2 5 6 3" xfId="11206" xr:uid="{19FB22C8-F375-4576-BCB4-DA2B810FD8C3}"/>
    <cellStyle name="Note 2 5 6 4" xfId="19654" xr:uid="{5594055E-76F7-485F-87CD-501D6FD6B7DF}"/>
    <cellStyle name="Note 2 5 6 5" xfId="28101" xr:uid="{1A5B6647-083A-4C17-9B45-7A5042F822D5}"/>
    <cellStyle name="Note 2 5 7" xfId="2750" xr:uid="{00000000-0005-0000-0000-000045210000}"/>
    <cellStyle name="Note 2 5 8" xfId="2831" xr:uid="{00000000-0005-0000-0000-000046210000}"/>
    <cellStyle name="Note 2 5 8 2" xfId="7054" xr:uid="{00000000-0005-0000-0000-000047210000}"/>
    <cellStyle name="Note 2 5 8 2 2" xfId="15504" xr:uid="{E996818E-8CD8-4919-904D-1EBDDD92CBF5}"/>
    <cellStyle name="Note 2 5 8 2 3" xfId="23951" xr:uid="{7E606165-2FEE-4E91-B950-6A506159B9DA}"/>
    <cellStyle name="Note 2 5 8 2 4" xfId="32398" xr:uid="{ACDA6EBE-1FE4-4EE9-9006-0C31343C0499}"/>
    <cellStyle name="Note 2 5 8 3" xfId="11286" xr:uid="{47E81046-84D7-45BD-A043-F017E199D187}"/>
    <cellStyle name="Note 2 5 8 4" xfId="19734" xr:uid="{ACAB8DB1-9B7D-4F3C-9415-169BFAEFDD77}"/>
    <cellStyle name="Note 2 5 8 5" xfId="28181" xr:uid="{79C51C3E-C1DD-4A9E-9DF9-3E002E60C52B}"/>
    <cellStyle name="Note 2 5 9" xfId="4909" xr:uid="{00000000-0005-0000-0000-000048210000}"/>
    <cellStyle name="Note 2 5 9 2" xfId="13359" xr:uid="{451B227E-3346-4E26-9010-DCF0E95AF586}"/>
    <cellStyle name="Note 2 5 9 3" xfId="21806" xr:uid="{1F721532-EC10-42A8-852D-8F82ACB3B88D}"/>
    <cellStyle name="Note 2 5 9 4" xfId="30253" xr:uid="{FECAA82A-FC7B-443C-AA3C-66ADBECC67CB}"/>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87E63D0C-8422-4E8E-9CD6-8E10FDD4C974}"/>
    <cellStyle name="Note 3 2 10 2 3" xfId="23952" xr:uid="{D40EC739-DF00-4A09-8826-7D65692622C9}"/>
    <cellStyle name="Note 3 2 10 2 4" xfId="32399" xr:uid="{45B14E64-DA30-4AF5-8855-79B10ECDA710}"/>
    <cellStyle name="Note 3 2 10 3" xfId="11287" xr:uid="{F3BDF865-E2CC-45FA-9990-1E8CC048C5AA}"/>
    <cellStyle name="Note 3 2 10 4" xfId="19735" xr:uid="{1B057D53-BC86-4FD1-9A29-E51DFA500D80}"/>
    <cellStyle name="Note 3 2 10 5" xfId="28182" xr:uid="{23D4CFBA-32AF-47B6-94B8-24735E0C1851}"/>
    <cellStyle name="Note 3 2 11" xfId="4910" xr:uid="{00000000-0005-0000-0000-00004D210000}"/>
    <cellStyle name="Note 3 2 11 2" xfId="13360" xr:uid="{61F06A3C-4836-4BF4-B907-D701F21911F0}"/>
    <cellStyle name="Note 3 2 11 3" xfId="21807" xr:uid="{B9978289-F151-443D-B632-047F3F4B103F}"/>
    <cellStyle name="Note 3 2 11 4" xfId="30254" xr:uid="{CFE71836-E96D-41C7-B63D-82C842B6A935}"/>
    <cellStyle name="Note 3 2 12" xfId="9142" xr:uid="{4985CE94-0495-4D85-9FBE-5789C50C4550}"/>
    <cellStyle name="Note 3 2 13" xfId="17590" xr:uid="{33605FBB-A410-4226-945E-5DBE46EC64F8}"/>
    <cellStyle name="Note 3 2 14" xfId="26037" xr:uid="{4D5286AE-5FFC-4A7E-8933-4BEBE2011ED0}"/>
    <cellStyle name="Note 3 2 2" xfId="555" xr:uid="{00000000-0005-0000-0000-00004E210000}"/>
    <cellStyle name="Note 3 2 2 10" xfId="4911" xr:uid="{00000000-0005-0000-0000-00004F210000}"/>
    <cellStyle name="Note 3 2 2 10 2" xfId="13361" xr:uid="{AB2728A7-F90A-4F51-B57D-472F48BBC35D}"/>
    <cellStyle name="Note 3 2 2 10 3" xfId="21808" xr:uid="{A5C4AC53-B7B8-4CE9-B5B6-788A875D3D84}"/>
    <cellStyle name="Note 3 2 2 10 4" xfId="30255" xr:uid="{BD3BD652-3B6C-463E-A581-9D3C384243ED}"/>
    <cellStyle name="Note 3 2 2 11" xfId="9143" xr:uid="{4323B9D2-EE8D-4B26-8D74-B91A5555AD16}"/>
    <cellStyle name="Note 3 2 2 12" xfId="17591" xr:uid="{8C567B02-8B54-49C8-9313-3CDEFBF4DCA8}"/>
    <cellStyle name="Note 3 2 2 13" xfId="26038" xr:uid="{3DC4ABF2-250A-4B71-9F97-D65910A7C67E}"/>
    <cellStyle name="Note 3 2 2 2" xfId="556" xr:uid="{00000000-0005-0000-0000-000050210000}"/>
    <cellStyle name="Note 3 2 2 2 10" xfId="9144" xr:uid="{0AF38D4D-9A23-45CE-95CE-8C00F81A4CF1}"/>
    <cellStyle name="Note 3 2 2 2 11" xfId="17592" xr:uid="{0CF38CFE-FD19-4DAD-A430-9415FF3DA125}"/>
    <cellStyle name="Note 3 2 2 2 12" xfId="26039" xr:uid="{834A5342-EFAB-4DEA-B80B-4CC9E35B5448}"/>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37454CFA-10AD-4D9A-9E78-B6A87BEF602A}"/>
    <cellStyle name="Note 3 2 2 2 2 2 2 3" xfId="24367" xr:uid="{7AE5BA5B-7849-4C42-B499-8A231620941F}"/>
    <cellStyle name="Note 3 2 2 2 2 2 2 4" xfId="32814" xr:uid="{EFEE60BB-F2C4-4597-B190-6AC6D30B454C}"/>
    <cellStyle name="Note 3 2 2 2 2 2 3" xfId="11702" xr:uid="{5B7AEF87-2312-480D-A3E1-5C26CC4C6953}"/>
    <cellStyle name="Note 3 2 2 2 2 2 4" xfId="20150" xr:uid="{157D613A-53D5-4C09-9669-99205D66DA9C}"/>
    <cellStyle name="Note 3 2 2 2 2 2 5" xfId="28597" xr:uid="{70919531-4C2A-4145-9F3B-A23C810AD89C}"/>
    <cellStyle name="Note 3 2 2 2 2 3" xfId="5325" xr:uid="{00000000-0005-0000-0000-000054210000}"/>
    <cellStyle name="Note 3 2 2 2 2 3 2" xfId="13775" xr:uid="{9215A7C6-6832-40AD-8995-DB81CE9C913F}"/>
    <cellStyle name="Note 3 2 2 2 2 3 3" xfId="22222" xr:uid="{CC93DE82-86CF-4888-80A1-572B10793FFE}"/>
    <cellStyle name="Note 3 2 2 2 2 3 4" xfId="30669" xr:uid="{DBB697FB-4EE1-47A7-AE55-7FF1CD485EF5}"/>
    <cellStyle name="Note 3 2 2 2 2 4" xfId="9557" xr:uid="{BAA45712-25AA-4AF7-A618-EFF3DF3C60CB}"/>
    <cellStyle name="Note 3 2 2 2 2 5" xfId="18005" xr:uid="{184EC70E-405B-431C-A25E-75E40DE1F1DE}"/>
    <cellStyle name="Note 3 2 2 2 2 6" xfId="26452" xr:uid="{B20587DF-4205-4B4E-ADF6-FB26AFF34464}"/>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8182152D-2A0C-41A5-9DAC-B510A01C9128}"/>
    <cellStyle name="Note 3 2 2 2 3 2 2 3" xfId="24780" xr:uid="{9763D10E-670A-42AA-8094-18291BAC5EC4}"/>
    <cellStyle name="Note 3 2 2 2 3 2 2 4" xfId="33227" xr:uid="{1394EA30-98DD-4284-A12A-73F47399877B}"/>
    <cellStyle name="Note 3 2 2 2 3 2 3" xfId="12115" xr:uid="{A54483F0-8211-473A-AAF4-11540FF889B8}"/>
    <cellStyle name="Note 3 2 2 2 3 2 4" xfId="20563" xr:uid="{8B869581-8BD0-441C-BFB3-383A790D0920}"/>
    <cellStyle name="Note 3 2 2 2 3 2 5" xfId="29010" xr:uid="{A32C5E67-4FBB-4C75-B8B6-4BA2E81EAA7C}"/>
    <cellStyle name="Note 3 2 2 2 3 3" xfId="5738" xr:uid="{00000000-0005-0000-0000-000058210000}"/>
    <cellStyle name="Note 3 2 2 2 3 3 2" xfId="14188" xr:uid="{12960B6A-1071-47FB-9942-C061FE720D74}"/>
    <cellStyle name="Note 3 2 2 2 3 3 3" xfId="22635" xr:uid="{394C3566-1E05-4FDF-956F-70FF09DF6BEB}"/>
    <cellStyle name="Note 3 2 2 2 3 3 4" xfId="31082" xr:uid="{F1622B4A-2DBC-48F1-976E-1C30198CF7E7}"/>
    <cellStyle name="Note 3 2 2 2 3 4" xfId="9970" xr:uid="{1EF1443F-44F8-49B4-A38C-12995C4D6C0E}"/>
    <cellStyle name="Note 3 2 2 2 3 5" xfId="18418" xr:uid="{8E8AEAE4-1C52-4D78-89D2-CCBD3E6E4322}"/>
    <cellStyle name="Note 3 2 2 2 3 6" xfId="26865" xr:uid="{28F8CE72-2FA5-486A-B5AF-0915138A8A42}"/>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8D693297-BA15-46BC-A656-DA88F50F7CDB}"/>
    <cellStyle name="Note 3 2 2 2 4 2 2 3" xfId="25193" xr:uid="{02B4F4BB-AB44-408F-B209-B027FD945B7A}"/>
    <cellStyle name="Note 3 2 2 2 4 2 2 4" xfId="33640" xr:uid="{69014F43-35D7-428B-A4AD-51A879BEF56A}"/>
    <cellStyle name="Note 3 2 2 2 4 2 3" xfId="12528" xr:uid="{0ECC70AD-3C5E-4299-8557-BEDFFEB6776B}"/>
    <cellStyle name="Note 3 2 2 2 4 2 4" xfId="20976" xr:uid="{E2076762-4821-4773-83E5-2DF8EB1F53D6}"/>
    <cellStyle name="Note 3 2 2 2 4 2 5" xfId="29423" xr:uid="{B3C75645-7D21-49F9-B15C-A09EA42138FD}"/>
    <cellStyle name="Note 3 2 2 2 4 3" xfId="6151" xr:uid="{00000000-0005-0000-0000-00005C210000}"/>
    <cellStyle name="Note 3 2 2 2 4 3 2" xfId="14601" xr:uid="{574A4C92-DF14-423E-8B3A-5010ABDAC823}"/>
    <cellStyle name="Note 3 2 2 2 4 3 3" xfId="23048" xr:uid="{447CA46D-34E8-4946-9319-52D5D29FAECD}"/>
    <cellStyle name="Note 3 2 2 2 4 3 4" xfId="31495" xr:uid="{9B4F9AB4-61EB-420B-A418-13B80694719E}"/>
    <cellStyle name="Note 3 2 2 2 4 4" xfId="10383" xr:uid="{C058A64C-1694-48BC-8D4E-45726EF72EE1}"/>
    <cellStyle name="Note 3 2 2 2 4 5" xfId="18831" xr:uid="{AAF6BD7C-85B4-4F58-985F-72B7EEE886E1}"/>
    <cellStyle name="Note 3 2 2 2 4 6" xfId="27278" xr:uid="{55AFBEC3-AE11-4055-86C9-522B60190B24}"/>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CEC2A11-8EEB-4AC9-945D-7FC0EEF3DC20}"/>
    <cellStyle name="Note 3 2 2 2 5 2 2 3" xfId="25606" xr:uid="{D56A569B-E1BA-47A4-AFBE-5820995BD7E7}"/>
    <cellStyle name="Note 3 2 2 2 5 2 2 4" xfId="34053" xr:uid="{B151C41D-7E34-48D1-9E38-998F56A503C9}"/>
    <cellStyle name="Note 3 2 2 2 5 2 3" xfId="12941" xr:uid="{A6D2899C-A12C-489D-A1A3-B662E94D1557}"/>
    <cellStyle name="Note 3 2 2 2 5 2 4" xfId="21389" xr:uid="{D059B3FC-816F-4489-996A-74591D2B9D5F}"/>
    <cellStyle name="Note 3 2 2 2 5 2 5" xfId="29836" xr:uid="{DE6E1DE7-58FA-4306-9D7F-6CE530B0C1BD}"/>
    <cellStyle name="Note 3 2 2 2 5 3" xfId="6564" xr:uid="{00000000-0005-0000-0000-000060210000}"/>
    <cellStyle name="Note 3 2 2 2 5 3 2" xfId="15014" xr:uid="{88310787-4D7F-4090-AC5F-17F765664597}"/>
    <cellStyle name="Note 3 2 2 2 5 3 3" xfId="23461" xr:uid="{8777C1EA-4403-4EEE-86A1-AB8A87553ED2}"/>
    <cellStyle name="Note 3 2 2 2 5 3 4" xfId="31908" xr:uid="{76A24155-6F4D-4D1E-A947-39E76B5A6FE2}"/>
    <cellStyle name="Note 3 2 2 2 5 4" xfId="10796" xr:uid="{AA5E4746-AC18-49A6-AEA3-F33B772F89D3}"/>
    <cellStyle name="Note 3 2 2 2 5 5" xfId="19244" xr:uid="{7830F2D9-9AF4-4929-B7AD-7D9E62EE2588}"/>
    <cellStyle name="Note 3 2 2 2 5 6" xfId="27691" xr:uid="{205CF3E3-48A3-4D1C-B23D-A0B5CF2235F6}"/>
    <cellStyle name="Note 3 2 2 2 6" xfId="2694" xr:uid="{00000000-0005-0000-0000-000061210000}"/>
    <cellStyle name="Note 3 2 2 2 6 2" xfId="6977" xr:uid="{00000000-0005-0000-0000-000062210000}"/>
    <cellStyle name="Note 3 2 2 2 6 2 2" xfId="15427" xr:uid="{D1B6AEB9-38A0-4F57-A380-92430514E388}"/>
    <cellStyle name="Note 3 2 2 2 6 2 3" xfId="23874" xr:uid="{9866B514-D765-4CE6-B687-6D18665E18D1}"/>
    <cellStyle name="Note 3 2 2 2 6 2 4" xfId="32321" xr:uid="{A942499B-FF05-4E0A-848E-862646D84B85}"/>
    <cellStyle name="Note 3 2 2 2 6 3" xfId="11209" xr:uid="{8C7B2A94-C4ED-4679-9CEC-5D1BC89C2247}"/>
    <cellStyle name="Note 3 2 2 2 6 4" xfId="19657" xr:uid="{2315FFBF-0282-44CF-89C9-95D8D7AF914E}"/>
    <cellStyle name="Note 3 2 2 2 6 5" xfId="28104" xr:uid="{14CD1FE3-75FA-40D8-BB1A-6F275308480A}"/>
    <cellStyle name="Note 3 2 2 2 7" xfId="2753" xr:uid="{00000000-0005-0000-0000-000063210000}"/>
    <cellStyle name="Note 3 2 2 2 8" xfId="2834" xr:uid="{00000000-0005-0000-0000-000064210000}"/>
    <cellStyle name="Note 3 2 2 2 8 2" xfId="7057" xr:uid="{00000000-0005-0000-0000-000065210000}"/>
    <cellStyle name="Note 3 2 2 2 8 2 2" xfId="15507" xr:uid="{7B7FA9BD-BA0D-48C2-949B-1DD1B0D3E0A9}"/>
    <cellStyle name="Note 3 2 2 2 8 2 3" xfId="23954" xr:uid="{39102EBE-4AE2-467E-94BB-7A89DE2F4E6D}"/>
    <cellStyle name="Note 3 2 2 2 8 2 4" xfId="32401" xr:uid="{B0DF5FDF-6B59-486F-9D13-31449A4C7290}"/>
    <cellStyle name="Note 3 2 2 2 8 3" xfId="11289" xr:uid="{F505E1A4-3767-4560-8DDA-4A6832C9FAB6}"/>
    <cellStyle name="Note 3 2 2 2 8 4" xfId="19737" xr:uid="{EF744CBF-7AC8-4643-9128-2BE38637432E}"/>
    <cellStyle name="Note 3 2 2 2 8 5" xfId="28184" xr:uid="{4E505D45-B124-4731-8B32-D815DD5D418C}"/>
    <cellStyle name="Note 3 2 2 2 9" xfId="4912" xr:uid="{00000000-0005-0000-0000-000066210000}"/>
    <cellStyle name="Note 3 2 2 2 9 2" xfId="13362" xr:uid="{B3247BE9-5DDD-4491-ADED-B5D1B007E8FE}"/>
    <cellStyle name="Note 3 2 2 2 9 3" xfId="21809" xr:uid="{492F1C82-91DC-433B-A5FE-A91E642C4BA3}"/>
    <cellStyle name="Note 3 2 2 2 9 4" xfId="30256" xr:uid="{4370346A-490F-4102-A562-A578C0277689}"/>
    <cellStyle name="Note 3 2 2 3" xfId="1015" xr:uid="{00000000-0005-0000-0000-000067210000}"/>
    <cellStyle name="Note 3 2 2 3 2" xfId="3247" xr:uid="{00000000-0005-0000-0000-000068210000}"/>
    <cellStyle name="Note 3 2 2 3 2 2" xfId="7469" xr:uid="{00000000-0005-0000-0000-000069210000}"/>
    <cellStyle name="Note 3 2 2 3 2 2 2" xfId="15919" xr:uid="{B4A23A02-F868-4593-8086-C49E854D7F81}"/>
    <cellStyle name="Note 3 2 2 3 2 2 3" xfId="24366" xr:uid="{8E59DFA0-78EB-45D0-81A5-FA2F243F8BBB}"/>
    <cellStyle name="Note 3 2 2 3 2 2 4" xfId="32813" xr:uid="{A3333E0C-7ABA-480D-9699-C6F86591B10A}"/>
    <cellStyle name="Note 3 2 2 3 2 3" xfId="11701" xr:uid="{20D15B84-0D3B-429A-8C70-3160A360B835}"/>
    <cellStyle name="Note 3 2 2 3 2 4" xfId="20149" xr:uid="{96EE44CF-B247-4945-82BA-CF7D8DD116F1}"/>
    <cellStyle name="Note 3 2 2 3 2 5" xfId="28596" xr:uid="{A7696E61-9A2B-4AFB-AE3C-8F6B1A952A54}"/>
    <cellStyle name="Note 3 2 2 3 3" xfId="5324" xr:uid="{00000000-0005-0000-0000-00006A210000}"/>
    <cellStyle name="Note 3 2 2 3 3 2" xfId="13774" xr:uid="{5EA9F5AF-BBC5-4668-9FC5-728379ADFC76}"/>
    <cellStyle name="Note 3 2 2 3 3 3" xfId="22221" xr:uid="{18FA3DC5-E3DF-4BE7-8742-A24B4AACD594}"/>
    <cellStyle name="Note 3 2 2 3 3 4" xfId="30668" xr:uid="{5DD70E29-A9D8-4B13-8EB4-136477AD11E4}"/>
    <cellStyle name="Note 3 2 2 3 4" xfId="9556" xr:uid="{E171B708-281D-4260-9605-92A4B5F2396D}"/>
    <cellStyle name="Note 3 2 2 3 5" xfId="18004" xr:uid="{30D7D5C7-76B6-4495-A097-38D3CE090DDC}"/>
    <cellStyle name="Note 3 2 2 3 6" xfId="26451" xr:uid="{63280E46-5DFC-4D47-87C9-46233FE3BA36}"/>
    <cellStyle name="Note 3 2 2 4" xfId="1430" xr:uid="{00000000-0005-0000-0000-00006B210000}"/>
    <cellStyle name="Note 3 2 2 4 2" xfId="3660" xr:uid="{00000000-0005-0000-0000-00006C210000}"/>
    <cellStyle name="Note 3 2 2 4 2 2" xfId="7882" xr:uid="{00000000-0005-0000-0000-00006D210000}"/>
    <cellStyle name="Note 3 2 2 4 2 2 2" xfId="16332" xr:uid="{4A4F9062-4332-43AA-819A-379F78D58CD3}"/>
    <cellStyle name="Note 3 2 2 4 2 2 3" xfId="24779" xr:uid="{A623ECDB-21C8-4D1B-8606-AB49CDD234F9}"/>
    <cellStyle name="Note 3 2 2 4 2 2 4" xfId="33226" xr:uid="{2D6D0DF9-C9C6-4570-B79B-D8C07E3FC50A}"/>
    <cellStyle name="Note 3 2 2 4 2 3" xfId="12114" xr:uid="{FD52D1AB-8E3E-4D8E-A1C4-D8D601991E32}"/>
    <cellStyle name="Note 3 2 2 4 2 4" xfId="20562" xr:uid="{953AC003-C7D2-4DD3-BC9C-EC730478ABE9}"/>
    <cellStyle name="Note 3 2 2 4 2 5" xfId="29009" xr:uid="{76ED14F3-EB69-42E3-BF87-262DCB6C9463}"/>
    <cellStyle name="Note 3 2 2 4 3" xfId="5737" xr:uid="{00000000-0005-0000-0000-00006E210000}"/>
    <cellStyle name="Note 3 2 2 4 3 2" xfId="14187" xr:uid="{E797624C-1CB5-4741-B27D-C93889664CBE}"/>
    <cellStyle name="Note 3 2 2 4 3 3" xfId="22634" xr:uid="{897ED0A2-B6E5-4252-96B0-03BC628BDC52}"/>
    <cellStyle name="Note 3 2 2 4 3 4" xfId="31081" xr:uid="{033AE0E0-8EB8-4F20-A8AF-210330E05A8C}"/>
    <cellStyle name="Note 3 2 2 4 4" xfId="9969" xr:uid="{3C715DB8-DDA5-4C4B-A002-9E00403F92A2}"/>
    <cellStyle name="Note 3 2 2 4 5" xfId="18417" xr:uid="{DFCA2292-44EA-457E-8A13-CA82E659C9D3}"/>
    <cellStyle name="Note 3 2 2 4 6" xfId="26864" xr:uid="{EEFC93F0-9821-41D7-A663-23D70F1F6802}"/>
    <cellStyle name="Note 3 2 2 5" xfId="1844" xr:uid="{00000000-0005-0000-0000-00006F210000}"/>
    <cellStyle name="Note 3 2 2 5 2" xfId="4073" xr:uid="{00000000-0005-0000-0000-000070210000}"/>
    <cellStyle name="Note 3 2 2 5 2 2" xfId="8295" xr:uid="{00000000-0005-0000-0000-000071210000}"/>
    <cellStyle name="Note 3 2 2 5 2 2 2" xfId="16745" xr:uid="{5157090B-D08F-429F-91BE-EB2E809E79AE}"/>
    <cellStyle name="Note 3 2 2 5 2 2 3" xfId="25192" xr:uid="{0A3E531F-1306-426C-B489-B5D6536A34E2}"/>
    <cellStyle name="Note 3 2 2 5 2 2 4" xfId="33639" xr:uid="{05743577-161F-43BA-B723-CC3BE370173B}"/>
    <cellStyle name="Note 3 2 2 5 2 3" xfId="12527" xr:uid="{947A5E66-7D45-4A8F-A2E9-EEB0877AAF84}"/>
    <cellStyle name="Note 3 2 2 5 2 4" xfId="20975" xr:uid="{F8CD7AC2-D5D4-4484-B958-78DAD9198FB1}"/>
    <cellStyle name="Note 3 2 2 5 2 5" xfId="29422" xr:uid="{95363799-39C2-4DF5-B87C-DC90FCB45CA6}"/>
    <cellStyle name="Note 3 2 2 5 3" xfId="6150" xr:uid="{00000000-0005-0000-0000-000072210000}"/>
    <cellStyle name="Note 3 2 2 5 3 2" xfId="14600" xr:uid="{7BEC4380-13A0-419C-AAE7-164942B3E850}"/>
    <cellStyle name="Note 3 2 2 5 3 3" xfId="23047" xr:uid="{CCFA48D3-27AD-44AA-9A21-8FD473A078C1}"/>
    <cellStyle name="Note 3 2 2 5 3 4" xfId="31494" xr:uid="{430D9E42-71B0-4312-9B9B-C05EFCB2C379}"/>
    <cellStyle name="Note 3 2 2 5 4" xfId="10382" xr:uid="{C1BA772E-87E6-4706-A3B8-6FCA894AE518}"/>
    <cellStyle name="Note 3 2 2 5 5" xfId="18830" xr:uid="{0D2FE247-25E0-49A9-B086-B13D12E49002}"/>
    <cellStyle name="Note 3 2 2 5 6" xfId="27277" xr:uid="{C621CD3F-160D-493B-88CE-7A2E855CBB19}"/>
    <cellStyle name="Note 3 2 2 6" xfId="2257" xr:uid="{00000000-0005-0000-0000-000073210000}"/>
    <cellStyle name="Note 3 2 2 6 2" xfId="4486" xr:uid="{00000000-0005-0000-0000-000074210000}"/>
    <cellStyle name="Note 3 2 2 6 2 2" xfId="8708" xr:uid="{00000000-0005-0000-0000-000075210000}"/>
    <cellStyle name="Note 3 2 2 6 2 2 2" xfId="17158" xr:uid="{9A16B1D0-4D24-4F21-B39E-D103A02538E9}"/>
    <cellStyle name="Note 3 2 2 6 2 2 3" xfId="25605" xr:uid="{3FF8BF3E-48A9-499A-A217-54D17A011C0C}"/>
    <cellStyle name="Note 3 2 2 6 2 2 4" xfId="34052" xr:uid="{7C9D91C5-03DE-4777-83CA-FAFB498F00AF}"/>
    <cellStyle name="Note 3 2 2 6 2 3" xfId="12940" xr:uid="{2EBCC484-7DC5-401D-AAAF-E7388D313B34}"/>
    <cellStyle name="Note 3 2 2 6 2 4" xfId="21388" xr:uid="{5116064C-1DC4-49C1-A97B-EF67F68F96CE}"/>
    <cellStyle name="Note 3 2 2 6 2 5" xfId="29835" xr:uid="{8C1370C1-52B8-4F1E-A669-1CBFEA9EDA59}"/>
    <cellStyle name="Note 3 2 2 6 3" xfId="6563" xr:uid="{00000000-0005-0000-0000-000076210000}"/>
    <cellStyle name="Note 3 2 2 6 3 2" xfId="15013" xr:uid="{7F5527F4-6A40-4722-94BC-F1C034C5D249}"/>
    <cellStyle name="Note 3 2 2 6 3 3" xfId="23460" xr:uid="{729EC8B2-BE9F-4A63-A9EF-FC30B5290669}"/>
    <cellStyle name="Note 3 2 2 6 3 4" xfId="31907" xr:uid="{1E52C567-F0A2-42AE-BCD4-D3B1DF180A08}"/>
    <cellStyle name="Note 3 2 2 6 4" xfId="10795" xr:uid="{CEF0236C-6495-4DED-BCDA-1A6CDF398F44}"/>
    <cellStyle name="Note 3 2 2 6 5" xfId="19243" xr:uid="{E06A63D4-A4D9-40F6-B464-7D2AB2B03312}"/>
    <cellStyle name="Note 3 2 2 6 6" xfId="27690" xr:uid="{53F68289-AA33-4C2D-9BD7-B1549C569D67}"/>
    <cellStyle name="Note 3 2 2 7" xfId="2693" xr:uid="{00000000-0005-0000-0000-000077210000}"/>
    <cellStyle name="Note 3 2 2 7 2" xfId="6976" xr:uid="{00000000-0005-0000-0000-000078210000}"/>
    <cellStyle name="Note 3 2 2 7 2 2" xfId="15426" xr:uid="{4406BD09-5B39-47C2-8BF0-702DC9F07B6B}"/>
    <cellStyle name="Note 3 2 2 7 2 3" xfId="23873" xr:uid="{979303A6-37B7-43FF-AC2F-E7834F12DA44}"/>
    <cellStyle name="Note 3 2 2 7 2 4" xfId="32320" xr:uid="{EC1859E8-FDE4-45D2-855C-862F0CDC63DD}"/>
    <cellStyle name="Note 3 2 2 7 3" xfId="11208" xr:uid="{1468D263-7947-4831-BCE2-D544C9636679}"/>
    <cellStyle name="Note 3 2 2 7 4" xfId="19656" xr:uid="{A1A4EC54-9E12-424B-BAFC-5DDE133863EF}"/>
    <cellStyle name="Note 3 2 2 7 5" xfId="28103" xr:uid="{2F2820D3-B5B7-4B3A-8FD0-77717099E4B2}"/>
    <cellStyle name="Note 3 2 2 8" xfId="2752" xr:uid="{00000000-0005-0000-0000-000079210000}"/>
    <cellStyle name="Note 3 2 2 9" xfId="2833" xr:uid="{00000000-0005-0000-0000-00007A210000}"/>
    <cellStyle name="Note 3 2 2 9 2" xfId="7056" xr:uid="{00000000-0005-0000-0000-00007B210000}"/>
    <cellStyle name="Note 3 2 2 9 2 2" xfId="15506" xr:uid="{33753497-6B0E-4168-B4D0-78B484F690C9}"/>
    <cellStyle name="Note 3 2 2 9 2 3" xfId="23953" xr:uid="{57C4216C-1AC1-40C2-AE26-BF665635C6C6}"/>
    <cellStyle name="Note 3 2 2 9 2 4" xfId="32400" xr:uid="{C8D28D27-53D7-4C35-85FD-A6B2D1C68E45}"/>
    <cellStyle name="Note 3 2 2 9 3" xfId="11288" xr:uid="{AD814457-4E05-4E1F-948F-788496ECC60E}"/>
    <cellStyle name="Note 3 2 2 9 4" xfId="19736" xr:uid="{A61C106A-E47E-4C18-B3BE-B02015053E5F}"/>
    <cellStyle name="Note 3 2 2 9 5" xfId="28183" xr:uid="{947293A3-878C-4C31-BD87-3E5D807FB2CA}"/>
    <cellStyle name="Note 3 2 3" xfId="557" xr:uid="{00000000-0005-0000-0000-00007C210000}"/>
    <cellStyle name="Note 3 2 3 10" xfId="9145" xr:uid="{9BBEF531-0D37-430A-B509-B8DEB6F44F8E}"/>
    <cellStyle name="Note 3 2 3 11" xfId="17593" xr:uid="{227ACA12-47F1-432D-A69F-7A7CEF337268}"/>
    <cellStyle name="Note 3 2 3 12" xfId="26040" xr:uid="{418C3587-BD51-49F4-95A1-80A5F62DB034}"/>
    <cellStyle name="Note 3 2 3 2" xfId="1017" xr:uid="{00000000-0005-0000-0000-00007D210000}"/>
    <cellStyle name="Note 3 2 3 2 2" xfId="3249" xr:uid="{00000000-0005-0000-0000-00007E210000}"/>
    <cellStyle name="Note 3 2 3 2 2 2" xfId="7471" xr:uid="{00000000-0005-0000-0000-00007F210000}"/>
    <cellStyle name="Note 3 2 3 2 2 2 2" xfId="15921" xr:uid="{27C08427-DD4D-41C7-9BA9-06DF52ADE72E}"/>
    <cellStyle name="Note 3 2 3 2 2 2 3" xfId="24368" xr:uid="{3A502EE6-F8D8-4E42-AB7F-6580826BA9B3}"/>
    <cellStyle name="Note 3 2 3 2 2 2 4" xfId="32815" xr:uid="{FADEB178-50E8-4DBC-A0D1-41B6E3CFAAF8}"/>
    <cellStyle name="Note 3 2 3 2 2 3" xfId="11703" xr:uid="{B4807227-9B0A-4B37-969F-E212A9C0CF19}"/>
    <cellStyle name="Note 3 2 3 2 2 4" xfId="20151" xr:uid="{AF36F57B-D60E-4043-A3B6-C78BA3DAD23D}"/>
    <cellStyle name="Note 3 2 3 2 2 5" xfId="28598" xr:uid="{95CDC31B-E417-4287-A4FB-C09A121C921C}"/>
    <cellStyle name="Note 3 2 3 2 3" xfId="5326" xr:uid="{00000000-0005-0000-0000-000080210000}"/>
    <cellStyle name="Note 3 2 3 2 3 2" xfId="13776" xr:uid="{537C20DC-C219-4920-B0C9-3C3610FA7B13}"/>
    <cellStyle name="Note 3 2 3 2 3 3" xfId="22223" xr:uid="{CBFC0A9A-C96F-41C4-BF2B-6727F37EBDB1}"/>
    <cellStyle name="Note 3 2 3 2 3 4" xfId="30670" xr:uid="{F19CEEA5-A215-4F0D-BBC4-C515D0D09928}"/>
    <cellStyle name="Note 3 2 3 2 4" xfId="9558" xr:uid="{F13C98CF-18B5-491E-B807-C4B8E133401C}"/>
    <cellStyle name="Note 3 2 3 2 5" xfId="18006" xr:uid="{7D667BE5-1E50-40C1-84C8-412A1D64030B}"/>
    <cellStyle name="Note 3 2 3 2 6" xfId="26453" xr:uid="{DA667667-7582-42DE-8A4B-983E8B9C6762}"/>
    <cellStyle name="Note 3 2 3 3" xfId="1432" xr:uid="{00000000-0005-0000-0000-000081210000}"/>
    <cellStyle name="Note 3 2 3 3 2" xfId="3662" xr:uid="{00000000-0005-0000-0000-000082210000}"/>
    <cellStyle name="Note 3 2 3 3 2 2" xfId="7884" xr:uid="{00000000-0005-0000-0000-000083210000}"/>
    <cellStyle name="Note 3 2 3 3 2 2 2" xfId="16334" xr:uid="{961A174E-9DD7-4A78-AF5C-FE93A2470321}"/>
    <cellStyle name="Note 3 2 3 3 2 2 3" xfId="24781" xr:uid="{B04D3C12-B8BE-400A-917C-E81FD8DDA42E}"/>
    <cellStyle name="Note 3 2 3 3 2 2 4" xfId="33228" xr:uid="{57BB9FDC-81D4-42F3-968E-BFBA67A1BE53}"/>
    <cellStyle name="Note 3 2 3 3 2 3" xfId="12116" xr:uid="{DB569389-7DB7-4357-B589-8601C5DAB044}"/>
    <cellStyle name="Note 3 2 3 3 2 4" xfId="20564" xr:uid="{483C4365-48CA-4F43-80A0-C2813B9AE2B1}"/>
    <cellStyle name="Note 3 2 3 3 2 5" xfId="29011" xr:uid="{DAE43AC7-A55B-47D1-B6DB-7286111B49C1}"/>
    <cellStyle name="Note 3 2 3 3 3" xfId="5739" xr:uid="{00000000-0005-0000-0000-000084210000}"/>
    <cellStyle name="Note 3 2 3 3 3 2" xfId="14189" xr:uid="{24EEF5B9-9156-4A31-8EEA-E40FE30EB795}"/>
    <cellStyle name="Note 3 2 3 3 3 3" xfId="22636" xr:uid="{279B15B8-2A49-4509-8134-99ED63415DCE}"/>
    <cellStyle name="Note 3 2 3 3 3 4" xfId="31083" xr:uid="{123FA9BD-44C4-4BA6-B8DE-390789F3A800}"/>
    <cellStyle name="Note 3 2 3 3 4" xfId="9971" xr:uid="{58467BC6-A99A-4A3F-8D63-9D81D15691F9}"/>
    <cellStyle name="Note 3 2 3 3 5" xfId="18419" xr:uid="{022D195E-F1D0-449C-B369-130E70D3A41D}"/>
    <cellStyle name="Note 3 2 3 3 6" xfId="26866" xr:uid="{2F07553C-78AE-48B5-BD5F-2C5F253E642E}"/>
    <cellStyle name="Note 3 2 3 4" xfId="1846" xr:uid="{00000000-0005-0000-0000-000085210000}"/>
    <cellStyle name="Note 3 2 3 4 2" xfId="4075" xr:uid="{00000000-0005-0000-0000-000086210000}"/>
    <cellStyle name="Note 3 2 3 4 2 2" xfId="8297" xr:uid="{00000000-0005-0000-0000-000087210000}"/>
    <cellStyle name="Note 3 2 3 4 2 2 2" xfId="16747" xr:uid="{9474185A-6ECC-4C29-86B6-0A7282D8FE23}"/>
    <cellStyle name="Note 3 2 3 4 2 2 3" xfId="25194" xr:uid="{4EF9F4C9-0C34-41E0-BE5C-5857F41A55B3}"/>
    <cellStyle name="Note 3 2 3 4 2 2 4" xfId="33641" xr:uid="{124D2768-686D-475F-A9CA-88565F498CC7}"/>
    <cellStyle name="Note 3 2 3 4 2 3" xfId="12529" xr:uid="{C6B670C6-E6AF-430B-9A28-5E2829E1A3D3}"/>
    <cellStyle name="Note 3 2 3 4 2 4" xfId="20977" xr:uid="{686528E3-23FA-4121-BC1E-194721737081}"/>
    <cellStyle name="Note 3 2 3 4 2 5" xfId="29424" xr:uid="{17F547FB-8F27-4338-A421-61D4E2345D21}"/>
    <cellStyle name="Note 3 2 3 4 3" xfId="6152" xr:uid="{00000000-0005-0000-0000-000088210000}"/>
    <cellStyle name="Note 3 2 3 4 3 2" xfId="14602" xr:uid="{7C14F7A1-C6A2-4424-ADBF-387704DDEFDF}"/>
    <cellStyle name="Note 3 2 3 4 3 3" xfId="23049" xr:uid="{174E61F3-1BBE-498C-8B2A-34CBAC87A144}"/>
    <cellStyle name="Note 3 2 3 4 3 4" xfId="31496" xr:uid="{5A1C4976-CFB8-43EE-8A55-7C6C411945FE}"/>
    <cellStyle name="Note 3 2 3 4 4" xfId="10384" xr:uid="{B73156B0-7A15-4DD6-BE16-013F29669408}"/>
    <cellStyle name="Note 3 2 3 4 5" xfId="18832" xr:uid="{8DE53DCE-73A4-4B28-97D4-6ED353BEC265}"/>
    <cellStyle name="Note 3 2 3 4 6" xfId="27279" xr:uid="{FDFE1AC9-226D-48E1-BAC8-608B9DAC4363}"/>
    <cellStyle name="Note 3 2 3 5" xfId="2259" xr:uid="{00000000-0005-0000-0000-000089210000}"/>
    <cellStyle name="Note 3 2 3 5 2" xfId="4488" xr:uid="{00000000-0005-0000-0000-00008A210000}"/>
    <cellStyle name="Note 3 2 3 5 2 2" xfId="8710" xr:uid="{00000000-0005-0000-0000-00008B210000}"/>
    <cellStyle name="Note 3 2 3 5 2 2 2" xfId="17160" xr:uid="{D2E7915A-96F3-4E21-B13F-ECA4C89542D3}"/>
    <cellStyle name="Note 3 2 3 5 2 2 3" xfId="25607" xr:uid="{BEA8BD47-FC91-4B62-8504-F89A73291D9B}"/>
    <cellStyle name="Note 3 2 3 5 2 2 4" xfId="34054" xr:uid="{968A7AAC-EEEE-47D4-A3A5-A696683D989F}"/>
    <cellStyle name="Note 3 2 3 5 2 3" xfId="12942" xr:uid="{CB971980-3F0B-4E0C-9A2D-7E6134040FCE}"/>
    <cellStyle name="Note 3 2 3 5 2 4" xfId="21390" xr:uid="{D20D4189-22A9-4595-9326-77064004C70A}"/>
    <cellStyle name="Note 3 2 3 5 2 5" xfId="29837" xr:uid="{2406C34E-9543-476C-BAED-BE53FFEEB569}"/>
    <cellStyle name="Note 3 2 3 5 3" xfId="6565" xr:uid="{00000000-0005-0000-0000-00008C210000}"/>
    <cellStyle name="Note 3 2 3 5 3 2" xfId="15015" xr:uid="{F59E1AE6-DAD3-430D-BC2A-506A1A85B301}"/>
    <cellStyle name="Note 3 2 3 5 3 3" xfId="23462" xr:uid="{5524AE30-EC90-4247-9CE9-B1EC5270CCBC}"/>
    <cellStyle name="Note 3 2 3 5 3 4" xfId="31909" xr:uid="{94E7F1D4-3B28-4639-90A0-223192679B7F}"/>
    <cellStyle name="Note 3 2 3 5 4" xfId="10797" xr:uid="{EC18D75F-7CCD-4AC3-8003-14F3B9BC9F5A}"/>
    <cellStyle name="Note 3 2 3 5 5" xfId="19245" xr:uid="{9A8A159B-6A24-46D3-9A4F-1D1EC69BCE6A}"/>
    <cellStyle name="Note 3 2 3 5 6" xfId="27692" xr:uid="{CC785883-CA7D-4D0E-8D46-426D7EF95D90}"/>
    <cellStyle name="Note 3 2 3 6" xfId="2695" xr:uid="{00000000-0005-0000-0000-00008D210000}"/>
    <cellStyle name="Note 3 2 3 6 2" xfId="6978" xr:uid="{00000000-0005-0000-0000-00008E210000}"/>
    <cellStyle name="Note 3 2 3 6 2 2" xfId="15428" xr:uid="{0597D29C-B2C3-4AF1-97D6-A7B3EA1BA300}"/>
    <cellStyle name="Note 3 2 3 6 2 3" xfId="23875" xr:uid="{CFBDAE6F-1056-47EB-9AF2-9AD4924A06F7}"/>
    <cellStyle name="Note 3 2 3 6 2 4" xfId="32322" xr:uid="{EC03ACB8-3689-4008-AF08-D30637FF9BA8}"/>
    <cellStyle name="Note 3 2 3 6 3" xfId="11210" xr:uid="{8F8AFDD3-AEF8-482F-9731-AFA50850F074}"/>
    <cellStyle name="Note 3 2 3 6 4" xfId="19658" xr:uid="{AE5CECA2-329E-4ABC-A4DB-72B20EB475DB}"/>
    <cellStyle name="Note 3 2 3 6 5" xfId="28105" xr:uid="{90497670-3AB9-4B88-B837-5754AD4D90F6}"/>
    <cellStyle name="Note 3 2 3 7" xfId="2754" xr:uid="{00000000-0005-0000-0000-00008F210000}"/>
    <cellStyle name="Note 3 2 3 8" xfId="2835" xr:uid="{00000000-0005-0000-0000-000090210000}"/>
    <cellStyle name="Note 3 2 3 8 2" xfId="7058" xr:uid="{00000000-0005-0000-0000-000091210000}"/>
    <cellStyle name="Note 3 2 3 8 2 2" xfId="15508" xr:uid="{38051D17-9199-4F3F-B170-55FE5314A0F3}"/>
    <cellStyle name="Note 3 2 3 8 2 3" xfId="23955" xr:uid="{1AE3564D-FB28-4345-AB56-3E4F25EAFD44}"/>
    <cellStyle name="Note 3 2 3 8 2 4" xfId="32402" xr:uid="{A603C371-2CFD-41C6-9CF7-F1E19F31F323}"/>
    <cellStyle name="Note 3 2 3 8 3" xfId="11290" xr:uid="{6B8A46C9-A361-4DE4-A6FD-990C9DB0CFCC}"/>
    <cellStyle name="Note 3 2 3 8 4" xfId="19738" xr:uid="{13B13B2F-9AD4-4F79-B1BE-154DC01D2B2D}"/>
    <cellStyle name="Note 3 2 3 8 5" xfId="28185" xr:uid="{5EB0F0AB-6068-41B6-B0FF-124491801FC1}"/>
    <cellStyle name="Note 3 2 3 9" xfId="4913" xr:uid="{00000000-0005-0000-0000-000092210000}"/>
    <cellStyle name="Note 3 2 3 9 2" xfId="13363" xr:uid="{9DDD4474-6974-4B19-A5F5-F3A91D16CD69}"/>
    <cellStyle name="Note 3 2 3 9 3" xfId="21810" xr:uid="{5343D8BE-2B89-41CC-9503-83CC0F038D85}"/>
    <cellStyle name="Note 3 2 3 9 4" xfId="30257" xr:uid="{F778CC3D-CE7D-4413-AB70-6E7271255233}"/>
    <cellStyle name="Note 3 2 4" xfId="1014" xr:uid="{00000000-0005-0000-0000-000093210000}"/>
    <cellStyle name="Note 3 2 4 2" xfId="3246" xr:uid="{00000000-0005-0000-0000-000094210000}"/>
    <cellStyle name="Note 3 2 4 2 2" xfId="7468" xr:uid="{00000000-0005-0000-0000-000095210000}"/>
    <cellStyle name="Note 3 2 4 2 2 2" xfId="15918" xr:uid="{E282580A-236F-4E7F-A9C9-2E7FADCD5851}"/>
    <cellStyle name="Note 3 2 4 2 2 3" xfId="24365" xr:uid="{FCCF11B4-F6E2-408A-B40E-0569EBC61388}"/>
    <cellStyle name="Note 3 2 4 2 2 4" xfId="32812" xr:uid="{87DA8AD7-602E-4FE7-A745-FD95FACEBF69}"/>
    <cellStyle name="Note 3 2 4 2 3" xfId="11700" xr:uid="{6C621F96-BF4A-4632-817D-4B338DBA09C7}"/>
    <cellStyle name="Note 3 2 4 2 4" xfId="20148" xr:uid="{D05A25AF-E813-4F1F-8EA4-8BE57207549C}"/>
    <cellStyle name="Note 3 2 4 2 5" xfId="28595" xr:uid="{642EEB5E-CA53-4369-8FFD-08F216FFC15B}"/>
    <cellStyle name="Note 3 2 4 3" xfId="5323" xr:uid="{00000000-0005-0000-0000-000096210000}"/>
    <cellStyle name="Note 3 2 4 3 2" xfId="13773" xr:uid="{C3AAC4D6-B8C2-4A72-978D-79889DD51834}"/>
    <cellStyle name="Note 3 2 4 3 3" xfId="22220" xr:uid="{99F0D0F5-8FD9-45C2-BDF9-2ACFEA761FE4}"/>
    <cellStyle name="Note 3 2 4 3 4" xfId="30667" xr:uid="{412A947D-6B86-49A9-A33E-B0F2FBFE9BE9}"/>
    <cellStyle name="Note 3 2 4 4" xfId="9555" xr:uid="{B2F31DAB-13D4-4F9F-AE4A-2309C226FFFB}"/>
    <cellStyle name="Note 3 2 4 5" xfId="18003" xr:uid="{8F8FD0A3-C2C2-4BB8-9FD9-DF92ACF464EF}"/>
    <cellStyle name="Note 3 2 4 6" xfId="26450" xr:uid="{D9940016-5DF5-4058-9C86-16E682B77B19}"/>
    <cellStyle name="Note 3 2 5" xfId="1429" xr:uid="{00000000-0005-0000-0000-000097210000}"/>
    <cellStyle name="Note 3 2 5 2" xfId="3659" xr:uid="{00000000-0005-0000-0000-000098210000}"/>
    <cellStyle name="Note 3 2 5 2 2" xfId="7881" xr:uid="{00000000-0005-0000-0000-000099210000}"/>
    <cellStyle name="Note 3 2 5 2 2 2" xfId="16331" xr:uid="{62F41D1F-279D-4FE8-AEE3-223BFD7F3CF1}"/>
    <cellStyle name="Note 3 2 5 2 2 3" xfId="24778" xr:uid="{28A0FF83-9A4E-4A4C-9EE8-BA6A0A2847ED}"/>
    <cellStyle name="Note 3 2 5 2 2 4" xfId="33225" xr:uid="{5BFE94B4-0427-49B8-A2FC-CAB758A632FD}"/>
    <cellStyle name="Note 3 2 5 2 3" xfId="12113" xr:uid="{0E836985-6952-48A3-A78E-F561C62A5A44}"/>
    <cellStyle name="Note 3 2 5 2 4" xfId="20561" xr:uid="{DB31DB9F-ED48-416B-8D1A-8FD8CF575276}"/>
    <cellStyle name="Note 3 2 5 2 5" xfId="29008" xr:uid="{50AE0CC4-0D22-4040-A7DC-2F36A0A80531}"/>
    <cellStyle name="Note 3 2 5 3" xfId="5736" xr:uid="{00000000-0005-0000-0000-00009A210000}"/>
    <cellStyle name="Note 3 2 5 3 2" xfId="14186" xr:uid="{98D1F127-37BA-45C7-A565-FBCE6954FE63}"/>
    <cellStyle name="Note 3 2 5 3 3" xfId="22633" xr:uid="{6D9C58FD-5B2E-4731-8186-9B8F6BF87AB2}"/>
    <cellStyle name="Note 3 2 5 3 4" xfId="31080" xr:uid="{35985C17-2E18-4E7B-BEB5-08A293A45B3B}"/>
    <cellStyle name="Note 3 2 5 4" xfId="9968" xr:uid="{BB40B04C-526B-4655-B086-4DEE1A63F088}"/>
    <cellStyle name="Note 3 2 5 5" xfId="18416" xr:uid="{AFD66524-E40A-4CDA-B8EB-9B9D46DD7657}"/>
    <cellStyle name="Note 3 2 5 6" xfId="26863" xr:uid="{404ACD4E-09A9-4984-9681-8A9AFA742E87}"/>
    <cellStyle name="Note 3 2 6" xfId="1843" xr:uid="{00000000-0005-0000-0000-00009B210000}"/>
    <cellStyle name="Note 3 2 6 2" xfId="4072" xr:uid="{00000000-0005-0000-0000-00009C210000}"/>
    <cellStyle name="Note 3 2 6 2 2" xfId="8294" xr:uid="{00000000-0005-0000-0000-00009D210000}"/>
    <cellStyle name="Note 3 2 6 2 2 2" xfId="16744" xr:uid="{68B5D5DA-8B12-4EC6-B8B3-E45E9BC89B92}"/>
    <cellStyle name="Note 3 2 6 2 2 3" xfId="25191" xr:uid="{777C2940-F59F-4D46-AF83-3E528804EFF7}"/>
    <cellStyle name="Note 3 2 6 2 2 4" xfId="33638" xr:uid="{14A2E6B6-2034-4FE2-B011-7C92945C156E}"/>
    <cellStyle name="Note 3 2 6 2 3" xfId="12526" xr:uid="{589B5139-890A-4804-A39E-8464790936BB}"/>
    <cellStyle name="Note 3 2 6 2 4" xfId="20974" xr:uid="{3D490A2A-4990-442A-A5AC-863F35727B79}"/>
    <cellStyle name="Note 3 2 6 2 5" xfId="29421" xr:uid="{2C6B3BD0-EFC4-4DA1-9551-93A3112B7676}"/>
    <cellStyle name="Note 3 2 6 3" xfId="6149" xr:uid="{00000000-0005-0000-0000-00009E210000}"/>
    <cellStyle name="Note 3 2 6 3 2" xfId="14599" xr:uid="{832E5FCE-1FAD-4BCD-938D-1CFA112AC27D}"/>
    <cellStyle name="Note 3 2 6 3 3" xfId="23046" xr:uid="{4E12ADF3-24D7-43A3-965C-9B86DBD608BF}"/>
    <cellStyle name="Note 3 2 6 3 4" xfId="31493" xr:uid="{F547DEF7-F6B6-408B-8BA1-03611F87C22C}"/>
    <cellStyle name="Note 3 2 6 4" xfId="10381" xr:uid="{3817C027-C054-4E56-BC2A-883036F49E78}"/>
    <cellStyle name="Note 3 2 6 5" xfId="18829" xr:uid="{9AC54EAA-1332-454F-8C5E-9EFD7B9B4D47}"/>
    <cellStyle name="Note 3 2 6 6" xfId="27276" xr:uid="{C5942078-05E3-4878-B696-2839447EB494}"/>
    <cellStyle name="Note 3 2 7" xfId="2256" xr:uid="{00000000-0005-0000-0000-00009F210000}"/>
    <cellStyle name="Note 3 2 7 2" xfId="4485" xr:uid="{00000000-0005-0000-0000-0000A0210000}"/>
    <cellStyle name="Note 3 2 7 2 2" xfId="8707" xr:uid="{00000000-0005-0000-0000-0000A1210000}"/>
    <cellStyle name="Note 3 2 7 2 2 2" xfId="17157" xr:uid="{EDB7F351-737B-4A6F-AF67-551876B622F3}"/>
    <cellStyle name="Note 3 2 7 2 2 3" xfId="25604" xr:uid="{825089E4-24DD-4326-94A6-C71A0AF9F627}"/>
    <cellStyle name="Note 3 2 7 2 2 4" xfId="34051" xr:uid="{A2293502-9FDC-46D3-9167-BB37DDCCD3E9}"/>
    <cellStyle name="Note 3 2 7 2 3" xfId="12939" xr:uid="{56315B4A-B7E7-4C32-B518-A01463F7114C}"/>
    <cellStyle name="Note 3 2 7 2 4" xfId="21387" xr:uid="{8879F2A9-AF59-475D-8A6D-72DD911927CF}"/>
    <cellStyle name="Note 3 2 7 2 5" xfId="29834" xr:uid="{F6B1FFA4-4BC6-4966-A9EC-92BAF687490D}"/>
    <cellStyle name="Note 3 2 7 3" xfId="6562" xr:uid="{00000000-0005-0000-0000-0000A2210000}"/>
    <cellStyle name="Note 3 2 7 3 2" xfId="15012" xr:uid="{DD6A8A4E-0183-4BF8-8BA8-DBA9D0ACD11C}"/>
    <cellStyle name="Note 3 2 7 3 3" xfId="23459" xr:uid="{9F0E3609-13EA-4BAC-9EE4-948FF0A5CFE2}"/>
    <cellStyle name="Note 3 2 7 3 4" xfId="31906" xr:uid="{49060776-4E22-4A96-9153-9A00BEF1A463}"/>
    <cellStyle name="Note 3 2 7 4" xfId="10794" xr:uid="{AAD6DC55-3898-45C0-8B31-7AE892980307}"/>
    <cellStyle name="Note 3 2 7 5" xfId="19242" xr:uid="{E0387BD3-D575-49A6-9432-FB1FA351CBAB}"/>
    <cellStyle name="Note 3 2 7 6" xfId="27689" xr:uid="{36723DD5-944D-4BCF-A649-8328DA323231}"/>
    <cellStyle name="Note 3 2 8" xfId="2692" xr:uid="{00000000-0005-0000-0000-0000A3210000}"/>
    <cellStyle name="Note 3 2 8 2" xfId="6975" xr:uid="{00000000-0005-0000-0000-0000A4210000}"/>
    <cellStyle name="Note 3 2 8 2 2" xfId="15425" xr:uid="{D8AC6198-782C-4FB1-8DFF-538CA32E860B}"/>
    <cellStyle name="Note 3 2 8 2 3" xfId="23872" xr:uid="{D80C170C-44AF-438B-9EEF-E586B5E4C60F}"/>
    <cellStyle name="Note 3 2 8 2 4" xfId="32319" xr:uid="{928286F4-2C7D-4EA5-815C-74F0F48F7BEC}"/>
    <cellStyle name="Note 3 2 8 3" xfId="11207" xr:uid="{087CE435-9C48-4D89-BA6B-15272A823496}"/>
    <cellStyle name="Note 3 2 8 4" xfId="19655" xr:uid="{82C08AE1-9B64-404E-AA76-7F8D744211D8}"/>
    <cellStyle name="Note 3 2 8 5" xfId="28102" xr:uid="{78A75E96-C1AB-468C-9BD9-0601EE7CB462}"/>
    <cellStyle name="Note 3 2 9" xfId="2751" xr:uid="{00000000-0005-0000-0000-0000A5210000}"/>
    <cellStyle name="Note 3 3" xfId="558" xr:uid="{00000000-0005-0000-0000-0000A6210000}"/>
    <cellStyle name="Note 3 3 10" xfId="4914" xr:uid="{00000000-0005-0000-0000-0000A7210000}"/>
    <cellStyle name="Note 3 3 10 2" xfId="13364" xr:uid="{8308247F-2266-4711-BD41-158B033E55DD}"/>
    <cellStyle name="Note 3 3 10 3" xfId="21811" xr:uid="{FA8E60FA-C550-4689-A832-C5EDF787793B}"/>
    <cellStyle name="Note 3 3 10 4" xfId="30258" xr:uid="{009CA147-75F4-4EA7-B987-6B4C9F7909DF}"/>
    <cellStyle name="Note 3 3 11" xfId="9146" xr:uid="{2FB9B81D-DBC2-4064-B4F5-48F16FB19E1A}"/>
    <cellStyle name="Note 3 3 12" xfId="17594" xr:uid="{0AB0BE4E-1B7E-449B-BF39-A955F3C46CC7}"/>
    <cellStyle name="Note 3 3 13" xfId="26041" xr:uid="{D7586DB9-8297-450A-A825-F2C28808D79B}"/>
    <cellStyle name="Note 3 3 2" xfId="559" xr:uid="{00000000-0005-0000-0000-0000A8210000}"/>
    <cellStyle name="Note 3 3 2 10" xfId="9147" xr:uid="{3BA2D234-A95D-41CB-A083-444495DE796A}"/>
    <cellStyle name="Note 3 3 2 11" xfId="17595" xr:uid="{A7F49EF9-2C8E-447E-9F6C-618A385A4992}"/>
    <cellStyle name="Note 3 3 2 12" xfId="26042" xr:uid="{3AC2FF1C-4C16-415E-853C-744A17D944E9}"/>
    <cellStyle name="Note 3 3 2 2" xfId="1019" xr:uid="{00000000-0005-0000-0000-0000A9210000}"/>
    <cellStyle name="Note 3 3 2 2 2" xfId="3251" xr:uid="{00000000-0005-0000-0000-0000AA210000}"/>
    <cellStyle name="Note 3 3 2 2 2 2" xfId="7473" xr:uid="{00000000-0005-0000-0000-0000AB210000}"/>
    <cellStyle name="Note 3 3 2 2 2 2 2" xfId="15923" xr:uid="{D89FED2A-EAA5-486F-8B1A-9DE8A3FA0E8B}"/>
    <cellStyle name="Note 3 3 2 2 2 2 3" xfId="24370" xr:uid="{2545D3D9-1998-4328-8EC7-652470D82F39}"/>
    <cellStyle name="Note 3 3 2 2 2 2 4" xfId="32817" xr:uid="{78C71D95-C800-43FC-BBA4-56A4A3AF81F4}"/>
    <cellStyle name="Note 3 3 2 2 2 3" xfId="11705" xr:uid="{11B100DE-FA1E-4F0E-A14E-33AC414944BD}"/>
    <cellStyle name="Note 3 3 2 2 2 4" xfId="20153" xr:uid="{5EB80966-0A0A-4774-8699-9402ABF45E3E}"/>
    <cellStyle name="Note 3 3 2 2 2 5" xfId="28600" xr:uid="{B9620101-9179-42FA-9B57-ADD8E2311337}"/>
    <cellStyle name="Note 3 3 2 2 3" xfId="5328" xr:uid="{00000000-0005-0000-0000-0000AC210000}"/>
    <cellStyle name="Note 3 3 2 2 3 2" xfId="13778" xr:uid="{B3B49879-D45A-4E9D-B926-78F769D3ABD6}"/>
    <cellStyle name="Note 3 3 2 2 3 3" xfId="22225" xr:uid="{27E2BD2A-4566-4345-B396-3A746954F5C6}"/>
    <cellStyle name="Note 3 3 2 2 3 4" xfId="30672" xr:uid="{E8290F36-A922-4033-8428-AFC5A8DDF754}"/>
    <cellStyle name="Note 3 3 2 2 4" xfId="9560" xr:uid="{DC0D6C48-7F2A-4828-88AE-5815D9D32362}"/>
    <cellStyle name="Note 3 3 2 2 5" xfId="18008" xr:uid="{6FC6E024-FFA7-45CA-BE6D-57D7FA62F45B}"/>
    <cellStyle name="Note 3 3 2 2 6" xfId="26455" xr:uid="{21659374-D473-4E16-AB74-33F98A0CBDC1}"/>
    <cellStyle name="Note 3 3 2 3" xfId="1434" xr:uid="{00000000-0005-0000-0000-0000AD210000}"/>
    <cellStyle name="Note 3 3 2 3 2" xfId="3664" xr:uid="{00000000-0005-0000-0000-0000AE210000}"/>
    <cellStyle name="Note 3 3 2 3 2 2" xfId="7886" xr:uid="{00000000-0005-0000-0000-0000AF210000}"/>
    <cellStyle name="Note 3 3 2 3 2 2 2" xfId="16336" xr:uid="{28630D80-E190-4E22-80E4-89CED45CE214}"/>
    <cellStyle name="Note 3 3 2 3 2 2 3" xfId="24783" xr:uid="{D97C9590-4388-4815-AE3C-1FBB4DADEAF5}"/>
    <cellStyle name="Note 3 3 2 3 2 2 4" xfId="33230" xr:uid="{07BE5235-5CCD-4468-B639-8E787F087937}"/>
    <cellStyle name="Note 3 3 2 3 2 3" xfId="12118" xr:uid="{780D1B3D-8F31-4E63-937B-9A7E8C951B9E}"/>
    <cellStyle name="Note 3 3 2 3 2 4" xfId="20566" xr:uid="{DA521AE4-3223-4565-A700-498CB6215B83}"/>
    <cellStyle name="Note 3 3 2 3 2 5" xfId="29013" xr:uid="{0B8C6E3C-BDD1-4B6A-A238-E4095D27029F}"/>
    <cellStyle name="Note 3 3 2 3 3" xfId="5741" xr:uid="{00000000-0005-0000-0000-0000B0210000}"/>
    <cellStyle name="Note 3 3 2 3 3 2" xfId="14191" xr:uid="{E2F151F6-8692-4392-A09C-7258F4B0B85A}"/>
    <cellStyle name="Note 3 3 2 3 3 3" xfId="22638" xr:uid="{294AD1AD-26C2-4DF8-AE62-3D5B0171944C}"/>
    <cellStyle name="Note 3 3 2 3 3 4" xfId="31085" xr:uid="{A8147831-431B-4B1A-B897-1C4585F03051}"/>
    <cellStyle name="Note 3 3 2 3 4" xfId="9973" xr:uid="{4F5CA55D-FCBC-47A7-BF37-08A8F1C7E6F9}"/>
    <cellStyle name="Note 3 3 2 3 5" xfId="18421" xr:uid="{75FB7901-97A4-4BD5-8D10-2A1601EE3786}"/>
    <cellStyle name="Note 3 3 2 3 6" xfId="26868" xr:uid="{0C2CCC4E-B74E-4ED6-8C54-47E7824528FC}"/>
    <cellStyle name="Note 3 3 2 4" xfId="1848" xr:uid="{00000000-0005-0000-0000-0000B1210000}"/>
    <cellStyle name="Note 3 3 2 4 2" xfId="4077" xr:uid="{00000000-0005-0000-0000-0000B2210000}"/>
    <cellStyle name="Note 3 3 2 4 2 2" xfId="8299" xr:uid="{00000000-0005-0000-0000-0000B3210000}"/>
    <cellStyle name="Note 3 3 2 4 2 2 2" xfId="16749" xr:uid="{F8CB4E82-6806-4AAB-98DD-49005CC684BC}"/>
    <cellStyle name="Note 3 3 2 4 2 2 3" xfId="25196" xr:uid="{6A580498-0AEE-4FA4-9D0E-6E3B5F96A988}"/>
    <cellStyle name="Note 3 3 2 4 2 2 4" xfId="33643" xr:uid="{04111693-1798-47C8-9252-87A034966C1C}"/>
    <cellStyle name="Note 3 3 2 4 2 3" xfId="12531" xr:uid="{90B697E6-C0F3-4215-926B-C7DE5CACD773}"/>
    <cellStyle name="Note 3 3 2 4 2 4" xfId="20979" xr:uid="{3DD15B1B-F1FE-422D-B279-F71AECB3065F}"/>
    <cellStyle name="Note 3 3 2 4 2 5" xfId="29426" xr:uid="{AB0326B1-E7D6-4E86-A56E-49C9A15696BC}"/>
    <cellStyle name="Note 3 3 2 4 3" xfId="6154" xr:uid="{00000000-0005-0000-0000-0000B4210000}"/>
    <cellStyle name="Note 3 3 2 4 3 2" xfId="14604" xr:uid="{E6AEA5DE-C91B-480F-A585-E8C86D93E7AA}"/>
    <cellStyle name="Note 3 3 2 4 3 3" xfId="23051" xr:uid="{3CB1FCA2-BFA2-4A47-B8F4-47A0D57C09EA}"/>
    <cellStyle name="Note 3 3 2 4 3 4" xfId="31498" xr:uid="{87F3A12D-4DAA-4AFC-B5C3-8371EF280FD9}"/>
    <cellStyle name="Note 3 3 2 4 4" xfId="10386" xr:uid="{D3292A34-914A-4C20-8F4D-FACF0B6CE00C}"/>
    <cellStyle name="Note 3 3 2 4 5" xfId="18834" xr:uid="{860A3058-555E-4A66-AD19-E65CF1667137}"/>
    <cellStyle name="Note 3 3 2 4 6" xfId="27281" xr:uid="{E2118B6B-9433-45F9-9066-CEEC71A3BC9A}"/>
    <cellStyle name="Note 3 3 2 5" xfId="2261" xr:uid="{00000000-0005-0000-0000-0000B5210000}"/>
    <cellStyle name="Note 3 3 2 5 2" xfId="4490" xr:uid="{00000000-0005-0000-0000-0000B6210000}"/>
    <cellStyle name="Note 3 3 2 5 2 2" xfId="8712" xr:uid="{00000000-0005-0000-0000-0000B7210000}"/>
    <cellStyle name="Note 3 3 2 5 2 2 2" xfId="17162" xr:uid="{717A0FB2-ED08-4C8C-BAB8-E3CB328FBD3D}"/>
    <cellStyle name="Note 3 3 2 5 2 2 3" xfId="25609" xr:uid="{1D5B26B1-FCFA-4CE9-B952-D0E50713874C}"/>
    <cellStyle name="Note 3 3 2 5 2 2 4" xfId="34056" xr:uid="{7D4E3161-82D8-4398-9A27-78A73B1AA75B}"/>
    <cellStyle name="Note 3 3 2 5 2 3" xfId="12944" xr:uid="{93667FFF-F6B6-4DE7-A29E-7E59844F805B}"/>
    <cellStyle name="Note 3 3 2 5 2 4" xfId="21392" xr:uid="{612C9016-E63C-4510-9094-6FF0833BDEBE}"/>
    <cellStyle name="Note 3 3 2 5 2 5" xfId="29839" xr:uid="{204DD8AA-D8BB-4B03-9B52-A9319913960D}"/>
    <cellStyle name="Note 3 3 2 5 3" xfId="6567" xr:uid="{00000000-0005-0000-0000-0000B8210000}"/>
    <cellStyle name="Note 3 3 2 5 3 2" xfId="15017" xr:uid="{5A62DB32-7007-4017-B34E-5EBAD9B6CB9C}"/>
    <cellStyle name="Note 3 3 2 5 3 3" xfId="23464" xr:uid="{59FDDC84-C793-4903-A016-1980CB923BF0}"/>
    <cellStyle name="Note 3 3 2 5 3 4" xfId="31911" xr:uid="{5AF0E9F1-F80A-4F16-B52F-B81118C80884}"/>
    <cellStyle name="Note 3 3 2 5 4" xfId="10799" xr:uid="{726116DE-937E-4F13-BBCE-051FA60E70C6}"/>
    <cellStyle name="Note 3 3 2 5 5" xfId="19247" xr:uid="{59F0E27F-AB9C-47E3-A360-2C3134E83F14}"/>
    <cellStyle name="Note 3 3 2 5 6" xfId="27694" xr:uid="{503023AE-683E-436D-8D50-0D234AC72235}"/>
    <cellStyle name="Note 3 3 2 6" xfId="2697" xr:uid="{00000000-0005-0000-0000-0000B9210000}"/>
    <cellStyle name="Note 3 3 2 6 2" xfId="6980" xr:uid="{00000000-0005-0000-0000-0000BA210000}"/>
    <cellStyle name="Note 3 3 2 6 2 2" xfId="15430" xr:uid="{7769638C-4780-4A57-89F4-9B9EECEA6490}"/>
    <cellStyle name="Note 3 3 2 6 2 3" xfId="23877" xr:uid="{38BBCFDF-1BFB-4269-A86E-4B3BD7AF12F5}"/>
    <cellStyle name="Note 3 3 2 6 2 4" xfId="32324" xr:uid="{85BAD390-286B-43AC-90BF-5B6ADB8EB89D}"/>
    <cellStyle name="Note 3 3 2 6 3" xfId="11212" xr:uid="{6AE69522-AFBC-400F-BE8D-E28DBAA8FFFF}"/>
    <cellStyle name="Note 3 3 2 6 4" xfId="19660" xr:uid="{3363CE56-3A7A-4CAF-8DA7-B35992F8B6B8}"/>
    <cellStyle name="Note 3 3 2 6 5" xfId="28107" xr:uid="{4468B055-3E52-4B08-A4ED-83798602AF29}"/>
    <cellStyle name="Note 3 3 2 7" xfId="2756" xr:uid="{00000000-0005-0000-0000-0000BB210000}"/>
    <cellStyle name="Note 3 3 2 8" xfId="2837" xr:uid="{00000000-0005-0000-0000-0000BC210000}"/>
    <cellStyle name="Note 3 3 2 8 2" xfId="7060" xr:uid="{00000000-0005-0000-0000-0000BD210000}"/>
    <cellStyle name="Note 3 3 2 8 2 2" xfId="15510" xr:uid="{5E207C4B-9FFD-4DE6-B740-212194641F36}"/>
    <cellStyle name="Note 3 3 2 8 2 3" xfId="23957" xr:uid="{430B3F3D-5F89-4928-B207-B0329C7DEC8E}"/>
    <cellStyle name="Note 3 3 2 8 2 4" xfId="32404" xr:uid="{003C2E2C-9A26-4C5F-ADC1-BC8593A48A71}"/>
    <cellStyle name="Note 3 3 2 8 3" xfId="11292" xr:uid="{B97E23DA-BEE0-4B3C-9C66-76643853DB39}"/>
    <cellStyle name="Note 3 3 2 8 4" xfId="19740" xr:uid="{D5F29B9E-5E6F-433E-B725-F5200523AF31}"/>
    <cellStyle name="Note 3 3 2 8 5" xfId="28187" xr:uid="{797C8B51-29F8-41DF-9F3B-853F3AE267B8}"/>
    <cellStyle name="Note 3 3 2 9" xfId="4915" xr:uid="{00000000-0005-0000-0000-0000BE210000}"/>
    <cellStyle name="Note 3 3 2 9 2" xfId="13365" xr:uid="{3F364D02-E343-4548-9A60-21662D78D30E}"/>
    <cellStyle name="Note 3 3 2 9 3" xfId="21812" xr:uid="{07E0EF65-3E2A-4B29-8147-5CD9328A0DF9}"/>
    <cellStyle name="Note 3 3 2 9 4" xfId="30259" xr:uid="{ECC47669-40F8-46A5-977B-C82DB9DE0709}"/>
    <cellStyle name="Note 3 3 3" xfId="1018" xr:uid="{00000000-0005-0000-0000-0000BF210000}"/>
    <cellStyle name="Note 3 3 3 2" xfId="3250" xr:uid="{00000000-0005-0000-0000-0000C0210000}"/>
    <cellStyle name="Note 3 3 3 2 2" xfId="7472" xr:uid="{00000000-0005-0000-0000-0000C1210000}"/>
    <cellStyle name="Note 3 3 3 2 2 2" xfId="15922" xr:uid="{164B89FE-EC4F-435F-A750-028FF8E59E7D}"/>
    <cellStyle name="Note 3 3 3 2 2 3" xfId="24369" xr:uid="{B771E19C-4238-4EA0-AEA3-F00677D9FC78}"/>
    <cellStyle name="Note 3 3 3 2 2 4" xfId="32816" xr:uid="{FB43AA3F-7D3B-4C27-B168-4DFB6DEFEE40}"/>
    <cellStyle name="Note 3 3 3 2 3" xfId="11704" xr:uid="{11FE26F0-75E5-4F55-BF30-DEC2A7EAA95D}"/>
    <cellStyle name="Note 3 3 3 2 4" xfId="20152" xr:uid="{5533C245-6F68-43AA-9E3F-50A50FF9DC31}"/>
    <cellStyle name="Note 3 3 3 2 5" xfId="28599" xr:uid="{C332CBD1-6644-40B1-A526-C3D41A73F450}"/>
    <cellStyle name="Note 3 3 3 3" xfId="5327" xr:uid="{00000000-0005-0000-0000-0000C2210000}"/>
    <cellStyle name="Note 3 3 3 3 2" xfId="13777" xr:uid="{D5B4BE08-38D9-4CF7-8EC7-E6F537149DAC}"/>
    <cellStyle name="Note 3 3 3 3 3" xfId="22224" xr:uid="{C996D217-32F3-4F0D-85AE-78A4C460168C}"/>
    <cellStyle name="Note 3 3 3 3 4" xfId="30671" xr:uid="{02760AE1-92AC-4E8E-B9C6-25ADCFF2BF08}"/>
    <cellStyle name="Note 3 3 3 4" xfId="9559" xr:uid="{EA5D0382-E226-4C88-A3E5-52B5175E14CC}"/>
    <cellStyle name="Note 3 3 3 5" xfId="18007" xr:uid="{E8042AF0-0A83-4E65-8FCA-621049282222}"/>
    <cellStyle name="Note 3 3 3 6" xfId="26454" xr:uid="{A4C09655-B46B-4165-8516-9E30B8EDBD00}"/>
    <cellStyle name="Note 3 3 4" xfId="1433" xr:uid="{00000000-0005-0000-0000-0000C3210000}"/>
    <cellStyle name="Note 3 3 4 2" xfId="3663" xr:uid="{00000000-0005-0000-0000-0000C4210000}"/>
    <cellStyle name="Note 3 3 4 2 2" xfId="7885" xr:uid="{00000000-0005-0000-0000-0000C5210000}"/>
    <cellStyle name="Note 3 3 4 2 2 2" xfId="16335" xr:uid="{805D38AC-9C36-4D9B-A186-175AFBBDAB07}"/>
    <cellStyle name="Note 3 3 4 2 2 3" xfId="24782" xr:uid="{E4E02B56-E1CD-49B3-A633-786E3CFD0C69}"/>
    <cellStyle name="Note 3 3 4 2 2 4" xfId="33229" xr:uid="{EE743492-7C3C-429C-9F7D-5074CB3B650E}"/>
    <cellStyle name="Note 3 3 4 2 3" xfId="12117" xr:uid="{C9A0E8E5-9D89-4C2E-AB7A-640EE54BD336}"/>
    <cellStyle name="Note 3 3 4 2 4" xfId="20565" xr:uid="{FDEF982A-F324-4165-A657-DE8FDBB44CF4}"/>
    <cellStyle name="Note 3 3 4 2 5" xfId="29012" xr:uid="{BD7585D4-6B89-4965-91EE-BD28A59612FE}"/>
    <cellStyle name="Note 3 3 4 3" xfId="5740" xr:uid="{00000000-0005-0000-0000-0000C6210000}"/>
    <cellStyle name="Note 3 3 4 3 2" xfId="14190" xr:uid="{5C08F1FD-78DC-4104-B24A-0E96662B742B}"/>
    <cellStyle name="Note 3 3 4 3 3" xfId="22637" xr:uid="{5A323BB2-988A-4A99-B403-BACC784D3EB4}"/>
    <cellStyle name="Note 3 3 4 3 4" xfId="31084" xr:uid="{06CB3F85-37FE-46A3-B624-D223AAA70CCF}"/>
    <cellStyle name="Note 3 3 4 4" xfId="9972" xr:uid="{59F1506D-49F2-4E3D-8425-A59FEBBC3D29}"/>
    <cellStyle name="Note 3 3 4 5" xfId="18420" xr:uid="{CE85CC7E-537C-48BE-9D84-AE42BE22A329}"/>
    <cellStyle name="Note 3 3 4 6" xfId="26867" xr:uid="{9EFBF35F-3CA5-4EA0-98DB-C734425DF5D5}"/>
    <cellStyle name="Note 3 3 5" xfId="1847" xr:uid="{00000000-0005-0000-0000-0000C7210000}"/>
    <cellStyle name="Note 3 3 5 2" xfId="4076" xr:uid="{00000000-0005-0000-0000-0000C8210000}"/>
    <cellStyle name="Note 3 3 5 2 2" xfId="8298" xr:uid="{00000000-0005-0000-0000-0000C9210000}"/>
    <cellStyle name="Note 3 3 5 2 2 2" xfId="16748" xr:uid="{6D55191B-10B0-41C2-AB4F-1A13C2A1BC75}"/>
    <cellStyle name="Note 3 3 5 2 2 3" xfId="25195" xr:uid="{9BCADE45-02C3-4EFE-8594-FFA43F55E251}"/>
    <cellStyle name="Note 3 3 5 2 2 4" xfId="33642" xr:uid="{2F1B00B1-6C81-4AA0-88DA-1DABB42DCF4F}"/>
    <cellStyle name="Note 3 3 5 2 3" xfId="12530" xr:uid="{42525AED-4B2B-4F6D-9EE7-C88ECD5CC6E5}"/>
    <cellStyle name="Note 3 3 5 2 4" xfId="20978" xr:uid="{F02826B7-4FB1-478F-BE32-5EC1A1C7928E}"/>
    <cellStyle name="Note 3 3 5 2 5" xfId="29425" xr:uid="{6D709A9E-CEB0-4E28-9492-2F4D0EFF5AC9}"/>
    <cellStyle name="Note 3 3 5 3" xfId="6153" xr:uid="{00000000-0005-0000-0000-0000CA210000}"/>
    <cellStyle name="Note 3 3 5 3 2" xfId="14603" xr:uid="{6FC922B7-F794-41C9-A945-652A0083949A}"/>
    <cellStyle name="Note 3 3 5 3 3" xfId="23050" xr:uid="{CEC0287C-21B6-4573-95F5-CF7F1B501BA3}"/>
    <cellStyle name="Note 3 3 5 3 4" xfId="31497" xr:uid="{BA0BD3A8-6A21-4986-8E56-E5176548418A}"/>
    <cellStyle name="Note 3 3 5 4" xfId="10385" xr:uid="{346C281B-4BDE-40BD-B4CB-0CD4663EACE2}"/>
    <cellStyle name="Note 3 3 5 5" xfId="18833" xr:uid="{06E7D369-3287-4140-9F85-9F7D085D2B20}"/>
    <cellStyle name="Note 3 3 5 6" xfId="27280" xr:uid="{8F28BC48-F110-4E49-B8CE-3020ED296B96}"/>
    <cellStyle name="Note 3 3 6" xfId="2260" xr:uid="{00000000-0005-0000-0000-0000CB210000}"/>
    <cellStyle name="Note 3 3 6 2" xfId="4489" xr:uid="{00000000-0005-0000-0000-0000CC210000}"/>
    <cellStyle name="Note 3 3 6 2 2" xfId="8711" xr:uid="{00000000-0005-0000-0000-0000CD210000}"/>
    <cellStyle name="Note 3 3 6 2 2 2" xfId="17161" xr:uid="{8CF808ED-5B59-4637-86B6-2CA8FACD7DFF}"/>
    <cellStyle name="Note 3 3 6 2 2 3" xfId="25608" xr:uid="{A50CB6F4-6D81-4533-B067-C943D946553C}"/>
    <cellStyle name="Note 3 3 6 2 2 4" xfId="34055" xr:uid="{1FCAAC05-EF85-47C9-91E3-CD1E23805BF2}"/>
    <cellStyle name="Note 3 3 6 2 3" xfId="12943" xr:uid="{94D363E7-49A1-471B-9C00-B1C2892430BC}"/>
    <cellStyle name="Note 3 3 6 2 4" xfId="21391" xr:uid="{8B2463F5-5027-4E81-85F2-B5A09B5E8D54}"/>
    <cellStyle name="Note 3 3 6 2 5" xfId="29838" xr:uid="{84CEECEC-1F5B-417C-B9F0-E42D8A645D51}"/>
    <cellStyle name="Note 3 3 6 3" xfId="6566" xr:uid="{00000000-0005-0000-0000-0000CE210000}"/>
    <cellStyle name="Note 3 3 6 3 2" xfId="15016" xr:uid="{F4EFF94C-578A-41FF-A908-8A6910229505}"/>
    <cellStyle name="Note 3 3 6 3 3" xfId="23463" xr:uid="{7D55FB5F-32D8-4C52-B070-90DA22C3A45E}"/>
    <cellStyle name="Note 3 3 6 3 4" xfId="31910" xr:uid="{B63886C8-CC82-4EA6-B79B-BCF99E11ACB2}"/>
    <cellStyle name="Note 3 3 6 4" xfId="10798" xr:uid="{6C2143D0-57B3-4921-9852-A140FD43A376}"/>
    <cellStyle name="Note 3 3 6 5" xfId="19246" xr:uid="{62CAC39E-4C4A-4A7D-AB72-D47A460D69BC}"/>
    <cellStyle name="Note 3 3 6 6" xfId="27693" xr:uid="{C496C56D-9285-4D66-9820-2C19EC18CC0A}"/>
    <cellStyle name="Note 3 3 7" xfId="2696" xr:uid="{00000000-0005-0000-0000-0000CF210000}"/>
    <cellStyle name="Note 3 3 7 2" xfId="6979" xr:uid="{00000000-0005-0000-0000-0000D0210000}"/>
    <cellStyle name="Note 3 3 7 2 2" xfId="15429" xr:uid="{7ACA6700-2951-4785-A9F3-61979DF0E46A}"/>
    <cellStyle name="Note 3 3 7 2 3" xfId="23876" xr:uid="{B3D50D13-616D-42E8-98A9-134FE20FB64A}"/>
    <cellStyle name="Note 3 3 7 2 4" xfId="32323" xr:uid="{FA36D28D-2510-4D22-BAF0-BFBE86DEEEE1}"/>
    <cellStyle name="Note 3 3 7 3" xfId="11211" xr:uid="{4457C72F-3C28-4D2B-8934-E55784A91C08}"/>
    <cellStyle name="Note 3 3 7 4" xfId="19659" xr:uid="{EADC868A-17E4-4160-8F3A-A598D1A3258B}"/>
    <cellStyle name="Note 3 3 7 5" xfId="28106" xr:uid="{FE86C120-CC59-41C6-B669-81DD45A99251}"/>
    <cellStyle name="Note 3 3 8" xfId="2755" xr:uid="{00000000-0005-0000-0000-0000D1210000}"/>
    <cellStyle name="Note 3 3 9" xfId="2836" xr:uid="{00000000-0005-0000-0000-0000D2210000}"/>
    <cellStyle name="Note 3 3 9 2" xfId="7059" xr:uid="{00000000-0005-0000-0000-0000D3210000}"/>
    <cellStyle name="Note 3 3 9 2 2" xfId="15509" xr:uid="{3717701E-BC7F-4D0E-94D4-C922A28DFC9B}"/>
    <cellStyle name="Note 3 3 9 2 3" xfId="23956" xr:uid="{F5B0A2CD-2287-4AC5-878B-A1AB2092570B}"/>
    <cellStyle name="Note 3 3 9 2 4" xfId="32403" xr:uid="{542ECCD9-94DE-48AC-A46F-CF95FE13A5FF}"/>
    <cellStyle name="Note 3 3 9 3" xfId="11291" xr:uid="{33A6ABE5-A57C-4EDB-88CF-A053429327F3}"/>
    <cellStyle name="Note 3 3 9 4" xfId="19739" xr:uid="{6E2D61C3-1864-445A-A5C7-FE267A74750E}"/>
    <cellStyle name="Note 3 3 9 5" xfId="28186" xr:uid="{28E99F8E-4F70-4F35-A3B6-0AF9E7DC6FFB}"/>
    <cellStyle name="Note 3 4" xfId="560" xr:uid="{00000000-0005-0000-0000-0000D4210000}"/>
    <cellStyle name="Note 3 4 10" xfId="9148" xr:uid="{85589867-FAF7-4219-A692-5DC539AD71B2}"/>
    <cellStyle name="Note 3 4 11" xfId="17596" xr:uid="{248B2A23-0DF7-4249-9BA0-7B12F7C7072A}"/>
    <cellStyle name="Note 3 4 12" xfId="26043" xr:uid="{8C40422C-139E-44FA-AA9D-5B5B051DBC97}"/>
    <cellStyle name="Note 3 4 2" xfId="1020" xr:uid="{00000000-0005-0000-0000-0000D5210000}"/>
    <cellStyle name="Note 3 4 2 2" xfId="3252" xr:uid="{00000000-0005-0000-0000-0000D6210000}"/>
    <cellStyle name="Note 3 4 2 2 2" xfId="7474" xr:uid="{00000000-0005-0000-0000-0000D7210000}"/>
    <cellStyle name="Note 3 4 2 2 2 2" xfId="15924" xr:uid="{B06693D8-8820-4D66-B950-77F0A810706A}"/>
    <cellStyle name="Note 3 4 2 2 2 3" xfId="24371" xr:uid="{7063A756-C942-42B0-AD26-7F362256A1CF}"/>
    <cellStyle name="Note 3 4 2 2 2 4" xfId="32818" xr:uid="{A9BCF5C3-31C1-4585-8AF9-E853DFE2E4EC}"/>
    <cellStyle name="Note 3 4 2 2 3" xfId="11706" xr:uid="{33484FCF-A9E2-4677-85E0-95A639311C57}"/>
    <cellStyle name="Note 3 4 2 2 4" xfId="20154" xr:uid="{B045BE60-2128-48E2-9E36-FD2203FFDE1C}"/>
    <cellStyle name="Note 3 4 2 2 5" xfId="28601" xr:uid="{85713F9C-B087-4421-995A-BEA85793A4FD}"/>
    <cellStyle name="Note 3 4 2 3" xfId="5329" xr:uid="{00000000-0005-0000-0000-0000D8210000}"/>
    <cellStyle name="Note 3 4 2 3 2" xfId="13779" xr:uid="{19A6F7B9-351D-40EF-9F8F-D25CAD35C41B}"/>
    <cellStyle name="Note 3 4 2 3 3" xfId="22226" xr:uid="{05F26855-2FAF-4537-9A4B-C8FF0DC741A3}"/>
    <cellStyle name="Note 3 4 2 3 4" xfId="30673" xr:uid="{25600FC0-8604-40CA-828F-666764A99699}"/>
    <cellStyle name="Note 3 4 2 4" xfId="9561" xr:uid="{96553656-6DE6-4092-8467-3D729C05CC51}"/>
    <cellStyle name="Note 3 4 2 5" xfId="18009" xr:uid="{52C751A0-05A5-497E-87FD-9F344038462A}"/>
    <cellStyle name="Note 3 4 2 6" xfId="26456" xr:uid="{D966774B-3D63-4AC0-A342-D58FD6F9827E}"/>
    <cellStyle name="Note 3 4 3" xfId="1435" xr:uid="{00000000-0005-0000-0000-0000D9210000}"/>
    <cellStyle name="Note 3 4 3 2" xfId="3665" xr:uid="{00000000-0005-0000-0000-0000DA210000}"/>
    <cellStyle name="Note 3 4 3 2 2" xfId="7887" xr:uid="{00000000-0005-0000-0000-0000DB210000}"/>
    <cellStyle name="Note 3 4 3 2 2 2" xfId="16337" xr:uid="{06F1EE5B-D615-45FB-9762-990DA8BCB53A}"/>
    <cellStyle name="Note 3 4 3 2 2 3" xfId="24784" xr:uid="{61D4ABEF-A55A-49D9-B0E5-A0B5C7E63FDD}"/>
    <cellStyle name="Note 3 4 3 2 2 4" xfId="33231" xr:uid="{AB748943-7F4C-4CFB-AA81-6DEDBA9F5403}"/>
    <cellStyle name="Note 3 4 3 2 3" xfId="12119" xr:uid="{3C3E5A8D-5A21-452B-BB62-BFA446181A16}"/>
    <cellStyle name="Note 3 4 3 2 4" xfId="20567" xr:uid="{3D7A108D-C401-4E92-B6BF-FBDDBCFC724F}"/>
    <cellStyle name="Note 3 4 3 2 5" xfId="29014" xr:uid="{2AA2EDAA-E1CA-4CD3-A8D2-F3F01971A6E2}"/>
    <cellStyle name="Note 3 4 3 3" xfId="5742" xr:uid="{00000000-0005-0000-0000-0000DC210000}"/>
    <cellStyle name="Note 3 4 3 3 2" xfId="14192" xr:uid="{DCCF77F9-C522-4B35-8D5D-7C84688B9201}"/>
    <cellStyle name="Note 3 4 3 3 3" xfId="22639" xr:uid="{E9BBEDAA-6C13-4B2E-BFCB-41BAD0127614}"/>
    <cellStyle name="Note 3 4 3 3 4" xfId="31086" xr:uid="{21128B06-059B-4E30-B02D-6C4F0FE10A2C}"/>
    <cellStyle name="Note 3 4 3 4" xfId="9974" xr:uid="{4D149E32-B0F9-4477-BD2B-B78FC98780BF}"/>
    <cellStyle name="Note 3 4 3 5" xfId="18422" xr:uid="{B2478CAA-E163-4EE3-A839-A9F930AF3C99}"/>
    <cellStyle name="Note 3 4 3 6" xfId="26869" xr:uid="{A39BFB91-76ED-435E-814B-D733C39B3B93}"/>
    <cellStyle name="Note 3 4 4" xfId="1849" xr:uid="{00000000-0005-0000-0000-0000DD210000}"/>
    <cellStyle name="Note 3 4 4 2" xfId="4078" xr:uid="{00000000-0005-0000-0000-0000DE210000}"/>
    <cellStyle name="Note 3 4 4 2 2" xfId="8300" xr:uid="{00000000-0005-0000-0000-0000DF210000}"/>
    <cellStyle name="Note 3 4 4 2 2 2" xfId="16750" xr:uid="{6253DEF3-8C61-4A29-AEC4-F79FCE8D024E}"/>
    <cellStyle name="Note 3 4 4 2 2 3" xfId="25197" xr:uid="{5A44BC79-690C-43DB-B1E7-1E151304D2C0}"/>
    <cellStyle name="Note 3 4 4 2 2 4" xfId="33644" xr:uid="{378966C2-C0D6-4A8D-BFF0-F6654452617A}"/>
    <cellStyle name="Note 3 4 4 2 3" xfId="12532" xr:uid="{70EDEA97-03B1-40D3-945F-CA6B25CD1389}"/>
    <cellStyle name="Note 3 4 4 2 4" xfId="20980" xr:uid="{C2CF8BD0-BA3D-4BC7-B206-B071DEF49AF2}"/>
    <cellStyle name="Note 3 4 4 2 5" xfId="29427" xr:uid="{8A838FB1-A7B2-4CE1-894E-D7571D83C7CC}"/>
    <cellStyle name="Note 3 4 4 3" xfId="6155" xr:uid="{00000000-0005-0000-0000-0000E0210000}"/>
    <cellStyle name="Note 3 4 4 3 2" xfId="14605" xr:uid="{57032FF2-6B98-4BE6-9F28-279D1409FB72}"/>
    <cellStyle name="Note 3 4 4 3 3" xfId="23052" xr:uid="{26CED895-FABB-4BED-95AF-1FFB6EA8F26A}"/>
    <cellStyle name="Note 3 4 4 3 4" xfId="31499" xr:uid="{4894031A-CFD7-4157-8F7C-260959CEE85F}"/>
    <cellStyle name="Note 3 4 4 4" xfId="10387" xr:uid="{022E3DBE-6EDC-44B3-B493-A919349DF2D3}"/>
    <cellStyle name="Note 3 4 4 5" xfId="18835" xr:uid="{11663C0D-7E54-45BA-9652-82731034B60D}"/>
    <cellStyle name="Note 3 4 4 6" xfId="27282" xr:uid="{783FAC3E-3B44-49AE-9EAC-7B51EA88BB1B}"/>
    <cellStyle name="Note 3 4 5" xfId="2262" xr:uid="{00000000-0005-0000-0000-0000E1210000}"/>
    <cellStyle name="Note 3 4 5 2" xfId="4491" xr:uid="{00000000-0005-0000-0000-0000E2210000}"/>
    <cellStyle name="Note 3 4 5 2 2" xfId="8713" xr:uid="{00000000-0005-0000-0000-0000E3210000}"/>
    <cellStyle name="Note 3 4 5 2 2 2" xfId="17163" xr:uid="{E4584B02-DBC6-46BE-A2A1-F677E907012D}"/>
    <cellStyle name="Note 3 4 5 2 2 3" xfId="25610" xr:uid="{1941CEF6-FE1A-46BD-8CC1-1EDC4C32AF34}"/>
    <cellStyle name="Note 3 4 5 2 2 4" xfId="34057" xr:uid="{A8941149-2D5F-4FAB-9F03-3B2F8E6D38AC}"/>
    <cellStyle name="Note 3 4 5 2 3" xfId="12945" xr:uid="{A91A35FE-63E6-4505-BC13-31B2DD1FC718}"/>
    <cellStyle name="Note 3 4 5 2 4" xfId="21393" xr:uid="{D57FDD14-F1E0-49F5-9135-FF2F97A138F7}"/>
    <cellStyle name="Note 3 4 5 2 5" xfId="29840" xr:uid="{1ED854FB-FDD4-46CA-8205-7A7205CF34CA}"/>
    <cellStyle name="Note 3 4 5 3" xfId="6568" xr:uid="{00000000-0005-0000-0000-0000E4210000}"/>
    <cellStyle name="Note 3 4 5 3 2" xfId="15018" xr:uid="{28540243-5556-4AFC-B418-78A3960341C9}"/>
    <cellStyle name="Note 3 4 5 3 3" xfId="23465" xr:uid="{45329169-7E89-4C99-A51C-3E1C2B872D14}"/>
    <cellStyle name="Note 3 4 5 3 4" xfId="31912" xr:uid="{2D57DE1A-D302-4F32-A5D6-F5E69DA63522}"/>
    <cellStyle name="Note 3 4 5 4" xfId="10800" xr:uid="{47C9D68A-1D84-4E8C-9001-72FD5AFE3609}"/>
    <cellStyle name="Note 3 4 5 5" xfId="19248" xr:uid="{0BE74202-4ABC-4F01-AB51-091436A2D7C0}"/>
    <cellStyle name="Note 3 4 5 6" xfId="27695" xr:uid="{5A9A969F-B375-4700-8C27-6A033481230A}"/>
    <cellStyle name="Note 3 4 6" xfId="2698" xr:uid="{00000000-0005-0000-0000-0000E5210000}"/>
    <cellStyle name="Note 3 4 6 2" xfId="6981" xr:uid="{00000000-0005-0000-0000-0000E6210000}"/>
    <cellStyle name="Note 3 4 6 2 2" xfId="15431" xr:uid="{3227EC24-EA82-4A1C-8922-F61C0B4FB58A}"/>
    <cellStyle name="Note 3 4 6 2 3" xfId="23878" xr:uid="{2CBCF1E9-C3FE-4EB9-B320-DA39403BF794}"/>
    <cellStyle name="Note 3 4 6 2 4" xfId="32325" xr:uid="{F438BD84-817C-4369-B9BC-20FC1A1B9A87}"/>
    <cellStyle name="Note 3 4 6 3" xfId="11213" xr:uid="{277AC0D1-7F8E-42F9-8EEA-6183E5503EF4}"/>
    <cellStyle name="Note 3 4 6 4" xfId="19661" xr:uid="{F52FC7F0-52CB-48B9-AD36-1BD1911F59D1}"/>
    <cellStyle name="Note 3 4 6 5" xfId="28108" xr:uid="{0BC424E7-3012-46B0-BEAA-0212FAA8FBF0}"/>
    <cellStyle name="Note 3 4 7" xfId="2757" xr:uid="{00000000-0005-0000-0000-0000E7210000}"/>
    <cellStyle name="Note 3 4 8" xfId="2838" xr:uid="{00000000-0005-0000-0000-0000E8210000}"/>
    <cellStyle name="Note 3 4 8 2" xfId="7061" xr:uid="{00000000-0005-0000-0000-0000E9210000}"/>
    <cellStyle name="Note 3 4 8 2 2" xfId="15511" xr:uid="{FEFBD0D5-79A2-4140-B308-0913A7A2AFED}"/>
    <cellStyle name="Note 3 4 8 2 3" xfId="23958" xr:uid="{71605F36-D9C9-4A72-BD16-BBC15C5D7BC9}"/>
    <cellStyle name="Note 3 4 8 2 4" xfId="32405" xr:uid="{BFF892A0-81AE-480D-ABA2-BF945EF329E6}"/>
    <cellStyle name="Note 3 4 8 3" xfId="11293" xr:uid="{99B7E965-5B46-4090-95E2-C2AC9CE226A0}"/>
    <cellStyle name="Note 3 4 8 4" xfId="19741" xr:uid="{B373008C-9C7E-4C6F-BE18-F4B2E8EE452D}"/>
    <cellStyle name="Note 3 4 8 5" xfId="28188" xr:uid="{F92E0385-C40D-4EB6-98B3-438246D5CD19}"/>
    <cellStyle name="Note 3 4 9" xfId="4916" xr:uid="{00000000-0005-0000-0000-0000EA210000}"/>
    <cellStyle name="Note 3 4 9 2" xfId="13366" xr:uid="{F8F0A819-8218-452E-A47F-3BB73011232C}"/>
    <cellStyle name="Note 3 4 9 3" xfId="21813" xr:uid="{891E44E9-A348-486C-9A2E-135953CD7C98}"/>
    <cellStyle name="Note 3 4 9 4" xfId="30260" xr:uid="{73404E4A-AEDE-41BC-A1D0-CE95F6D55A45}"/>
    <cellStyle name="Note 3 5" xfId="561" xr:uid="{00000000-0005-0000-0000-0000EB210000}"/>
    <cellStyle name="Note 3 5 10" xfId="9149" xr:uid="{EC281071-4315-4B62-8543-7A012478B877}"/>
    <cellStyle name="Note 3 5 11" xfId="17597" xr:uid="{A3B1C3E4-53AF-4EC8-BF58-88FBC0DEA76A}"/>
    <cellStyle name="Note 3 5 12" xfId="26044" xr:uid="{E5016B53-F428-4854-A36B-C941C109B432}"/>
    <cellStyle name="Note 3 5 2" xfId="1021" xr:uid="{00000000-0005-0000-0000-0000EC210000}"/>
    <cellStyle name="Note 3 5 2 2" xfId="3253" xr:uid="{00000000-0005-0000-0000-0000ED210000}"/>
    <cellStyle name="Note 3 5 2 2 2" xfId="7475" xr:uid="{00000000-0005-0000-0000-0000EE210000}"/>
    <cellStyle name="Note 3 5 2 2 2 2" xfId="15925" xr:uid="{906366B1-D0FD-440E-94D4-7BCA06C76381}"/>
    <cellStyle name="Note 3 5 2 2 2 3" xfId="24372" xr:uid="{B23F6E96-0FE1-447A-894F-E5B9210A7922}"/>
    <cellStyle name="Note 3 5 2 2 2 4" xfId="32819" xr:uid="{1CC1886D-F3CD-4926-B8F8-C8EC85EA9B12}"/>
    <cellStyle name="Note 3 5 2 2 3" xfId="11707" xr:uid="{9D256DE0-E335-4418-9BCF-C7B4EE14FED2}"/>
    <cellStyle name="Note 3 5 2 2 4" xfId="20155" xr:uid="{316DF5C0-1881-4758-B50D-0358CE4BF29B}"/>
    <cellStyle name="Note 3 5 2 2 5" xfId="28602" xr:uid="{F893ED3C-0EC2-444F-9A46-473485019431}"/>
    <cellStyle name="Note 3 5 2 3" xfId="5330" xr:uid="{00000000-0005-0000-0000-0000EF210000}"/>
    <cellStyle name="Note 3 5 2 3 2" xfId="13780" xr:uid="{284D17E6-0E4D-42CC-9520-AD9A989AEEE7}"/>
    <cellStyle name="Note 3 5 2 3 3" xfId="22227" xr:uid="{08831CB8-BD74-4B1E-B62A-06F70D333882}"/>
    <cellStyle name="Note 3 5 2 3 4" xfId="30674" xr:uid="{0E2D71DD-38B3-412B-90B0-F6E0DBBC4AC1}"/>
    <cellStyle name="Note 3 5 2 4" xfId="9562" xr:uid="{F88344D1-C80A-4B16-ADCA-3A42E161ECD5}"/>
    <cellStyle name="Note 3 5 2 5" xfId="18010" xr:uid="{12BDC217-C12A-4660-9F69-97ED54C28FFA}"/>
    <cellStyle name="Note 3 5 2 6" xfId="26457" xr:uid="{47AF802A-5C98-484D-A392-293A85111CB9}"/>
    <cellStyle name="Note 3 5 3" xfId="1436" xr:uid="{00000000-0005-0000-0000-0000F0210000}"/>
    <cellStyle name="Note 3 5 3 2" xfId="3666" xr:uid="{00000000-0005-0000-0000-0000F1210000}"/>
    <cellStyle name="Note 3 5 3 2 2" xfId="7888" xr:uid="{00000000-0005-0000-0000-0000F2210000}"/>
    <cellStyle name="Note 3 5 3 2 2 2" xfId="16338" xr:uid="{96FFBCAA-E086-4CC8-86DE-5FA0C947D41B}"/>
    <cellStyle name="Note 3 5 3 2 2 3" xfId="24785" xr:uid="{F249D9C0-AB25-4646-8B95-522930F07630}"/>
    <cellStyle name="Note 3 5 3 2 2 4" xfId="33232" xr:uid="{FAEC29E7-0096-4F3F-A589-25CF2A0A0E1A}"/>
    <cellStyle name="Note 3 5 3 2 3" xfId="12120" xr:uid="{E1DF0DF7-7462-4C41-A901-85D453D18216}"/>
    <cellStyle name="Note 3 5 3 2 4" xfId="20568" xr:uid="{826148DB-ED70-43FE-A5F5-D987F6D416D1}"/>
    <cellStyle name="Note 3 5 3 2 5" xfId="29015" xr:uid="{1016A606-18A1-4DE4-B7F3-4B238C1EB5E9}"/>
    <cellStyle name="Note 3 5 3 3" xfId="5743" xr:uid="{00000000-0005-0000-0000-0000F3210000}"/>
    <cellStyle name="Note 3 5 3 3 2" xfId="14193" xr:uid="{19445631-5D6A-49D0-8BE7-BE3DE706C0D8}"/>
    <cellStyle name="Note 3 5 3 3 3" xfId="22640" xr:uid="{AE371EAA-47EB-4EF4-B070-EF4B8F41CAD8}"/>
    <cellStyle name="Note 3 5 3 3 4" xfId="31087" xr:uid="{FBB0F079-CDA2-4BE5-A828-710800EBE47F}"/>
    <cellStyle name="Note 3 5 3 4" xfId="9975" xr:uid="{5368D37D-BC6C-4257-A7C5-26CAFB858BE3}"/>
    <cellStyle name="Note 3 5 3 5" xfId="18423" xr:uid="{2FFFBB34-8530-45D5-BD4A-FD138E43D1BD}"/>
    <cellStyle name="Note 3 5 3 6" xfId="26870" xr:uid="{19C913A0-BA58-48E4-B5D5-D764F6E14418}"/>
    <cellStyle name="Note 3 5 4" xfId="1850" xr:uid="{00000000-0005-0000-0000-0000F4210000}"/>
    <cellStyle name="Note 3 5 4 2" xfId="4079" xr:uid="{00000000-0005-0000-0000-0000F5210000}"/>
    <cellStyle name="Note 3 5 4 2 2" xfId="8301" xr:uid="{00000000-0005-0000-0000-0000F6210000}"/>
    <cellStyle name="Note 3 5 4 2 2 2" xfId="16751" xr:uid="{FFB139FF-86D0-4B58-958B-75D068A9FBBB}"/>
    <cellStyle name="Note 3 5 4 2 2 3" xfId="25198" xr:uid="{439F6DEF-D7D8-431A-8A40-7399A29C8EA5}"/>
    <cellStyle name="Note 3 5 4 2 2 4" xfId="33645" xr:uid="{1BE9DB9E-2DFF-482E-A652-60CED4410274}"/>
    <cellStyle name="Note 3 5 4 2 3" xfId="12533" xr:uid="{4CABDF86-E6C4-4CCE-9CC5-3ADEF05C3447}"/>
    <cellStyle name="Note 3 5 4 2 4" xfId="20981" xr:uid="{137B9D25-4D3D-4845-9CA1-5E639FD0D8C9}"/>
    <cellStyle name="Note 3 5 4 2 5" xfId="29428" xr:uid="{36303B40-5D8C-4119-AC4C-FD0E7AB51882}"/>
    <cellStyle name="Note 3 5 4 3" xfId="6156" xr:uid="{00000000-0005-0000-0000-0000F7210000}"/>
    <cellStyle name="Note 3 5 4 3 2" xfId="14606" xr:uid="{95DEB491-20A4-4E00-A20D-215CA44A72AE}"/>
    <cellStyle name="Note 3 5 4 3 3" xfId="23053" xr:uid="{5DCB9BEB-4A66-4234-8660-1D7FD3EFD9F6}"/>
    <cellStyle name="Note 3 5 4 3 4" xfId="31500" xr:uid="{611F2DB9-AF02-41CB-8FBF-3C340E13A0FF}"/>
    <cellStyle name="Note 3 5 4 4" xfId="10388" xr:uid="{1BBE9DD7-2650-465C-B8A4-1922AC1F1F72}"/>
    <cellStyle name="Note 3 5 4 5" xfId="18836" xr:uid="{CBF1503E-77DF-4853-9F06-D4E2469E7ABF}"/>
    <cellStyle name="Note 3 5 4 6" xfId="27283" xr:uid="{384FA4F9-7677-4E23-9B56-29E7BEFE40A5}"/>
    <cellStyle name="Note 3 5 5" xfId="2263" xr:uid="{00000000-0005-0000-0000-0000F8210000}"/>
    <cellStyle name="Note 3 5 5 2" xfId="4492" xr:uid="{00000000-0005-0000-0000-0000F9210000}"/>
    <cellStyle name="Note 3 5 5 2 2" xfId="8714" xr:uid="{00000000-0005-0000-0000-0000FA210000}"/>
    <cellStyle name="Note 3 5 5 2 2 2" xfId="17164" xr:uid="{C44E3BC5-0AE0-4EBB-A033-883B1B87D958}"/>
    <cellStyle name="Note 3 5 5 2 2 3" xfId="25611" xr:uid="{8F2AFF1C-4B82-4766-8F65-A6664860EC94}"/>
    <cellStyle name="Note 3 5 5 2 2 4" xfId="34058" xr:uid="{F2921265-5FB5-4F9C-8BAB-F9D5D5772BAE}"/>
    <cellStyle name="Note 3 5 5 2 3" xfId="12946" xr:uid="{8D20F062-F0BF-412F-85B7-ADEBF43E20C1}"/>
    <cellStyle name="Note 3 5 5 2 4" xfId="21394" xr:uid="{3FE1A7A2-D5B9-4BDF-85FD-192092089527}"/>
    <cellStyle name="Note 3 5 5 2 5" xfId="29841" xr:uid="{DBD2EF41-DB4B-45C6-A45D-CE662B6114E9}"/>
    <cellStyle name="Note 3 5 5 3" xfId="6569" xr:uid="{00000000-0005-0000-0000-0000FB210000}"/>
    <cellStyle name="Note 3 5 5 3 2" xfId="15019" xr:uid="{088D505C-F38F-4519-92FC-A17055E3934F}"/>
    <cellStyle name="Note 3 5 5 3 3" xfId="23466" xr:uid="{459916B4-37D4-4B58-B523-3F4990524D57}"/>
    <cellStyle name="Note 3 5 5 3 4" xfId="31913" xr:uid="{C2D44D48-3433-4A68-BC8E-9FCDCD1087B0}"/>
    <cellStyle name="Note 3 5 5 4" xfId="10801" xr:uid="{E1A637E7-1BFD-4C1C-B7FF-292C413BA5D8}"/>
    <cellStyle name="Note 3 5 5 5" xfId="19249" xr:uid="{AE9C87AE-EE3B-48C7-B042-475A00110E03}"/>
    <cellStyle name="Note 3 5 5 6" xfId="27696" xr:uid="{00111D92-0C32-4D10-9CA5-4508557F3D05}"/>
    <cellStyle name="Note 3 5 6" xfId="2699" xr:uid="{00000000-0005-0000-0000-0000FC210000}"/>
    <cellStyle name="Note 3 5 6 2" xfId="6982" xr:uid="{00000000-0005-0000-0000-0000FD210000}"/>
    <cellStyle name="Note 3 5 6 2 2" xfId="15432" xr:uid="{35B4AD48-F1C6-4B22-B79B-16CEDDDDBB80}"/>
    <cellStyle name="Note 3 5 6 2 3" xfId="23879" xr:uid="{82211FEB-D60D-4469-A70B-496332ADA672}"/>
    <cellStyle name="Note 3 5 6 2 4" xfId="32326" xr:uid="{73DC84E6-9EB7-4B03-A987-7A59D28DDA34}"/>
    <cellStyle name="Note 3 5 6 3" xfId="11214" xr:uid="{0BEBC6BD-C09E-4B83-8351-EF2A0F5BDC79}"/>
    <cellStyle name="Note 3 5 6 4" xfId="19662" xr:uid="{6B8B9A87-1432-4AE1-9CC0-CCD93150646F}"/>
    <cellStyle name="Note 3 5 6 5" xfId="28109" xr:uid="{A0654370-4308-4D60-9E2E-7E6310F9546E}"/>
    <cellStyle name="Note 3 5 7" xfId="2758" xr:uid="{00000000-0005-0000-0000-0000FE210000}"/>
    <cellStyle name="Note 3 5 8" xfId="2839" xr:uid="{00000000-0005-0000-0000-0000FF210000}"/>
    <cellStyle name="Note 3 5 8 2" xfId="7062" xr:uid="{00000000-0005-0000-0000-000000220000}"/>
    <cellStyle name="Note 3 5 8 2 2" xfId="15512" xr:uid="{CE2152A5-E0C2-4A4F-AD13-5C59937E286A}"/>
    <cellStyle name="Note 3 5 8 2 3" xfId="23959" xr:uid="{AC6BCA58-94D3-4328-80AF-096C5455B6EB}"/>
    <cellStyle name="Note 3 5 8 2 4" xfId="32406" xr:uid="{F1B2B7A1-B0E3-470F-9A1B-F12A8B0B9D60}"/>
    <cellStyle name="Note 3 5 8 3" xfId="11294" xr:uid="{F22220F7-561A-4DC0-99AB-C9665583E4FC}"/>
    <cellStyle name="Note 3 5 8 4" xfId="19742" xr:uid="{0CD8EE21-4F0F-40F5-A2E1-C2537F3DC480}"/>
    <cellStyle name="Note 3 5 8 5" xfId="28189" xr:uid="{E4CC17EF-8E7F-4E69-98CA-61A1AFF9397A}"/>
    <cellStyle name="Note 3 5 9" xfId="4917" xr:uid="{00000000-0005-0000-0000-000001220000}"/>
    <cellStyle name="Note 3 5 9 2" xfId="13367" xr:uid="{661BEEFF-3FC4-490D-8BC4-BFA36D1C9A8A}"/>
    <cellStyle name="Note 3 5 9 3" xfId="21814" xr:uid="{842D9E71-BDB7-444B-9675-049AF3EDBBF8}"/>
    <cellStyle name="Note 3 5 9 4" xfId="30261" xr:uid="{CDBB94D6-3F56-419D-AF6B-5EB3CAB1A66F}"/>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5464C567-AC45-4E5A-9209-A9AD62C1EAC2}"/>
    <cellStyle name="Percent 3 3" xfId="21397" xr:uid="{D8972437-9D10-46E2-B5A0-4E45EC487641}"/>
    <cellStyle name="Percent 3 4" xfId="29844" xr:uid="{EDC2E970-44C1-432C-A5E6-A697F3B9AF2B}"/>
    <cellStyle name="Percent 4" xfId="4502" xr:uid="{00000000-0005-0000-0000-000007220000}"/>
    <cellStyle name="Percent 4 2" xfId="8717" xr:uid="{00000000-0005-0000-0000-000008220000}"/>
    <cellStyle name="Percent 4 2 2" xfId="17167" xr:uid="{06EC63BB-05C8-4197-BD91-6A5C9D9AFDBC}"/>
    <cellStyle name="Percent 4 2 3" xfId="25614" xr:uid="{5CF08763-DC67-4068-A652-CF03B3270C9C}"/>
    <cellStyle name="Percent 4 2 4" xfId="34061" xr:uid="{6AB84572-29A2-4F9F-A2C6-63AD85E1AAEC}"/>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C9366507-8AD4-418A-9B2E-A703BFD3F279}"/>
    <cellStyle name="Percent 4 3 2 2 2 2 3" xfId="25630" xr:uid="{082EED78-1148-4FF2-B44C-6A0B005C940E}"/>
    <cellStyle name="Percent 4 3 2 2 2 2 4" xfId="34077" xr:uid="{65536F1F-517D-4676-8452-61ACB41D183F}"/>
    <cellStyle name="Percent 4 3 2 2 2 3" xfId="17180" xr:uid="{3CA21FC4-03C9-4A07-85F1-D384F457EB78}"/>
    <cellStyle name="Percent 4 3 2 2 2 4" xfId="25627" xr:uid="{1F7E634E-F3F7-4B85-BE12-405138E5C98A}"/>
    <cellStyle name="Percent 4 3 2 2 2 5" xfId="34074" xr:uid="{98327961-F561-4EB7-99BB-779BC6F3DBFE}"/>
    <cellStyle name="Percent 4 3 2 2 3" xfId="17176" xr:uid="{9E18D9DD-225B-43CC-B8F6-98FD32D77189}"/>
    <cellStyle name="Percent 4 3 2 2 4" xfId="25623" xr:uid="{9F7EF481-8BDF-4464-BF42-1DAB94115552}"/>
    <cellStyle name="Percent 4 3 2 2 5" xfId="34070" xr:uid="{C60217D7-07C7-442F-85F0-9C5670E93B60}"/>
    <cellStyle name="Percent 4 3 2 3" xfId="17173" xr:uid="{99678F2E-F19D-42E2-A86B-9C50B862881C}"/>
    <cellStyle name="Percent 4 3 2 4" xfId="25620" xr:uid="{D1A40A86-4F55-4EE3-B0E5-8F84ACD683FC}"/>
    <cellStyle name="Percent 4 3 2 5" xfId="34067" xr:uid="{B0900E9A-C4EC-4C84-9E07-0FBE998D9307}"/>
    <cellStyle name="Percent 4 3 3" xfId="17170" xr:uid="{574ADF5F-850D-4DC2-BA9A-0CD8D76F8A03}"/>
    <cellStyle name="Percent 4 3 4" xfId="25617" xr:uid="{C509BF14-F2F3-4B3D-911B-C6941A05EADB}"/>
    <cellStyle name="Percent 4 3 5" xfId="34064" xr:uid="{71289D5B-68C3-408E-A563-8AE90F9333F3}"/>
    <cellStyle name="Percent 4 4" xfId="12953" xr:uid="{058EEAE1-D9EF-424C-B4C6-BF713C4860BF}"/>
    <cellStyle name="Percent 4 5" xfId="21400" xr:uid="{DDF4585B-2441-4233-B78C-78A6B88F5900}"/>
    <cellStyle name="Percent 4 6" xfId="29847" xr:uid="{C2F1285D-8E06-48B4-A3AD-C5771085834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6328125" customWidth="1"/>
    <col min="6" max="6" width="3" customWidth="1"/>
    <col min="7" max="38" width="2.6328125" customWidth="1"/>
    <col min="39" max="16384" width="2.6328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8" t="s">
        <v>2034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ht="13">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ht="13">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2035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ht="13">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ht="13">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8" t="s">
        <v>2603</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ht="13">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ht="13">
      <c r="A18" s="204"/>
      <c r="B18" s="204"/>
      <c r="C18" s="205"/>
      <c r="D18" s="519" t="s">
        <v>2602</v>
      </c>
      <c r="E18" s="441"/>
      <c r="G18" s="441"/>
      <c r="H18" s="441"/>
      <c r="I18" s="441"/>
      <c r="J18" s="1270" t="s">
        <v>2601</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8" t="s">
        <v>2036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ht="13">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ht="13">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ht="13">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ht="13">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ht="13">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ht="13">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ht="13">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8" t="s">
        <v>2037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ht="13">
      <c r="A31" s="204"/>
      <c r="B31" s="204"/>
      <c r="C31" s="205"/>
      <c r="D31" s="455"/>
      <c r="E31" s="1276" t="s">
        <v>2517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ht="13">
      <c r="A32" s="4"/>
      <c r="C32" s="2"/>
    </row>
    <row r="33" spans="1:38">
      <c r="A33" s="4"/>
      <c r="D33" s="1269" t="s">
        <v>2141</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ht="13">
      <c r="A35" s="4"/>
      <c r="D35" s="120"/>
      <c r="E35" s="1275" t="s">
        <v>2044</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ht="13">
      <c r="A36" s="4"/>
      <c r="D36" s="120"/>
      <c r="E36" s="1275" t="s">
        <v>2045</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5" customHeight="1">
      <c r="A40" s="4"/>
      <c r="B40"/>
      <c r="C40" s="2"/>
      <c r="D40" s="4"/>
      <c r="E40" s="4" t="s">
        <v>653</v>
      </c>
      <c r="F40" s="1268" t="s">
        <v>1164</v>
      </c>
    </row>
    <row r="41" spans="1:38" s="1268"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8" t="s">
        <v>2039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ht="13">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ht="13">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1" t="s">
        <v>2040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ht="13">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ht="13">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ht="13">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ht="13">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ht="13">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ht="13">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ht="13">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ht="13">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ht="13">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ht="13">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ht="13">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ht="13">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ht="13">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ht="13">
      <c r="A367"/>
      <c r="B367" s="2"/>
      <c r="C367"/>
      <c r="D367"/>
      <c r="E367" s="1273" t="s">
        <v>1258</v>
      </c>
    </row>
    <row r="368" spans="1:38" s="127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ht="13">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ht="13">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B94" zoomScale="140" zoomScaleNormal="140" workbookViewId="0">
      <selection activeCell="G45" sqref="G45"/>
    </sheetView>
  </sheetViews>
  <sheetFormatPr defaultColWidth="9.08984375" defaultRowHeight="14"/>
  <cols>
    <col min="1" max="1" width="2.36328125" style="1044" customWidth="1"/>
    <col min="2" max="9" width="14.6328125" style="1044" customWidth="1"/>
    <col min="10" max="10" width="2.36328125" style="1044" customWidth="1"/>
    <col min="11" max="11" width="11.81640625" style="1045" customWidth="1"/>
    <col min="12" max="12" width="10.6328125" style="1044" customWidth="1"/>
    <col min="13" max="13" width="10.36328125" style="1044" customWidth="1"/>
    <col min="14" max="14" width="10.81640625" style="1044" customWidth="1"/>
    <col min="15" max="18" width="9.08984375" style="1044"/>
    <col min="19" max="19" width="9.36328125" style="1044" bestFit="1" customWidth="1"/>
    <col min="20" max="16384" width="9.08984375" style="1044"/>
  </cols>
  <sheetData>
    <row r="1" spans="1:13" ht="30" customHeight="1">
      <c r="A1" s="2674" t="s">
        <v>1585</v>
      </c>
      <c r="B1" s="2674"/>
      <c r="C1" s="2674"/>
      <c r="D1" s="2674"/>
      <c r="E1" s="2674"/>
      <c r="F1" s="2674"/>
      <c r="G1" s="2674"/>
      <c r="H1" s="2674"/>
      <c r="I1" s="2674"/>
      <c r="J1" s="2674"/>
    </row>
    <row r="2" spans="1:13" ht="15" customHeight="1" thickBot="1">
      <c r="A2" s="1046"/>
      <c r="B2" s="1046"/>
      <c r="I2" s="1047"/>
      <c r="K2" s="1048"/>
    </row>
    <row r="3" spans="1:13" s="1051" customFormat="1" ht="20" customHeight="1">
      <c r="A3" s="1100"/>
      <c r="B3" s="1101"/>
      <c r="C3" s="1102"/>
      <c r="D3" s="1107"/>
      <c r="E3" s="1102"/>
      <c r="F3" s="1103" t="s">
        <v>1989</v>
      </c>
      <c r="G3" s="1102"/>
      <c r="H3" s="1104">
        <f>E18</f>
        <v>16959184</v>
      </c>
      <c r="I3" s="1105"/>
    </row>
    <row r="4" spans="1:13" s="1051" customFormat="1" ht="20" customHeight="1">
      <c r="B4" s="1094"/>
      <c r="D4" s="1108"/>
      <c r="F4" s="1092" t="s">
        <v>1991</v>
      </c>
      <c r="G4" s="1091" t="s">
        <v>1990</v>
      </c>
      <c r="H4" s="1093">
        <f>I18</f>
        <v>10606572.712418301</v>
      </c>
      <c r="I4" s="1095"/>
      <c r="K4" s="1055"/>
    </row>
    <row r="5" spans="1:13" s="1051" customFormat="1" ht="20" customHeight="1" thickBot="1">
      <c r="B5" s="1096"/>
      <c r="C5" s="1097"/>
      <c r="D5" s="1109"/>
      <c r="E5" s="1098"/>
      <c r="F5" s="1109" t="s">
        <v>1941</v>
      </c>
      <c r="G5" s="1110"/>
      <c r="H5" s="1106">
        <f>IFERROR(H3/H4,0)</f>
        <v>1.5989315738291208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7" t="s">
        <v>1939</v>
      </c>
      <c r="C8" s="2678"/>
      <c r="D8" s="2678"/>
      <c r="E8" s="2679"/>
      <c r="G8" s="2680" t="s">
        <v>1940</v>
      </c>
      <c r="H8" s="2681"/>
      <c r="I8" s="2682"/>
      <c r="K8" s="1057"/>
    </row>
    <row r="9" spans="1:13" ht="15" customHeight="1">
      <c r="A9" s="1046"/>
      <c r="B9" s="2675" t="s">
        <v>1973</v>
      </c>
      <c r="C9" s="2675"/>
      <c r="D9" s="2675"/>
      <c r="E9" s="1059">
        <f>G33</f>
        <v>2725000</v>
      </c>
      <c r="G9" s="2683" t="s">
        <v>1971</v>
      </c>
      <c r="H9" s="2683"/>
      <c r="I9" s="1060">
        <f>SUMIF(Application!M554:M565,"Loan, Tax-Exempt",Application!AM554:AM565)</f>
        <v>10000000</v>
      </c>
      <c r="K9" s="1061"/>
      <c r="M9" s="1062"/>
    </row>
    <row r="10" spans="1:13" ht="15" customHeight="1" thickBot="1">
      <c r="A10" s="1046"/>
      <c r="B10" s="2675" t="s">
        <v>1974</v>
      </c>
      <c r="C10" s="2675"/>
      <c r="D10" s="2675"/>
      <c r="E10" s="1060">
        <f>G47</f>
        <v>8658684</v>
      </c>
      <c r="G10" s="2687" t="s">
        <v>1942</v>
      </c>
      <c r="H10" s="2687"/>
      <c r="I10" s="1140">
        <f>'Basis &amp; Credits'!AB78</f>
        <v>4350000</v>
      </c>
      <c r="M10" s="1062"/>
    </row>
    <row r="11" spans="1:13" ht="15" customHeight="1">
      <c r="A11" s="1046"/>
      <c r="B11" s="2691" t="s">
        <v>2262</v>
      </c>
      <c r="C11" s="2692"/>
      <c r="D11" s="2693"/>
      <c r="E11" s="1060">
        <f>SUM(E12,E13)</f>
        <v>180000</v>
      </c>
      <c r="G11" s="2690" t="s">
        <v>1982</v>
      </c>
      <c r="H11" s="2690"/>
      <c r="I11" s="1139">
        <f>I9+I10</f>
        <v>14350000</v>
      </c>
      <c r="M11" s="1062"/>
    </row>
    <row r="12" spans="1:13" ht="15" customHeight="1">
      <c r="A12" s="1063"/>
      <c r="B12" s="2676" t="s">
        <v>2264</v>
      </c>
      <c r="C12" s="2676"/>
      <c r="D12" s="2676"/>
      <c r="E12" s="1165">
        <f>G56</f>
        <v>0</v>
      </c>
      <c r="M12" s="1062"/>
    </row>
    <row r="13" spans="1:13" ht="15" customHeight="1">
      <c r="A13" s="1049"/>
      <c r="B13" s="2676" t="s">
        <v>2265</v>
      </c>
      <c r="C13" s="2676"/>
      <c r="D13" s="2676"/>
      <c r="E13" s="1165">
        <f>G65</f>
        <v>180000</v>
      </c>
      <c r="G13" s="2680" t="s">
        <v>2005</v>
      </c>
      <c r="H13" s="2681"/>
      <c r="I13" s="2682"/>
      <c r="M13" s="1062"/>
    </row>
    <row r="14" spans="1:13" ht="15" customHeight="1">
      <c r="A14" s="1049"/>
      <c r="B14" s="2691" t="s">
        <v>2263</v>
      </c>
      <c r="C14" s="2692"/>
      <c r="D14" s="2693"/>
      <c r="E14" s="1167">
        <f>MAX(E15,E16)+E17</f>
        <v>5395500</v>
      </c>
      <c r="G14" s="2683" t="s">
        <v>139</v>
      </c>
      <c r="H14" s="2683"/>
      <c r="I14" s="1064">
        <f>15%*(AND(G120="Yes",G122&lt;&gt;""))</f>
        <v>0.15</v>
      </c>
      <c r="M14" s="1062"/>
    </row>
    <row r="15" spans="1:13" ht="15" customHeight="1">
      <c r="A15" s="1049"/>
      <c r="B15" s="2694" t="s">
        <v>2269</v>
      </c>
      <c r="C15" s="2695"/>
      <c r="D15" s="2696"/>
      <c r="E15" s="1165">
        <f>G80</f>
        <v>1635000</v>
      </c>
      <c r="G15" s="1137" t="s">
        <v>1983</v>
      </c>
      <c r="H15" s="1137"/>
      <c r="I15" s="1064">
        <f>IF(Application!AJ1032&gt;0,10%,IF(Application!AJ1036&gt;0,5%,0))</f>
        <v>0.05</v>
      </c>
      <c r="M15" s="1062"/>
    </row>
    <row r="16" spans="1:13" ht="15" customHeight="1">
      <c r="A16" s="1049"/>
      <c r="B16" s="2694" t="s">
        <v>2268</v>
      </c>
      <c r="C16" s="2695"/>
      <c r="D16" s="2696"/>
      <c r="E16" s="1165">
        <f>G90</f>
        <v>0</v>
      </c>
      <c r="G16" s="2683" t="s">
        <v>1984</v>
      </c>
      <c r="H16" s="2683"/>
      <c r="I16" s="1064">
        <f>G132</f>
        <v>6.0866013071895424E-2</v>
      </c>
    </row>
    <row r="17" spans="1:21" ht="15" customHeight="1" thickBot="1">
      <c r="A17" s="1049"/>
      <c r="B17" s="2694" t="s">
        <v>2267</v>
      </c>
      <c r="C17" s="2695"/>
      <c r="D17" s="2696"/>
      <c r="E17" s="1165">
        <f>G115</f>
        <v>3760500</v>
      </c>
      <c r="G17" s="2683" t="s">
        <v>2277</v>
      </c>
      <c r="H17" s="2683"/>
      <c r="I17" s="1064">
        <f>IF(AND(G139="Yes",OR(G136,G137)),IF(G143&gt;15%,15%,G143),0)</f>
        <v>0</v>
      </c>
    </row>
    <row r="18" spans="1:21" ht="15" customHeight="1">
      <c r="A18" s="1046"/>
      <c r="B18" s="2686" t="s">
        <v>1938</v>
      </c>
      <c r="C18" s="2686"/>
      <c r="D18" s="2686"/>
      <c r="E18" s="1111">
        <f>SUM(E9:E11,E14)</f>
        <v>16959184</v>
      </c>
      <c r="G18" s="1138" t="s">
        <v>1972</v>
      </c>
      <c r="H18" s="1138"/>
      <c r="I18" s="1112">
        <f>I11-((I11*I14)+(I11*I15)+(I11*I16)+(I11*I17))</f>
        <v>10606572.712418301</v>
      </c>
      <c r="M18" s="1065">
        <f>SUM(Cdlac[Quantity])</f>
        <v>44</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0.6</v>
      </c>
      <c r="O20" s="1071">
        <f>IF(Cdlac[[#This Row],[Quantity]]&gt;0,IF(Cdlac[[#This Row],[Federal]],30%,IF(AND(OR(NOT($G$38),$G$38=""),$G$43),40%,Cdlac[[#This Row],[iAMI]])),"")</f>
        <v>0.6</v>
      </c>
      <c r="P20" s="1065" cm="1">
        <f t="array" ref="P20">IF(Cdlac[[#This Row],[Quantity]]&gt;0,INDEX(TcacRents,$P$18,Cdlac[[#This Row],[Bedrooms]]+1)*Cdlac[[#This Row],[AMI]],"")</f>
        <v>1704</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377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4" t="s">
        <v>1986</v>
      </c>
      <c r="D22" s="2684" t="s">
        <v>1987</v>
      </c>
      <c r="E22" s="2684" t="s">
        <v>1988</v>
      </c>
      <c r="F22" s="2684" t="s">
        <v>2608</v>
      </c>
      <c r="G22" s="2684" t="s">
        <v>1985</v>
      </c>
      <c r="H22" s="1070"/>
      <c r="I22" s="1069"/>
      <c r="L22" s="1044">
        <f>IFERROR(MIN(4,MATCH(Application!B720,UnitSizes,0)-1),"")</f>
        <v>1</v>
      </c>
      <c r="M22" s="1065">
        <f>Application!G720</f>
        <v>1</v>
      </c>
      <c r="N22" s="1071">
        <f>Application!AC720</f>
        <v>0.4</v>
      </c>
      <c r="O22" s="1071">
        <f>IF(Cdlac[[#This Row],[Quantity]]&gt;0,IF(Cdlac[[#This Row],[Federal]],30%,IF(AND(OR(NOT($G$38),$G$38=""),$G$43),40%,Cdlac[[#This Row],[iAMI]])),"")</f>
        <v>0.4</v>
      </c>
      <c r="P22" s="1065" cm="1">
        <f t="array" ref="P22">IF(Cdlac[[#This Row],[Quantity]]&gt;0,INDEX(TcacRents,$P$18,Cdlac[[#This Row],[Bedrooms]]+1)*Cdlac[[#This Row],[AMI]],"")</f>
        <v>1136</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945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5"/>
      <c r="D23" s="2685"/>
      <c r="E23" s="2685"/>
      <c r="F23" s="2685"/>
      <c r="G23" s="2685"/>
      <c r="H23" s="1070"/>
      <c r="I23" s="1069"/>
      <c r="L23" s="1044">
        <f>IFERROR(MIN(4,MATCH(Application!B721,UnitSizes,0)-1),"")</f>
        <v>1</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2043.6</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581.40000000000009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15</v>
      </c>
      <c r="F25" s="1072">
        <f>E25</f>
        <v>15</v>
      </c>
      <c r="G25" s="1072">
        <f>D25*F25</f>
        <v>15</v>
      </c>
      <c r="L25" s="1044">
        <f>IFERROR(MIN(4,MATCH(Application!B723,UnitSizes,0)-1),"")</f>
        <v>2</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1703</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922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12</v>
      </c>
      <c r="F26" s="1075">
        <f>SUM(E26:E28)-SUM(F27:F28)</f>
        <v>16</v>
      </c>
      <c r="G26" s="1072">
        <f>D26*F26</f>
        <v>20</v>
      </c>
      <c r="H26" s="1074"/>
      <c r="I26" s="1074"/>
      <c r="L26" s="1044">
        <f>IFERROR(MIN(4,MATCH(Application!B724,UnitSizes,0)-1),"")</f>
        <v>2</v>
      </c>
      <c r="M26" s="1065">
        <f>Application!G724</f>
        <v>2</v>
      </c>
      <c r="N26" s="1071">
        <f>Application!AC724</f>
        <v>0.4</v>
      </c>
      <c r="O26" s="1071">
        <f>IF(Cdlac[[#This Row],[Quantity]]&gt;0,IF(Cdlac[[#This Row],[Federal]],30%,IF(AND(OR(NOT($G$38),$G$38=""),$G$43),40%,Cdlac[[#This Row],[iAMI]])),"")</f>
        <v>0.4</v>
      </c>
      <c r="P26" s="1065" cm="1">
        <f t="array" ref="P26">IF(Cdlac[[#This Row],[Quantity]]&gt;0,INDEX(TcacRents,$P$18,Cdlac[[#This Row],[Bedrooms]]+1)*Cdlac[[#This Row],[AMI]],"")</f>
        <v>1362.4</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1262.5999999999999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17</v>
      </c>
      <c r="F27" s="1075">
        <f>MIN(E27,ROUNDDOWN(E29*30%,0))</f>
        <v>13</v>
      </c>
      <c r="G27" s="1072">
        <f>D27*F27</f>
        <v>19.5</v>
      </c>
      <c r="H27" s="1074"/>
      <c r="I27" s="1074"/>
      <c r="L27" s="1044">
        <f>IFERROR(MIN(4,MATCH(Application!B725,UnitSizes,0)-1),"")</f>
        <v>2</v>
      </c>
      <c r="M27" s="1065">
        <f>Application!G725</f>
        <v>3</v>
      </c>
      <c r="N27" s="1071">
        <f>Application!AC725</f>
        <v>0.3</v>
      </c>
      <c r="O27" s="1071">
        <f>IF(Cdlac[[#This Row],[Quantity]]&gt;0,IF(Cdlac[[#This Row],[Federal]],30%,IF(AND(OR(NOT($G$38),$G$38=""),$G$43),40%,Cdlac[[#This Row],[iAMI]])),"")</f>
        <v>0.3</v>
      </c>
      <c r="P27" s="1065" cm="1">
        <f t="array" ref="P27">IF(Cdlac[[#This Row],[Quantity]]&gt;0,INDEX(TcacRents,$P$18,Cdlac[[#This Row],[Bedrooms]]+1)*Cdlac[[#This Row],[AMI]],"")</f>
        <v>1021.8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1603.2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v>
      </c>
      <c r="N28" s="1071">
        <f>Application!AC726</f>
        <v>0.6</v>
      </c>
      <c r="O28" s="1071">
        <f>IF(Cdlac[[#This Row],[Quantity]]&gt;0,IF(Cdlac[[#This Row],[Federal]],30%,IF(AND(OR(NOT($G$38),$G$38=""),$G$43),40%,Cdlac[[#This Row],[iAMI]])),"")</f>
        <v>0.6</v>
      </c>
      <c r="P28" s="1065" cm="1">
        <f t="array" ref="P28">IF(Cdlac[[#This Row],[Quantity]]&gt;0,INDEX(TcacRents,$P$18,Cdlac[[#This Row],[Bedrooms]]+1)*Cdlac[[#This Row],[AMI]],"")</f>
        <v>2362.7999999999997</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972.20000000000027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98" t="s">
        <v>1586</v>
      </c>
      <c r="D29" s="2699"/>
      <c r="E29" s="1089">
        <f>SUM(E24:E28)</f>
        <v>44</v>
      </c>
      <c r="F29" s="1089">
        <f>SUM(F24:F28)</f>
        <v>44</v>
      </c>
      <c r="G29" s="1090">
        <f>SUMPRODUCT(D24:D28,F24:F28)</f>
        <v>54.5</v>
      </c>
      <c r="H29" s="1074"/>
      <c r="I29" s="1074"/>
      <c r="L29" s="1044">
        <f>IFERROR(MIN(4,MATCH(Application!B727,UnitSizes,0)-1),"")</f>
        <v>3</v>
      </c>
      <c r="M29" s="1065">
        <f>Application!G727</f>
        <v>8</v>
      </c>
      <c r="N29" s="1071">
        <f>Application!AC727</f>
        <v>0.5</v>
      </c>
      <c r="O29" s="1071">
        <f>IF(Cdlac[[#This Row],[Quantity]]&gt;0,IF(Cdlac[[#This Row],[Federal]],30%,IF(AND(OR(NOT($G$38),$G$38=""),$G$43),40%,Cdlac[[#This Row],[iAMI]])),"")</f>
        <v>0.5</v>
      </c>
      <c r="P29" s="1065" cm="1">
        <f t="array" ref="P29">IF(Cdlac[[#This Row],[Quantity]]&gt;0,INDEX(TcacRents,$P$18,Cdlac[[#This Row],[Bedrooms]]+1)*Cdlac[[#This Row],[AMI]],"")</f>
        <v>1969</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1366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v>
      </c>
      <c r="N30" s="1071">
        <f>Application!AC728</f>
        <v>0.4</v>
      </c>
      <c r="O30" s="1071">
        <f>IF(Cdlac[[#This Row],[Quantity]]&gt;0,IF(Cdlac[[#This Row],[Federal]],30%,IF(AND(OR(NOT($G$38),$G$38=""),$G$43),40%,Cdlac[[#This Row],[iAMI]])),"")</f>
        <v>0.4</v>
      </c>
      <c r="P30" s="1065" cm="1">
        <f t="array" ref="P30">IF(Cdlac[[#This Row],[Quantity]]&gt;0,INDEX(TcacRents,$P$18,Cdlac[[#This Row],[Bedrooms]]+1)*Cdlac[[#This Row],[AMI]],"")</f>
        <v>1575.2</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1759.8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54.5</v>
      </c>
      <c r="H31" s="1074"/>
      <c r="I31" s="1074"/>
      <c r="L31" s="1044">
        <f>IFERROR(MIN(4,MATCH(Application!B729,UnitSizes,0)-1),"")</f>
        <v>3</v>
      </c>
      <c r="M31" s="1065">
        <f>Application!G729</f>
        <v>3</v>
      </c>
      <c r="N31" s="1071">
        <f>Application!AC729</f>
        <v>0.3</v>
      </c>
      <c r="O31" s="1071">
        <f>IF(Cdlac[[#This Row],[Quantity]]&gt;0,IF(Cdlac[[#This Row],[Federal]],30%,IF(AND(OR(NOT($G$38),$G$38=""),$G$43),40%,Cdlac[[#This Row],[iAMI]])),"")</f>
        <v>0.3</v>
      </c>
      <c r="P31" s="1065" cm="1">
        <f t="array" ref="P31">IF(Cdlac[[#This Row],[Quantity]]&gt;0,INDEX(TcacRents,$P$18,Cdlac[[#This Row],[Bedrooms]]+1)*Cdlac[[#This Row],[AMI]],"")</f>
        <v>1181.3999999999999</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2153.6000000000004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2725000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t="b">
        <v>1</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701" t="str">
        <f>IF(AND(G37,G38,G38&lt;&gt;""),"Enter the average rent charged for each unit type over the last three years, as documented with rent rolls or property audits, in cells Q20:Q44","")</f>
        <v/>
      </c>
      <c r="D39" s="2701"/>
      <c r="E39" s="2701"/>
      <c r="F39" s="2701"/>
      <c r="G39" s="2701"/>
      <c r="H39" s="270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701"/>
      <c r="D40" s="2701"/>
      <c r="E40" s="2701"/>
      <c r="F40" s="2701"/>
      <c r="G40" s="2701"/>
      <c r="H40" s="270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701"/>
      <c r="D41" s="2701"/>
      <c r="E41" s="2701"/>
      <c r="F41" s="2701"/>
      <c r="G41" s="2701"/>
      <c r="H41" s="270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0.47500000000000003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48103.8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8658684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9</v>
      </c>
    </row>
    <row r="61" spans="2:21" ht="15" customHeight="1">
      <c r="E61" s="1117" t="s">
        <v>1994</v>
      </c>
      <c r="G61" s="1079">
        <f>ROUNDDOWN(E29*50%,0)</f>
        <v>22</v>
      </c>
    </row>
    <row r="62" spans="2:21" ht="15" customHeight="1">
      <c r="E62" s="1117"/>
      <c r="G62" s="1079"/>
    </row>
    <row r="63" spans="2:21" ht="15" customHeight="1">
      <c r="E63" s="1117" t="s">
        <v>1954</v>
      </c>
      <c r="G63" s="1114">
        <f>MIN(G60:G61)</f>
        <v>9</v>
      </c>
    </row>
    <row r="64" spans="2:21" ht="15" customHeight="1">
      <c r="E64" s="1117" t="s">
        <v>1944</v>
      </c>
      <c r="F64" s="1113" t="s">
        <v>1992</v>
      </c>
      <c r="G64" s="1124">
        <v>20000</v>
      </c>
    </row>
    <row r="65" spans="2:14" ht="15" customHeight="1">
      <c r="E65" s="1118" t="s">
        <v>1976</v>
      </c>
      <c r="F65" s="1046"/>
      <c r="G65" s="1123">
        <f>G63*G64</f>
        <v>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71" t="s">
        <v>1969</v>
      </c>
      <c r="M72" s="2672"/>
      <c r="N72" s="1131">
        <v>30000</v>
      </c>
    </row>
    <row r="73" spans="2:14" ht="15" customHeight="1">
      <c r="C73" s="2673" t="s">
        <v>2261</v>
      </c>
      <c r="D73" s="2673"/>
      <c r="E73" s="2673"/>
      <c r="F73" s="2673"/>
      <c r="G73" s="1043" t="s">
        <v>669</v>
      </c>
      <c r="L73" s="2688" t="s">
        <v>1937</v>
      </c>
      <c r="M73" s="2689"/>
      <c r="N73" s="1132">
        <v>20000</v>
      </c>
    </row>
    <row r="74" spans="2:14" ht="15" customHeight="1" thickBot="1">
      <c r="C74" s="2673"/>
      <c r="D74" s="2673"/>
      <c r="E74" s="2673"/>
      <c r="F74" s="2673"/>
      <c r="L74" s="2663" t="s">
        <v>1970</v>
      </c>
      <c r="M74" s="2664"/>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54.5</v>
      </c>
    </row>
    <row r="80" spans="2:14" ht="15" customHeight="1">
      <c r="D80" s="1046"/>
      <c r="E80" s="1118" t="s">
        <v>2266</v>
      </c>
      <c r="F80" s="1046"/>
      <c r="G80" s="1123">
        <f>G79*G78*G76</f>
        <v>1635000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54.5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54.5</v>
      </c>
    </row>
    <row r="97" spans="2:14" ht="15" customHeight="1">
      <c r="E97" s="1118" t="s">
        <v>1961</v>
      </c>
      <c r="F97" s="1046"/>
      <c r="G97" s="1123">
        <f>G94*G95*G96</f>
        <v>1526000</v>
      </c>
      <c r="L97" s="1127" t="str">
        <f>'Points System'!H638</f>
        <v>(ii)</v>
      </c>
      <c r="M97" s="2669" t="s">
        <v>1405</v>
      </c>
      <c r="N97" s="2670"/>
    </row>
    <row r="98" spans="2:14" ht="15" customHeight="1">
      <c r="C98" s="1077"/>
      <c r="G98" s="1114"/>
      <c r="L98" s="1128" t="str">
        <f>'Points System'!H650</f>
        <v>(i)</v>
      </c>
      <c r="M98" s="2665" t="s">
        <v>1956</v>
      </c>
      <c r="N98" s="2666"/>
    </row>
    <row r="99" spans="2:14" ht="15" customHeight="1">
      <c r="E99" s="1084" t="s">
        <v>1997</v>
      </c>
      <c r="G99" s="1126">
        <f>COUNTIFS(L97:L104,"(i)")</f>
        <v>4</v>
      </c>
      <c r="L99" s="1128" t="str">
        <f>'Points System'!H685</f>
        <v>(ii)</v>
      </c>
      <c r="M99" s="2665" t="s">
        <v>1957</v>
      </c>
      <c r="N99" s="2666"/>
    </row>
    <row r="100" spans="2:14" ht="15" customHeight="1">
      <c r="E100" s="1084" t="s">
        <v>1944</v>
      </c>
      <c r="F100" s="1113" t="s">
        <v>1992</v>
      </c>
      <c r="G100" s="1124">
        <v>4000</v>
      </c>
      <c r="L100" s="1128" t="str">
        <f>IF(OR('Points System'!H709="(ii)",'Points System'!H709="(i)"),"(i)","N/A")</f>
        <v>(i)</v>
      </c>
      <c r="M100" s="2665" t="s">
        <v>1958</v>
      </c>
      <c r="N100" s="2666"/>
    </row>
    <row r="101" spans="2:14" ht="15" customHeight="1">
      <c r="E101" s="1118" t="s">
        <v>1962</v>
      </c>
      <c r="F101" s="1046"/>
      <c r="G101" s="1123">
        <f>G96*G99*G100</f>
        <v>872000</v>
      </c>
      <c r="L101" s="1129" t="str">
        <f>'Points System'!H723</f>
        <v>N/A</v>
      </c>
      <c r="M101" s="2665" t="s">
        <v>1431</v>
      </c>
      <c r="N101" s="2666"/>
    </row>
    <row r="102" spans="2:14" ht="15" customHeight="1">
      <c r="L102" s="1128" t="str">
        <f>'Points System'!H735</f>
        <v>N/A</v>
      </c>
      <c r="M102" s="2665" t="s">
        <v>1959</v>
      </c>
      <c r="N102" s="2666"/>
    </row>
    <row r="103" spans="2:14" ht="15" customHeight="1">
      <c r="C103" s="1080" t="s">
        <v>1964</v>
      </c>
      <c r="L103" s="1128" t="str">
        <f>'Points System'!H751</f>
        <v>(i)</v>
      </c>
      <c r="M103" s="2665" t="s">
        <v>1960</v>
      </c>
      <c r="N103" s="2666"/>
    </row>
    <row r="104" spans="2:14" ht="15" customHeight="1" thickBot="1">
      <c r="C104" s="1077" t="s">
        <v>1965</v>
      </c>
      <c r="G104" s="1043"/>
      <c r="L104" s="1130" t="str">
        <f>'Points System'!H763</f>
        <v>(i)</v>
      </c>
      <c r="M104" s="2667" t="s">
        <v>1434</v>
      </c>
      <c r="N104" s="2668"/>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54.5</v>
      </c>
    </row>
    <row r="112" spans="2:14" ht="15" customHeight="1">
      <c r="E112" s="1084" t="s">
        <v>1944</v>
      </c>
      <c r="F112" s="1113" t="s">
        <v>1992</v>
      </c>
      <c r="G112" s="1124">
        <v>25000</v>
      </c>
    </row>
    <row r="113" spans="2:9" ht="15" customHeight="1">
      <c r="E113" s="1118" t="s">
        <v>1963</v>
      </c>
      <c r="F113" s="1046"/>
      <c r="G113" s="1123">
        <f>G109*G112*G96</f>
        <v>1362500</v>
      </c>
    </row>
    <row r="114" spans="2:9" ht="15" customHeight="1">
      <c r="C114" s="1077"/>
      <c r="E114" s="1077"/>
    </row>
    <row r="115" spans="2:9" ht="15" customHeight="1">
      <c r="E115" s="1118" t="s">
        <v>2271</v>
      </c>
      <c r="G115" s="1123">
        <f>G113+G101+G97</f>
        <v>3760500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700" t="s">
        <v>2226</v>
      </c>
      <c r="D119" s="2700"/>
      <c r="E119" s="2700"/>
      <c r="F119" s="2700"/>
    </row>
    <row r="120" spans="2:9" ht="15" customHeight="1">
      <c r="C120" s="2700"/>
      <c r="D120" s="2700"/>
      <c r="E120" s="2700"/>
      <c r="F120" s="2700"/>
      <c r="G120" s="1043" t="s">
        <v>545</v>
      </c>
    </row>
    <row r="121" spans="2:9" ht="15" customHeight="1"/>
    <row r="122" spans="2:9" ht="15" customHeight="1">
      <c r="C122" s="1044" t="s">
        <v>2228</v>
      </c>
      <c r="G122" s="2702" t="s">
        <v>2739</v>
      </c>
      <c r="H122" s="2702"/>
    </row>
    <row r="123" spans="2:9" ht="15" customHeight="1">
      <c r="G123" s="2702"/>
      <c r="H123" s="2702"/>
    </row>
    <row r="124" spans="2:9" ht="15" customHeight="1">
      <c r="G124" s="2703"/>
      <c r="H124" s="2703"/>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97" t="s">
        <v>2274</v>
      </c>
      <c r="D138" s="2697"/>
      <c r="E138" s="2697"/>
      <c r="F138" s="2697"/>
    </row>
    <row r="139" spans="2:9">
      <c r="B139" s="1045"/>
      <c r="C139" s="2697"/>
      <c r="D139" s="2697"/>
      <c r="E139" s="2697"/>
      <c r="F139" s="2697"/>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1500000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7"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704" t="s">
        <v>909</v>
      </c>
      <c r="B1" s="2704"/>
      <c r="C1" s="2704"/>
      <c r="D1" s="2704"/>
      <c r="E1" s="2704"/>
      <c r="F1" s="2704"/>
      <c r="G1" s="2704"/>
      <c r="H1" s="2704"/>
      <c r="I1" s="2704"/>
      <c r="J1" s="2704"/>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6</v>
      </c>
      <c r="C4" s="1162"/>
      <c r="D4" s="428">
        <f>Application!O718</f>
        <v>1628</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1344</v>
      </c>
      <c r="E5" s="429"/>
      <c r="F5" s="1083"/>
      <c r="G5" s="428">
        <f t="shared" ref="G5:G38" si="2">F5*B5</f>
        <v>0</v>
      </c>
      <c r="H5" s="429"/>
      <c r="I5" s="428" t="str">
        <f t="shared" si="0"/>
        <v/>
      </c>
      <c r="J5" s="428" t="str">
        <f t="shared" si="1"/>
        <v/>
      </c>
      <c r="K5" s="204"/>
      <c r="L5" s="305"/>
    </row>
    <row r="6" spans="1:12">
      <c r="A6" s="428" t="str">
        <f>Application!B720</f>
        <v>1 Bedroom</v>
      </c>
      <c r="B6" s="1082">
        <f>Application!G720</f>
        <v>1</v>
      </c>
      <c r="C6" s="1162"/>
      <c r="D6" s="428">
        <f>Application!O720</f>
        <v>1060</v>
      </c>
      <c r="E6" s="429"/>
      <c r="F6" s="1083"/>
      <c r="G6" s="428">
        <f t="shared" si="2"/>
        <v>0</v>
      </c>
      <c r="H6" s="429"/>
      <c r="I6" s="428" t="str">
        <f t="shared" si="0"/>
        <v/>
      </c>
      <c r="J6" s="428" t="str">
        <f t="shared" si="1"/>
        <v/>
      </c>
      <c r="K6" s="204"/>
      <c r="L6" s="305"/>
    </row>
    <row r="7" spans="1:12">
      <c r="A7" s="428" t="str">
        <f>Application!B721</f>
        <v>1 Bedroom</v>
      </c>
      <c r="B7" s="1082">
        <f>Application!G721</f>
        <v>3</v>
      </c>
      <c r="C7" s="1162"/>
      <c r="D7" s="428">
        <f>Application!O721</f>
        <v>776</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1940</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1599</v>
      </c>
      <c r="E9" s="429"/>
      <c r="F9" s="1083"/>
      <c r="G9" s="428">
        <f t="shared" si="2"/>
        <v>0</v>
      </c>
      <c r="H9" s="429"/>
      <c r="I9" s="428" t="str">
        <f t="shared" si="0"/>
        <v/>
      </c>
      <c r="J9" s="428" t="str">
        <f t="shared" si="1"/>
        <v/>
      </c>
      <c r="K9" s="204"/>
      <c r="L9" s="305"/>
    </row>
    <row r="10" spans="1:12">
      <c r="A10" s="428" t="str">
        <f>Application!B724</f>
        <v>2 Bedrooms</v>
      </c>
      <c r="B10" s="1082">
        <f>Application!G724</f>
        <v>2</v>
      </c>
      <c r="C10" s="1162"/>
      <c r="D10" s="428">
        <f>Application!O724</f>
        <v>1259</v>
      </c>
      <c r="E10" s="429"/>
      <c r="F10" s="1083"/>
      <c r="G10" s="428">
        <f t="shared" si="2"/>
        <v>0</v>
      </c>
      <c r="H10" s="429"/>
      <c r="I10" s="428" t="str">
        <f t="shared" si="0"/>
        <v/>
      </c>
      <c r="J10" s="428" t="str">
        <f t="shared" si="1"/>
        <v/>
      </c>
      <c r="K10" s="204"/>
      <c r="L10" s="305"/>
    </row>
    <row r="11" spans="1:12">
      <c r="A11" s="428" t="str">
        <f>Application!B725</f>
        <v>2 Bedrooms</v>
      </c>
      <c r="B11" s="1082">
        <f>Application!G725</f>
        <v>3</v>
      </c>
      <c r="C11" s="1162"/>
      <c r="D11" s="428">
        <f>Application!O725</f>
        <v>918</v>
      </c>
      <c r="E11" s="429"/>
      <c r="F11" s="1083"/>
      <c r="G11" s="428">
        <f t="shared" si="2"/>
        <v>0</v>
      </c>
      <c r="H11" s="429"/>
      <c r="I11" s="428" t="str">
        <f t="shared" si="0"/>
        <v/>
      </c>
      <c r="J11" s="428" t="str">
        <f t="shared" si="1"/>
        <v/>
      </c>
      <c r="K11" s="204"/>
      <c r="L11" s="305"/>
    </row>
    <row r="12" spans="1:12">
      <c r="A12" s="428" t="str">
        <f>Application!B726</f>
        <v>3 Bedrooms</v>
      </c>
      <c r="B12" s="1082">
        <f>Application!G726</f>
        <v>4</v>
      </c>
      <c r="C12" s="1162"/>
      <c r="D12" s="428">
        <f>Application!O726</f>
        <v>2232</v>
      </c>
      <c r="E12" s="429"/>
      <c r="F12" s="1083"/>
      <c r="G12" s="428">
        <f t="shared" si="2"/>
        <v>0</v>
      </c>
      <c r="H12" s="429"/>
      <c r="I12" s="428" t="str">
        <f t="shared" si="0"/>
        <v/>
      </c>
      <c r="J12" s="428" t="str">
        <f t="shared" si="1"/>
        <v/>
      </c>
      <c r="K12" s="204"/>
      <c r="L12" s="305"/>
    </row>
    <row r="13" spans="1:12">
      <c r="A13" s="428" t="str">
        <f>Application!B727</f>
        <v>3 Bedrooms</v>
      </c>
      <c r="B13" s="1082">
        <f>Application!G727</f>
        <v>8</v>
      </c>
      <c r="C13" s="1162"/>
      <c r="D13" s="428">
        <f>Application!O727</f>
        <v>1838</v>
      </c>
      <c r="E13" s="429"/>
      <c r="F13" s="1083"/>
      <c r="G13" s="428">
        <f t="shared" si="2"/>
        <v>0</v>
      </c>
      <c r="H13" s="429"/>
      <c r="I13" s="428" t="str">
        <f t="shared" si="0"/>
        <v/>
      </c>
      <c r="J13" s="428" t="str">
        <f t="shared" si="1"/>
        <v/>
      </c>
      <c r="K13" s="204"/>
      <c r="L13" s="305"/>
    </row>
    <row r="14" spans="1:12">
      <c r="A14" s="428" t="str">
        <f>Application!B728</f>
        <v>3 Bedrooms</v>
      </c>
      <c r="B14" s="1082">
        <f>Application!G728</f>
        <v>2</v>
      </c>
      <c r="C14" s="1162"/>
      <c r="D14" s="428">
        <f>Application!O728</f>
        <v>1444</v>
      </c>
      <c r="E14" s="429"/>
      <c r="F14" s="1083"/>
      <c r="G14" s="428">
        <f t="shared" si="2"/>
        <v>0</v>
      </c>
      <c r="H14" s="429"/>
      <c r="I14" s="428" t="str">
        <f t="shared" si="0"/>
        <v/>
      </c>
      <c r="J14" s="428" t="str">
        <f t="shared" si="1"/>
        <v/>
      </c>
      <c r="K14" s="204"/>
      <c r="L14" s="305"/>
    </row>
    <row r="15" spans="1:12">
      <c r="A15" s="428" t="str">
        <f>Application!B729</f>
        <v>3 Bedrooms</v>
      </c>
      <c r="B15" s="1082">
        <f>Application!G729</f>
        <v>3</v>
      </c>
      <c r="C15" s="1162"/>
      <c r="D15" s="428">
        <f>Application!O729</f>
        <v>1050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66693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05" t="s">
        <v>2495</v>
      </c>
      <c r="B43" s="2705"/>
      <c r="C43" s="2705"/>
      <c r="D43" s="2705"/>
      <c r="E43" s="2705"/>
      <c r="F43" s="2705"/>
      <c r="G43" s="2705"/>
      <c r="H43" s="2705"/>
      <c r="I43" s="2705"/>
      <c r="J43" s="2705"/>
    </row>
    <row r="44" spans="1:12">
      <c r="A44" s="2705"/>
      <c r="B44" s="2705"/>
      <c r="C44" s="2705"/>
      <c r="D44" s="2705"/>
      <c r="E44" s="2705"/>
      <c r="F44" s="2705"/>
      <c r="G44" s="2705"/>
      <c r="H44" s="2705"/>
      <c r="I44" s="2705"/>
      <c r="J44" s="2705"/>
    </row>
    <row r="45" spans="1:12">
      <c r="A45" s="2705" t="s">
        <v>2257</v>
      </c>
      <c r="B45" s="2705"/>
      <c r="C45" s="2705"/>
      <c r="D45" s="2705"/>
      <c r="E45" s="2705"/>
      <c r="F45" s="2705"/>
      <c r="G45" s="2705"/>
      <c r="H45" s="2705"/>
      <c r="I45" s="2705"/>
      <c r="J45" s="2705"/>
    </row>
    <row r="46" spans="1:12">
      <c r="A46" s="2705"/>
      <c r="B46" s="2705"/>
      <c r="C46" s="2705"/>
      <c r="D46" s="2705"/>
      <c r="E46" s="2705"/>
      <c r="F46" s="2705"/>
      <c r="G46" s="2705"/>
      <c r="H46" s="2705"/>
      <c r="I46" s="2705"/>
      <c r="J46" s="270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1" workbookViewId="0">
      <selection activeCell="AC62" sqref="AC62"/>
    </sheetView>
  </sheetViews>
  <sheetFormatPr defaultColWidth="0" defaultRowHeight="12.5" zeroHeight="1"/>
  <cols>
    <col min="1" max="1" width="3.6328125" customWidth="1"/>
    <col min="2" max="2" width="30.6328125" customWidth="1"/>
    <col min="3" max="3" width="9.089843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800316</v>
      </c>
      <c r="G4" s="219">
        <f>E4*$C$4</f>
        <v>820323.89999999991</v>
      </c>
      <c r="I4" s="219">
        <f>G4*$C$4</f>
        <v>840831.99749999982</v>
      </c>
      <c r="K4" s="219">
        <f>I4*$C$4</f>
        <v>861852.79743749974</v>
      </c>
      <c r="M4" s="219">
        <f>K4*$C$4</f>
        <v>883399.11737343716</v>
      </c>
      <c r="O4" s="219">
        <f>M4*$C$4</f>
        <v>905484.09530777298</v>
      </c>
      <c r="Q4" s="219">
        <f>O4*$C$4</f>
        <v>928121.19769046723</v>
      </c>
      <c r="S4" s="219">
        <f>Q4*$C$4</f>
        <v>951324.22763272887</v>
      </c>
      <c r="U4" s="219">
        <f>S4*$C$4</f>
        <v>975107.33332354703</v>
      </c>
      <c r="W4" s="219">
        <f>U4*$C$4</f>
        <v>999485.01665663568</v>
      </c>
      <c r="Y4" s="219">
        <f>W4*$C$4</f>
        <v>1024472.1420730515</v>
      </c>
      <c r="AA4" s="219">
        <f>Y4*$C$4</f>
        <v>1050083.9456248777</v>
      </c>
      <c r="AC4" s="219">
        <f>AA4*$C$4</f>
        <v>1076336.0442654996</v>
      </c>
      <c r="AE4" s="219">
        <f>AC4*$C$4</f>
        <v>1103244.445372137</v>
      </c>
      <c r="AG4" s="219">
        <f>AE4*$C$4</f>
        <v>1130825.5565064403</v>
      </c>
    </row>
    <row r="5" spans="1:34" s="210" customFormat="1" ht="14">
      <c r="B5" s="210" t="s">
        <v>838</v>
      </c>
      <c r="C5" s="238">
        <f>IF(Application!$D$211="Special Needs",(((0.1*Application!$T$212)+(0.05*(1-Application!$T$212)))),0.05)</f>
        <v>0.05</v>
      </c>
      <c r="E5" s="221">
        <f>-E4*$C$5</f>
        <v>-40015.800000000003</v>
      </c>
      <c r="F5" s="221"/>
      <c r="G5" s="221">
        <f>-G4*$C$5</f>
        <v>-41016.195</v>
      </c>
      <c r="H5" s="221"/>
      <c r="I5" s="221">
        <f>-I4*$C$5</f>
        <v>-42041.599874999993</v>
      </c>
      <c r="J5" s="221"/>
      <c r="K5" s="221">
        <f>-K4*$C$5</f>
        <v>-43092.639871874992</v>
      </c>
      <c r="L5" s="221"/>
      <c r="M5" s="221">
        <f>-M4*$C$5</f>
        <v>-44169.955868671859</v>
      </c>
      <c r="N5" s="221"/>
      <c r="O5" s="221">
        <f>-O4*$C$5</f>
        <v>-45274.204765388655</v>
      </c>
      <c r="P5" s="221"/>
      <c r="Q5" s="221">
        <f>-Q4*$C$5</f>
        <v>-46406.059884523362</v>
      </c>
      <c r="R5" s="221"/>
      <c r="S5" s="221">
        <f>-S4*$C$5</f>
        <v>-47566.211381636444</v>
      </c>
      <c r="T5" s="221"/>
      <c r="U5" s="221">
        <f>-U4*$C$5</f>
        <v>-48755.366666177353</v>
      </c>
      <c r="V5" s="221"/>
      <c r="W5" s="221">
        <f>-W4*$C$5</f>
        <v>-49974.250832831785</v>
      </c>
      <c r="X5" s="221"/>
      <c r="Y5" s="221">
        <f>-Y4*$C$5</f>
        <v>-51223.607103652583</v>
      </c>
      <c r="Z5" s="221"/>
      <c r="AA5" s="221">
        <f>-AA4*$C$5</f>
        <v>-52504.197281243891</v>
      </c>
      <c r="AB5" s="221"/>
      <c r="AC5" s="221">
        <f>-AC4*$C$5</f>
        <v>-53816.802213274983</v>
      </c>
      <c r="AD5" s="221"/>
      <c r="AE5" s="221">
        <f>-AE4*$C$5</f>
        <v>-55162.222268606856</v>
      </c>
      <c r="AF5" s="221"/>
      <c r="AG5" s="221">
        <f>-AG4*$C$5</f>
        <v>-56541.277825322017</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8640</v>
      </c>
      <c r="F8" s="222"/>
      <c r="G8" s="222">
        <f>E8*$C$8</f>
        <v>8856</v>
      </c>
      <c r="H8" s="222"/>
      <c r="I8" s="222">
        <f>G8*$C$8</f>
        <v>9077.4</v>
      </c>
      <c r="J8" s="222"/>
      <c r="K8" s="222">
        <f>I8*$C$8</f>
        <v>9304.3349999999991</v>
      </c>
      <c r="L8" s="222"/>
      <c r="M8" s="222">
        <f>K8*$C$8</f>
        <v>9536.9433749999989</v>
      </c>
      <c r="N8" s="222"/>
      <c r="O8" s="222">
        <f>M8*$C$8</f>
        <v>9775.3669593749983</v>
      </c>
      <c r="P8" s="222"/>
      <c r="Q8" s="222">
        <f>O8*$C$8</f>
        <v>10019.751133359372</v>
      </c>
      <c r="R8" s="222"/>
      <c r="S8" s="222">
        <f>Q8*$C$8</f>
        <v>10270.244911693355</v>
      </c>
      <c r="T8" s="222"/>
      <c r="U8" s="222">
        <f>S8*$C$8</f>
        <v>10527.001034485687</v>
      </c>
      <c r="V8" s="222"/>
      <c r="W8" s="222">
        <f>U8*$C$8</f>
        <v>10790.176060347829</v>
      </c>
      <c r="X8" s="222"/>
      <c r="Y8" s="222">
        <f>W8*$C$8</f>
        <v>11059.930461856524</v>
      </c>
      <c r="Z8" s="222"/>
      <c r="AA8" s="222">
        <f>Y8*$C$8</f>
        <v>11336.428723402936</v>
      </c>
      <c r="AB8" s="222"/>
      <c r="AC8" s="222">
        <f>AA8*$C$8</f>
        <v>11619.839441488008</v>
      </c>
      <c r="AD8" s="222"/>
      <c r="AE8" s="222">
        <f>AC8*$C$8</f>
        <v>11910.335427525208</v>
      </c>
      <c r="AF8" s="222"/>
      <c r="AG8" s="222">
        <f>AE8*$C$8</f>
        <v>12208.093813213336</v>
      </c>
    </row>
    <row r="9" spans="1:34" s="210" customFormat="1" ht="14">
      <c r="B9" s="210" t="s">
        <v>838</v>
      </c>
      <c r="C9" s="238">
        <f>IF(Application!$D$211="Special Needs",(((0.1*Application!$T$212)+(0.05*(1-Application!$T$212)))),0.05)</f>
        <v>0.05</v>
      </c>
      <c r="E9" s="221">
        <f>-E8*$C$9</f>
        <v>-432</v>
      </c>
      <c r="F9" s="221"/>
      <c r="G9" s="221">
        <f>-G8*$C$9</f>
        <v>-442.8</v>
      </c>
      <c r="H9" s="221"/>
      <c r="I9" s="221">
        <f>-I8*$C$9</f>
        <v>-453.87</v>
      </c>
      <c r="J9" s="221"/>
      <c r="K9" s="221">
        <f>-K8*$C$9</f>
        <v>-465.21674999999999</v>
      </c>
      <c r="L9" s="221"/>
      <c r="M9" s="221">
        <f>-M8*$C$9</f>
        <v>-476.84716874999998</v>
      </c>
      <c r="N9" s="221"/>
      <c r="O9" s="221">
        <f>-O8*$C$9</f>
        <v>-488.76834796874994</v>
      </c>
      <c r="P9" s="221"/>
      <c r="Q9" s="221">
        <f>-Q8*$C$9</f>
        <v>-500.98755666796865</v>
      </c>
      <c r="R9" s="221"/>
      <c r="S9" s="221">
        <f>-S8*$C$9</f>
        <v>-513.51224558466777</v>
      </c>
      <c r="T9" s="221"/>
      <c r="U9" s="221">
        <f>-U8*$C$9</f>
        <v>-526.35005172428441</v>
      </c>
      <c r="V9" s="221"/>
      <c r="W9" s="221">
        <f>-W8*$C$9</f>
        <v>-539.50880301739141</v>
      </c>
      <c r="X9" s="221"/>
      <c r="Y9" s="221">
        <f>-Y8*$C$9</f>
        <v>-552.99652309282624</v>
      </c>
      <c r="Z9" s="221"/>
      <c r="AA9" s="221">
        <f>-AA8*$C$9</f>
        <v>-566.82143617014685</v>
      </c>
      <c r="AB9" s="221"/>
      <c r="AC9" s="221">
        <f>-AC8*$C$9</f>
        <v>-580.99197207440045</v>
      </c>
      <c r="AD9" s="221"/>
      <c r="AE9" s="221">
        <f>-AE8*$C$9</f>
        <v>-595.51677137626041</v>
      </c>
      <c r="AF9" s="221"/>
      <c r="AG9" s="221">
        <f>-AG8*$C$9</f>
        <v>-610.4046906606668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768508.2</v>
      </c>
      <c r="G11" s="223">
        <f>SUM(G4:G10)</f>
        <v>787720.90499999991</v>
      </c>
      <c r="I11" s="223">
        <f>SUM(I4:I10)</f>
        <v>807413.92762499989</v>
      </c>
      <c r="K11" s="223">
        <f>SUM(K4:K10)</f>
        <v>827599.27581562474</v>
      </c>
      <c r="M11" s="223">
        <f>SUM(M4:M10)</f>
        <v>848289.25771101529</v>
      </c>
      <c r="O11" s="223">
        <f>SUM(O4:O10)</f>
        <v>869496.48915379064</v>
      </c>
      <c r="Q11" s="223">
        <f>SUM(Q4:Q10)</f>
        <v>891233.90138263523</v>
      </c>
      <c r="S11" s="223">
        <f>SUM(S4:S10)</f>
        <v>913514.74891720118</v>
      </c>
      <c r="U11" s="223">
        <f>SUM(U4:U10)</f>
        <v>936352.61764013104</v>
      </c>
      <c r="W11" s="223">
        <f>SUM(W4:W10)</f>
        <v>959761.43308113422</v>
      </c>
      <c r="Y11" s="223">
        <f>SUM(Y4:Y10)</f>
        <v>983755.46890816267</v>
      </c>
      <c r="AA11" s="223">
        <f>SUM(AA4:AA10)</f>
        <v>1008349.3556308666</v>
      </c>
      <c r="AC11" s="223">
        <f>SUM(AC4:AC10)</f>
        <v>1033558.0895216382</v>
      </c>
      <c r="AE11" s="223">
        <f>SUM(AE4:AE10)</f>
        <v>1059397.0417596789</v>
      </c>
      <c r="AG11" s="223">
        <f>SUM(AG4:AG10)</f>
        <v>1085881.9678036708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33035</v>
      </c>
      <c r="G15" s="219">
        <f>E15*$C$14</f>
        <v>34026.050000000003</v>
      </c>
      <c r="I15" s="219">
        <f>G15*$C$14</f>
        <v>35046.831500000008</v>
      </c>
      <c r="K15" s="219">
        <f>I15*$C$14</f>
        <v>36098.23644500001</v>
      </c>
      <c r="M15" s="219">
        <f>K15*$C$14</f>
        <v>37181.183538350007</v>
      </c>
      <c r="O15" s="219">
        <f>M15*$C$14</f>
        <v>38296.619044500512</v>
      </c>
      <c r="Q15" s="219">
        <f>O15*$C$14</f>
        <v>39445.517615835532</v>
      </c>
      <c r="S15" s="219">
        <f>Q15*$C$14</f>
        <v>40628.883144310596</v>
      </c>
      <c r="U15" s="219">
        <f>S15*$C$14</f>
        <v>41847.749638639914</v>
      </c>
      <c r="W15" s="219">
        <f>U15*$C$14</f>
        <v>43103.182127799111</v>
      </c>
      <c r="Y15" s="219">
        <f>W15*$C$14</f>
        <v>44396.277591633087</v>
      </c>
      <c r="AA15" s="219">
        <f>Y15*$C$14</f>
        <v>45728.165919382081</v>
      </c>
      <c r="AC15" s="219">
        <f>AA15*$C$14</f>
        <v>47100.010896963548</v>
      </c>
      <c r="AE15" s="219">
        <f>AC15*$C$14</f>
        <v>48513.011223872454</v>
      </c>
      <c r="AG15" s="219">
        <f>AE15*$C$14</f>
        <v>49968.401560588631</v>
      </c>
    </row>
    <row r="16" spans="1:34" s="210" customFormat="1" ht="14">
      <c r="A16" s="210" t="s">
        <v>344</v>
      </c>
      <c r="C16" s="233"/>
      <c r="E16" s="222">
        <f>Application!W849</f>
        <v>37800</v>
      </c>
      <c r="F16" s="222"/>
      <c r="G16" s="222">
        <f t="shared" ref="G16:AG21" si="0">E16*$C$14</f>
        <v>38934</v>
      </c>
      <c r="H16" s="222"/>
      <c r="I16" s="222">
        <f t="shared" si="0"/>
        <v>40102.020000000004</v>
      </c>
      <c r="J16" s="222"/>
      <c r="K16" s="222">
        <f t="shared" si="0"/>
        <v>41305.080600000008</v>
      </c>
      <c r="L16" s="222"/>
      <c r="M16" s="222">
        <f t="shared" si="0"/>
        <v>42544.233018000006</v>
      </c>
      <c r="N16" s="222"/>
      <c r="O16" s="222">
        <f t="shared" si="0"/>
        <v>43820.560008540007</v>
      </c>
      <c r="P16" s="222"/>
      <c r="Q16" s="222">
        <f t="shared" si="0"/>
        <v>45135.176808796212</v>
      </c>
      <c r="R16" s="222"/>
      <c r="S16" s="222">
        <f t="shared" si="0"/>
        <v>46489.232113060098</v>
      </c>
      <c r="T16" s="222"/>
      <c r="U16" s="222">
        <f t="shared" si="0"/>
        <v>47883.909076451899</v>
      </c>
      <c r="V16" s="222"/>
      <c r="W16" s="222">
        <f t="shared" si="0"/>
        <v>49320.426348745459</v>
      </c>
      <c r="X16" s="222"/>
      <c r="Y16" s="222">
        <f t="shared" si="0"/>
        <v>50800.039139207824</v>
      </c>
      <c r="Z16" s="222"/>
      <c r="AA16" s="222">
        <f t="shared" si="0"/>
        <v>52324.040313384059</v>
      </c>
      <c r="AB16" s="222"/>
      <c r="AC16" s="222">
        <f t="shared" si="0"/>
        <v>53893.761522785586</v>
      </c>
      <c r="AD16" s="222"/>
      <c r="AE16" s="222">
        <f t="shared" si="0"/>
        <v>55510.574368469155</v>
      </c>
      <c r="AF16" s="222"/>
      <c r="AG16" s="222">
        <f t="shared" si="0"/>
        <v>57175.891599523231</v>
      </c>
    </row>
    <row r="17" spans="1:33" s="210" customFormat="1" ht="14">
      <c r="A17" s="210" t="s">
        <v>561</v>
      </c>
      <c r="C17" s="233"/>
      <c r="E17" s="222">
        <f>Application!W855</f>
        <v>60500</v>
      </c>
      <c r="F17" s="222"/>
      <c r="G17" s="222">
        <f t="shared" si="0"/>
        <v>62315</v>
      </c>
      <c r="H17" s="222"/>
      <c r="I17" s="222">
        <f t="shared" si="0"/>
        <v>64184.450000000004</v>
      </c>
      <c r="J17" s="222"/>
      <c r="K17" s="222">
        <f t="shared" si="0"/>
        <v>66109.983500000002</v>
      </c>
      <c r="L17" s="222"/>
      <c r="M17" s="222">
        <f t="shared" si="0"/>
        <v>68093.283005000005</v>
      </c>
      <c r="N17" s="222"/>
      <c r="O17" s="222">
        <f t="shared" si="0"/>
        <v>70136.081495150007</v>
      </c>
      <c r="P17" s="222"/>
      <c r="Q17" s="222">
        <f t="shared" si="0"/>
        <v>72240.16394000451</v>
      </c>
      <c r="R17" s="222"/>
      <c r="S17" s="222">
        <f t="shared" si="0"/>
        <v>74407.368858204645</v>
      </c>
      <c r="T17" s="222"/>
      <c r="U17" s="222">
        <f t="shared" si="0"/>
        <v>76639.589923950785</v>
      </c>
      <c r="V17" s="222"/>
      <c r="W17" s="222">
        <f t="shared" si="0"/>
        <v>78938.777621669316</v>
      </c>
      <c r="X17" s="222"/>
      <c r="Y17" s="222">
        <f t="shared" si="0"/>
        <v>81306.940950319404</v>
      </c>
      <c r="Z17" s="222"/>
      <c r="AA17" s="222">
        <f t="shared" si="0"/>
        <v>83746.149178828986</v>
      </c>
      <c r="AB17" s="222"/>
      <c r="AC17" s="222">
        <f t="shared" si="0"/>
        <v>86258.53365419386</v>
      </c>
      <c r="AD17" s="222"/>
      <c r="AE17" s="222">
        <f t="shared" si="0"/>
        <v>88846.289663819683</v>
      </c>
      <c r="AF17" s="222"/>
      <c r="AG17" s="222">
        <f t="shared" si="0"/>
        <v>91511.678353734271</v>
      </c>
    </row>
    <row r="18" spans="1:33" s="210" customFormat="1" ht="14">
      <c r="A18" s="210" t="s">
        <v>842</v>
      </c>
      <c r="C18" s="233"/>
      <c r="E18" s="222">
        <f>Application!W862</f>
        <v>149315</v>
      </c>
      <c r="F18" s="222"/>
      <c r="G18" s="222">
        <f t="shared" si="0"/>
        <v>153794.45000000001</v>
      </c>
      <c r="H18" s="222"/>
      <c r="I18" s="222">
        <f t="shared" si="0"/>
        <v>158408.28350000002</v>
      </c>
      <c r="J18" s="222"/>
      <c r="K18" s="222">
        <f t="shared" si="0"/>
        <v>163160.53200500002</v>
      </c>
      <c r="L18" s="222"/>
      <c r="M18" s="222">
        <f t="shared" si="0"/>
        <v>168055.34796515002</v>
      </c>
      <c r="N18" s="222"/>
      <c r="O18" s="222">
        <f t="shared" si="0"/>
        <v>173097.00840410453</v>
      </c>
      <c r="P18" s="222"/>
      <c r="Q18" s="222">
        <f t="shared" si="0"/>
        <v>178289.91865622767</v>
      </c>
      <c r="R18" s="222"/>
      <c r="S18" s="222">
        <f t="shared" si="0"/>
        <v>183638.61621591452</v>
      </c>
      <c r="T18" s="222"/>
      <c r="U18" s="222">
        <f t="shared" si="0"/>
        <v>189147.77470239197</v>
      </c>
      <c r="V18" s="222"/>
      <c r="W18" s="222">
        <f t="shared" si="0"/>
        <v>194822.20794346373</v>
      </c>
      <c r="X18" s="222"/>
      <c r="Y18" s="222">
        <f t="shared" si="0"/>
        <v>200666.87418176763</v>
      </c>
      <c r="Z18" s="222"/>
      <c r="AA18" s="222">
        <f t="shared" si="0"/>
        <v>206686.88040722065</v>
      </c>
      <c r="AB18" s="222"/>
      <c r="AC18" s="222">
        <f t="shared" si="0"/>
        <v>212887.48681943727</v>
      </c>
      <c r="AD18" s="222"/>
      <c r="AE18" s="222">
        <f t="shared" si="0"/>
        <v>219274.1114240204</v>
      </c>
      <c r="AF18" s="222"/>
      <c r="AG18" s="222">
        <f t="shared" si="0"/>
        <v>225852.33476674103</v>
      </c>
    </row>
    <row r="19" spans="1:33" s="210" customFormat="1" ht="14">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390</v>
      </c>
      <c r="C20" s="233"/>
      <c r="E20" s="222">
        <f>Application!W872</f>
        <v>36850</v>
      </c>
      <c r="F20" s="222"/>
      <c r="G20" s="222">
        <f t="shared" si="0"/>
        <v>37955.5</v>
      </c>
      <c r="H20" s="222"/>
      <c r="I20" s="222">
        <f t="shared" si="0"/>
        <v>39094.165000000001</v>
      </c>
      <c r="J20" s="222"/>
      <c r="K20" s="222">
        <f t="shared" si="0"/>
        <v>40266.989950000003</v>
      </c>
      <c r="L20" s="222"/>
      <c r="M20" s="222">
        <f t="shared" si="0"/>
        <v>41474.999648500001</v>
      </c>
      <c r="N20" s="222"/>
      <c r="O20" s="222">
        <f t="shared" si="0"/>
        <v>42719.249637954999</v>
      </c>
      <c r="P20" s="222"/>
      <c r="Q20" s="222">
        <f t="shared" si="0"/>
        <v>44000.827127093653</v>
      </c>
      <c r="R20" s="222"/>
      <c r="S20" s="222">
        <f t="shared" si="0"/>
        <v>45320.851940906461</v>
      </c>
      <c r="T20" s="222"/>
      <c r="U20" s="222">
        <f t="shared" si="0"/>
        <v>46680.477499133653</v>
      </c>
      <c r="V20" s="222"/>
      <c r="W20" s="222">
        <f t="shared" si="0"/>
        <v>48080.891824107661</v>
      </c>
      <c r="X20" s="222"/>
      <c r="Y20" s="222">
        <f t="shared" si="0"/>
        <v>49523.318578830891</v>
      </c>
      <c r="Z20" s="222"/>
      <c r="AA20" s="222">
        <f t="shared" si="0"/>
        <v>51009.018136195817</v>
      </c>
      <c r="AB20" s="222"/>
      <c r="AC20" s="222">
        <f t="shared" si="0"/>
        <v>52539.288680281694</v>
      </c>
      <c r="AD20" s="222"/>
      <c r="AE20" s="222">
        <f t="shared" si="0"/>
        <v>54115.467340690149</v>
      </c>
      <c r="AF20" s="222"/>
      <c r="AG20" s="222">
        <f t="shared" si="0"/>
        <v>55738.931360910858</v>
      </c>
    </row>
    <row r="21" spans="1:33" s="210" customFormat="1" ht="14">
      <c r="A21" s="226" t="s">
        <v>962</v>
      </c>
      <c r="B21" s="226"/>
      <c r="C21" s="233"/>
      <c r="E21" s="232">
        <f>Application!W879</f>
        <v>20000</v>
      </c>
      <c r="F21" s="222"/>
      <c r="G21" s="232">
        <f t="shared" si="0"/>
        <v>20600</v>
      </c>
      <c r="H21" s="222"/>
      <c r="I21" s="232">
        <f t="shared" si="0"/>
        <v>21218</v>
      </c>
      <c r="J21" s="222"/>
      <c r="K21" s="232">
        <f t="shared" si="0"/>
        <v>21854.54</v>
      </c>
      <c r="L21" s="222"/>
      <c r="M21" s="232">
        <f t="shared" si="0"/>
        <v>22510.176200000002</v>
      </c>
      <c r="N21" s="222"/>
      <c r="O21" s="232">
        <f t="shared" si="0"/>
        <v>23185.481486000001</v>
      </c>
      <c r="P21" s="222"/>
      <c r="Q21" s="232">
        <f t="shared" si="0"/>
        <v>23881.04593058</v>
      </c>
      <c r="R21" s="222"/>
      <c r="S21" s="232">
        <f t="shared" si="0"/>
        <v>24597.4773084974</v>
      </c>
      <c r="T21" s="222"/>
      <c r="U21" s="232">
        <f t="shared" si="0"/>
        <v>25335.401627752322</v>
      </c>
      <c r="V21" s="222"/>
      <c r="W21" s="232">
        <f t="shared" si="0"/>
        <v>26095.463676584892</v>
      </c>
      <c r="X21" s="222"/>
      <c r="Y21" s="232">
        <f t="shared" si="0"/>
        <v>26878.327586882438</v>
      </c>
      <c r="Z21" s="222"/>
      <c r="AA21" s="232">
        <f t="shared" si="0"/>
        <v>27684.677414488913</v>
      </c>
      <c r="AB21" s="222"/>
      <c r="AC21" s="232">
        <f t="shared" si="0"/>
        <v>28515.21773692358</v>
      </c>
      <c r="AD21" s="222"/>
      <c r="AE21" s="232">
        <f t="shared" si="0"/>
        <v>29370.674269031289</v>
      </c>
      <c r="AF21" s="222"/>
      <c r="AG21" s="232">
        <f t="shared" si="0"/>
        <v>30251.79449710223</v>
      </c>
    </row>
    <row r="22" spans="1:33" s="223" customFormat="1" ht="14">
      <c r="A22" s="223" t="s">
        <v>843</v>
      </c>
      <c r="C22" s="233"/>
      <c r="E22" s="223">
        <f>SUM(E15:E21)</f>
        <v>337500</v>
      </c>
      <c r="G22" s="223">
        <f>SUM(G15:G21)</f>
        <v>347625</v>
      </c>
      <c r="I22" s="223">
        <f>SUM(I15:I21)</f>
        <v>358053.75000000006</v>
      </c>
      <c r="K22" s="223">
        <f>SUM(K15:K21)</f>
        <v>368795.36250000005</v>
      </c>
      <c r="M22" s="223">
        <f>SUM(M15:M21)</f>
        <v>379859.22337500006</v>
      </c>
      <c r="O22" s="223">
        <f>SUM(O15:O21)</f>
        <v>391255.00007625006</v>
      </c>
      <c r="Q22" s="223">
        <f>SUM(Q15:Q21)</f>
        <v>402992.65007853764</v>
      </c>
      <c r="S22" s="223">
        <f>SUM(S15:S21)</f>
        <v>415082.42958089372</v>
      </c>
      <c r="U22" s="223">
        <f>SUM(U15:U21)</f>
        <v>427534.90246832056</v>
      </c>
      <c r="W22" s="223">
        <f>SUM(W15:W21)</f>
        <v>440360.94954237022</v>
      </c>
      <c r="Y22" s="223">
        <f>SUM(Y15:Y21)</f>
        <v>453571.7780286413</v>
      </c>
      <c r="AA22" s="223">
        <f>SUM(AA15:AA21)</f>
        <v>467178.93136950053</v>
      </c>
      <c r="AC22" s="223">
        <f>SUM(AC15:AC21)</f>
        <v>481194.2993105856</v>
      </c>
      <c r="AE22" s="223">
        <f>SUM(AE15:AE21)</f>
        <v>495630.12828990311</v>
      </c>
      <c r="AG22" s="223">
        <f>SUM(AG15:AG21)</f>
        <v>510499.03213860025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
      <c r="A28" s="210" t="s">
        <v>846</v>
      </c>
      <c r="C28" s="237"/>
      <c r="E28" s="222">
        <f>Application!AC889</f>
        <v>22500</v>
      </c>
      <c r="F28" s="222"/>
      <c r="G28" s="222">
        <f>$E$28</f>
        <v>22500</v>
      </c>
      <c r="H28" s="222"/>
      <c r="I28" s="222">
        <f>$E$28</f>
        <v>22500</v>
      </c>
      <c r="J28" s="222"/>
      <c r="K28" s="222">
        <f>$E$28</f>
        <v>22500</v>
      </c>
      <c r="L28" s="222"/>
      <c r="M28" s="222">
        <f>$E$28</f>
        <v>22500</v>
      </c>
      <c r="N28" s="222"/>
      <c r="O28" s="222">
        <f>$E$28</f>
        <v>22500</v>
      </c>
      <c r="P28" s="222"/>
      <c r="Q28" s="222">
        <f>$E$28</f>
        <v>22500</v>
      </c>
      <c r="R28" s="222"/>
      <c r="S28" s="222">
        <f>$E$28</f>
        <v>22500</v>
      </c>
      <c r="T28" s="222"/>
      <c r="U28" s="222">
        <f>$E$28</f>
        <v>22500</v>
      </c>
      <c r="V28" s="222"/>
      <c r="W28" s="222">
        <f>$E$28</f>
        <v>22500</v>
      </c>
      <c r="X28" s="222"/>
      <c r="Y28" s="222">
        <f>$E$28</f>
        <v>22500</v>
      </c>
      <c r="Z28" s="222"/>
      <c r="AA28" s="222">
        <f>$E$28</f>
        <v>22500</v>
      </c>
      <c r="AB28" s="222"/>
      <c r="AC28" s="222">
        <f>$E$28</f>
        <v>22500</v>
      </c>
      <c r="AD28" s="222"/>
      <c r="AE28" s="222">
        <f>$E$28</f>
        <v>22500</v>
      </c>
      <c r="AF28" s="222"/>
      <c r="AG28" s="222">
        <f>$E$28</f>
        <v>22500</v>
      </c>
    </row>
    <row r="29" spans="1:33" s="210" customFormat="1" ht="14">
      <c r="A29" s="210" t="s">
        <v>1680</v>
      </c>
      <c r="C29" s="237"/>
      <c r="E29" s="222"/>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383400</v>
      </c>
      <c r="G35" s="223">
        <f>SUM(G22:G33)</f>
        <v>394344</v>
      </c>
      <c r="I35" s="223">
        <f>SUM(I22:I33)</f>
        <v>405620.41500000004</v>
      </c>
      <c r="K35" s="223">
        <f>SUM(K22:K33)</f>
        <v>417239.36077500007</v>
      </c>
      <c r="M35" s="223">
        <f>SUM(M22:M33)</f>
        <v>429211.26158962504</v>
      </c>
      <c r="O35" s="223">
        <f>SUM(O22:O33)</f>
        <v>441546.85962838691</v>
      </c>
      <c r="Q35" s="223">
        <f>SUM(Q22:Q33)</f>
        <v>454257.22471499926</v>
      </c>
      <c r="S35" s="223">
        <f>SUM(S22:S33)</f>
        <v>467353.76432963152</v>
      </c>
      <c r="U35" s="223">
        <f>SUM(U22:U33)</f>
        <v>480848.23393326416</v>
      </c>
      <c r="W35" s="223">
        <f>SUM(W22:W33)</f>
        <v>494752.74760858685</v>
      </c>
      <c r="Y35" s="223">
        <f>SUM(Y22:Y33)</f>
        <v>509079.78902717552</v>
      </c>
      <c r="AA35" s="223">
        <f>SUM(AA22:AA33)</f>
        <v>523842.22275298345</v>
      </c>
      <c r="AC35" s="223">
        <f>SUM(AC22:AC33)</f>
        <v>539053.30589249043</v>
      </c>
      <c r="AE35" s="223">
        <f>SUM(AE22:AE33)</f>
        <v>554726.70010217465</v>
      </c>
      <c r="AG35" s="223">
        <f>SUM(AG22:AG33)</f>
        <v>570876.48396430118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385108.19999999995</v>
      </c>
      <c r="G37" s="223">
        <f>G11-G35</f>
        <v>393376.90499999991</v>
      </c>
      <c r="I37" s="223">
        <f>I11-I35</f>
        <v>401793.51262499986</v>
      </c>
      <c r="K37" s="223">
        <f>K11-K35</f>
        <v>410359.91504062468</v>
      </c>
      <c r="M37" s="223">
        <f>M11-M35</f>
        <v>419077.99612139026</v>
      </c>
      <c r="O37" s="223">
        <f>O11-O35</f>
        <v>427949.62952540372</v>
      </c>
      <c r="Q37" s="223">
        <f>Q11-Q35</f>
        <v>436976.67666763597</v>
      </c>
      <c r="S37" s="223">
        <f>S11-S35</f>
        <v>446160.98458756966</v>
      </c>
      <c r="U37" s="223">
        <f>U11-U35</f>
        <v>455504.38370686688</v>
      </c>
      <c r="W37" s="223">
        <f>W11-W35</f>
        <v>465008.68547254737</v>
      </c>
      <c r="Y37" s="223">
        <f>Y11-Y35</f>
        <v>474675.67988098715</v>
      </c>
      <c r="AA37" s="223">
        <f>AA11-AA35</f>
        <v>484507.13287788315</v>
      </c>
      <c r="AC37" s="223">
        <f>AC11-AC35</f>
        <v>494504.7836291478</v>
      </c>
      <c r="AE37" s="223">
        <f>AE11-AE35</f>
        <v>504670.34165750421</v>
      </c>
      <c r="AG37" s="223">
        <f>AG11-AG35</f>
        <v>515005.48383936961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Permanent Loan</v>
      </c>
      <c r="B40" s="226"/>
      <c r="C40" s="220"/>
      <c r="E40" s="222">
        <v>264376.696</v>
      </c>
      <c r="F40" s="222"/>
      <c r="G40" s="222">
        <f>$E$40</f>
        <v>264376.696</v>
      </c>
      <c r="H40" s="222"/>
      <c r="I40" s="222">
        <f>$E$40</f>
        <v>264376.696</v>
      </c>
      <c r="J40" s="222"/>
      <c r="K40" s="222">
        <f>$E$40</f>
        <v>264376.696</v>
      </c>
      <c r="L40" s="222"/>
      <c r="M40" s="222">
        <f>$E$40</f>
        <v>264376.696</v>
      </c>
      <c r="N40" s="222"/>
      <c r="O40" s="222">
        <f>$E$40</f>
        <v>264376.696</v>
      </c>
      <c r="P40" s="222"/>
      <c r="Q40" s="222">
        <f>$E$40</f>
        <v>264376.696</v>
      </c>
      <c r="R40" s="222"/>
      <c r="S40" s="222">
        <f>$E$40</f>
        <v>264376.696</v>
      </c>
      <c r="T40" s="222"/>
      <c r="U40" s="222">
        <f>$E$40</f>
        <v>264376.696</v>
      </c>
      <c r="V40" s="222"/>
      <c r="W40" s="222">
        <f>$E$40</f>
        <v>264376.696</v>
      </c>
      <c r="X40" s="222"/>
      <c r="Y40" s="222">
        <f>$E$40</f>
        <v>264376.696</v>
      </c>
      <c r="Z40" s="222"/>
      <c r="AA40" s="222">
        <f>$E$40</f>
        <v>264376.696</v>
      </c>
      <c r="AB40" s="222"/>
      <c r="AC40" s="222">
        <f>$E$40</f>
        <v>264376.696</v>
      </c>
      <c r="AD40" s="222"/>
      <c r="AE40" s="222">
        <f>$E$40</f>
        <v>264376.696</v>
      </c>
      <c r="AF40" s="222"/>
      <c r="AG40" s="222">
        <f>$E$40</f>
        <v>264376.696</v>
      </c>
    </row>
    <row r="41" spans="1:33" s="210" customFormat="1" ht="14">
      <c r="A41" s="225" t="s">
        <v>2748</v>
      </c>
      <c r="B41" s="226"/>
      <c r="C41" s="220"/>
      <c r="E41" s="222">
        <v>7500</v>
      </c>
      <c r="F41" s="222"/>
      <c r="G41" s="222">
        <f>$E$41</f>
        <v>7500</v>
      </c>
      <c r="H41" s="222"/>
      <c r="I41" s="222">
        <f>$E$41</f>
        <v>7500</v>
      </c>
      <c r="J41" s="222"/>
      <c r="K41" s="222">
        <f>$E$41</f>
        <v>7500</v>
      </c>
      <c r="L41" s="222"/>
      <c r="M41" s="222">
        <f>$E$41</f>
        <v>7500</v>
      </c>
      <c r="N41" s="222"/>
      <c r="O41" s="222">
        <f>$E$41</f>
        <v>7500</v>
      </c>
      <c r="P41" s="222"/>
      <c r="Q41" s="222">
        <f>$E$41</f>
        <v>7500</v>
      </c>
      <c r="R41" s="222"/>
      <c r="S41" s="222">
        <f>$E$41</f>
        <v>7500</v>
      </c>
      <c r="T41" s="222"/>
      <c r="U41" s="222">
        <f>$E$41</f>
        <v>7500</v>
      </c>
      <c r="V41" s="222"/>
      <c r="W41" s="222">
        <f>$E$41</f>
        <v>7500</v>
      </c>
      <c r="X41" s="222"/>
      <c r="Y41" s="222">
        <f>$E$41</f>
        <v>7500</v>
      </c>
      <c r="Z41" s="222"/>
      <c r="AA41" s="222">
        <f>$E$41</f>
        <v>7500</v>
      </c>
      <c r="AB41" s="222"/>
      <c r="AC41" s="222">
        <f>$E$41</f>
        <v>7500</v>
      </c>
      <c r="AD41" s="222"/>
      <c r="AE41" s="222">
        <f>$E$41</f>
        <v>7500</v>
      </c>
      <c r="AF41" s="222"/>
      <c r="AG41" s="222">
        <f>$E$41</f>
        <v>7500</v>
      </c>
    </row>
    <row r="42" spans="1:33" s="210" customFormat="1" ht="14">
      <c r="A42" s="225" t="s">
        <v>2749</v>
      </c>
      <c r="B42" s="226"/>
      <c r="C42" s="220"/>
      <c r="E42" s="232">
        <v>63000</v>
      </c>
      <c r="F42" s="222"/>
      <c r="G42" s="232">
        <f>$E$42</f>
        <v>63000</v>
      </c>
      <c r="H42" s="222"/>
      <c r="I42" s="232">
        <f>$E$42</f>
        <v>63000</v>
      </c>
      <c r="J42" s="222"/>
      <c r="K42" s="232">
        <f>$E$42</f>
        <v>63000</v>
      </c>
      <c r="L42" s="222"/>
      <c r="M42" s="232">
        <f>$E$42</f>
        <v>63000</v>
      </c>
      <c r="N42" s="222"/>
      <c r="O42" s="232">
        <f>$E$42</f>
        <v>63000</v>
      </c>
      <c r="P42" s="222"/>
      <c r="Q42" s="232">
        <f>$E$42</f>
        <v>63000</v>
      </c>
      <c r="R42" s="222"/>
      <c r="S42" s="232">
        <f>$E$42</f>
        <v>63000</v>
      </c>
      <c r="T42" s="222"/>
      <c r="U42" s="232">
        <f>$E$42</f>
        <v>63000</v>
      </c>
      <c r="V42" s="222"/>
      <c r="W42" s="232">
        <f>$E$42</f>
        <v>63000</v>
      </c>
      <c r="X42" s="222"/>
      <c r="Y42" s="232">
        <f>$E$42</f>
        <v>63000</v>
      </c>
      <c r="Z42" s="222"/>
      <c r="AA42" s="232">
        <f>$E$42</f>
        <v>63000</v>
      </c>
      <c r="AB42" s="222"/>
      <c r="AC42" s="232">
        <f>$E$42</f>
        <v>63000</v>
      </c>
      <c r="AD42" s="222"/>
      <c r="AE42" s="232">
        <f>$E$42</f>
        <v>63000</v>
      </c>
      <c r="AF42" s="222"/>
      <c r="AG42" s="232">
        <f>$E$42</f>
        <v>63000</v>
      </c>
    </row>
    <row r="43" spans="1:33" s="223" customFormat="1" ht="14">
      <c r="A43" s="223" t="s">
        <v>848</v>
      </c>
      <c r="C43" s="224"/>
      <c r="E43" s="223">
        <f>SUM(E40:E42)</f>
        <v>334876.696</v>
      </c>
      <c r="G43" s="223">
        <f>SUM(G40:G42)</f>
        <v>334876.696</v>
      </c>
      <c r="I43" s="223">
        <f>SUM(I40:I42)</f>
        <v>334876.696</v>
      </c>
      <c r="K43" s="223">
        <f>SUM(K40:K42)</f>
        <v>334876.696</v>
      </c>
      <c r="M43" s="223">
        <f>SUM(M40:M42)</f>
        <v>334876.696</v>
      </c>
      <c r="O43" s="223">
        <f>SUM(O40:O42)</f>
        <v>334876.696</v>
      </c>
      <c r="Q43" s="223">
        <f>SUM(Q40:Q42)</f>
        <v>334876.696</v>
      </c>
      <c r="S43" s="223">
        <f>SUM(S40:S42)</f>
        <v>334876.696</v>
      </c>
      <c r="U43" s="223">
        <f>SUM(U40:U42)</f>
        <v>334876.696</v>
      </c>
      <c r="W43" s="223">
        <f>SUM(W40:W42)</f>
        <v>334876.696</v>
      </c>
      <c r="Y43" s="223">
        <f>SUM(Y40:Y42)</f>
        <v>334876.696</v>
      </c>
      <c r="AA43" s="223">
        <f>SUM(AA40:AA42)</f>
        <v>334876.696</v>
      </c>
      <c r="AC43" s="223">
        <f>SUM(AC40:AC42)</f>
        <v>334876.696</v>
      </c>
      <c r="AE43" s="223">
        <f>SUM(AE40:AE42)</f>
        <v>334876.696</v>
      </c>
      <c r="AG43" s="223">
        <f>SUM(AG40:AG42)</f>
        <v>334876.696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50231.503999999957</v>
      </c>
      <c r="G45" s="223">
        <f>G37-G43</f>
        <v>58500.208999999915</v>
      </c>
      <c r="I45" s="223">
        <f>I37-I43</f>
        <v>66916.816624999861</v>
      </c>
      <c r="K45" s="223">
        <f>K37-K43</f>
        <v>75483.219040624681</v>
      </c>
      <c r="M45" s="223">
        <f>M37-M43</f>
        <v>84201.300121390261</v>
      </c>
      <c r="O45" s="223">
        <f>O37-O43</f>
        <v>93072.933525403729</v>
      </c>
      <c r="Q45" s="223">
        <f>Q37-Q43</f>
        <v>102099.98066763597</v>
      </c>
      <c r="S45" s="223">
        <f>S37-S43</f>
        <v>111284.28858756967</v>
      </c>
      <c r="U45" s="223">
        <f>U37-U43</f>
        <v>120627.68770686688</v>
      </c>
      <c r="W45" s="223">
        <f>W37-W43</f>
        <v>130131.98947254737</v>
      </c>
      <c r="Y45" s="223">
        <f>Y37-Y43</f>
        <v>139798.98388098716</v>
      </c>
      <c r="AA45" s="223">
        <f>AA37-AA43</f>
        <v>149630.43687788316</v>
      </c>
      <c r="AC45" s="223">
        <f>AC37-AC43</f>
        <v>159628.08762914781</v>
      </c>
      <c r="AE45" s="223">
        <f>AE37-AE43</f>
        <v>169793.64565750421</v>
      </c>
      <c r="AG45" s="223">
        <f>AG37-AG43</f>
        <v>180128.78783936962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6.2094235038741237E-2</v>
      </c>
      <c r="G47" s="227">
        <f>G45/(G4+G6+G8)</f>
        <v>7.0551889885415608E-2</v>
      </c>
      <c r="I47" s="227">
        <f>I45/(I4+I6+I8)</f>
        <v>7.8734058973621207E-2</v>
      </c>
      <c r="K47" s="227">
        <f>K45/(K4+K6+K8)</f>
        <v>8.6647076893490452E-2</v>
      </c>
      <c r="M47" s="227">
        <f>M45/(M4+M6+M8)</f>
        <v>9.4297121398384101E-2</v>
      </c>
      <c r="O47" s="227">
        <f>O45/(O4+O6+O8)</f>
        <v>0.10169021721431534</v>
      </c>
      <c r="Q47" s="227">
        <f>Q45/(Q4+Q6+Q8)</f>
        <v>0.10883223975634104</v>
      </c>
      <c r="S47" s="227">
        <f>S45/(S4+S6+S8)</f>
        <v>0.11572891875418796</v>
      </c>
      <c r="U47" s="227">
        <f>U45/(U4+U6+U8)</f>
        <v>0.122385841789323</v>
      </c>
      <c r="W47" s="227">
        <f>W45/(W4+W6+W8)</f>
        <v>0.12880845774563357</v>
      </c>
      <c r="Y47" s="227">
        <f>Y45/(Y4+Y6+Y8)</f>
        <v>0.13500208017581658</v>
      </c>
      <c r="AA47" s="227">
        <f>AA45/(AA4+AA6+AA8)</f>
        <v>0.14097189058553475</v>
      </c>
      <c r="AC47" s="227">
        <f>AC45/(AC4+AC6+AC8)</f>
        <v>0.14672294163734625</v>
      </c>
      <c r="AE47" s="227">
        <f>AE45/(AE4+AE6+AE8)</f>
        <v>0.15226016027635869</v>
      </c>
      <c r="AG47" s="227">
        <f>AG45/(AG4+AG6+AG8)</f>
        <v>0.15758835077952074</v>
      </c>
    </row>
    <row r="48" spans="1:33" s="227" customFormat="1" ht="14">
      <c r="A48" s="227" t="s">
        <v>852</v>
      </c>
      <c r="C48" s="220"/>
      <c r="E48" s="227">
        <f>E45/E43</f>
        <v>0.14999999880553036</v>
      </c>
      <c r="G48" s="227">
        <f>G45/G43</f>
        <v>0.17469178864569279</v>
      </c>
      <c r="I48" s="227">
        <f>I45/I43</f>
        <v>0.19982524142259175</v>
      </c>
      <c r="K48" s="227">
        <f>K45/K43</f>
        <v>0.22540600747155209</v>
      </c>
      <c r="M48" s="227">
        <f>M45/M43</f>
        <v>0.25143971236920665</v>
      </c>
      <c r="O48" s="227">
        <f>O45/O43</f>
        <v>0.27793195118421654</v>
      </c>
      <c r="Q48" s="227">
        <f>Q45/Q43</f>
        <v>0.30488828242511079</v>
      </c>
      <c r="S48" s="227">
        <f>S45/S43</f>
        <v>0.33231422167271285</v>
      </c>
      <c r="U48" s="227">
        <f>U45/U43</f>
        <v>0.36021523488414636</v>
      </c>
      <c r="W48" s="227">
        <f>W45/W43</f>
        <v>0.38859673135495632</v>
      </c>
      <c r="Y48" s="227">
        <f>Y45/Y43</f>
        <v>0.41746405632533823</v>
      </c>
      <c r="AA48" s="227">
        <f>AA45/AA43</f>
        <v>0.44682248321598095</v>
      </c>
      <c r="AC48" s="227">
        <f>AC45/AC43</f>
        <v>0.47667720547848397</v>
      </c>
      <c r="AE48" s="227">
        <f>AE45/AE43</f>
        <v>0.50703332804473267</v>
      </c>
      <c r="AG48" s="227">
        <f>AG45/AG43</f>
        <v>0.53789585835907083</v>
      </c>
    </row>
    <row r="49" spans="1:34" s="228" customFormat="1" ht="14">
      <c r="A49" s="228" t="s">
        <v>850</v>
      </c>
      <c r="C49" s="229"/>
      <c r="E49" s="228">
        <f>E37/E43</f>
        <v>1.1499999988055303</v>
      </c>
      <c r="G49" s="228">
        <f>G37/G43</f>
        <v>1.1746917886456927</v>
      </c>
      <c r="I49" s="228">
        <f>I37/I43</f>
        <v>1.1998252414225918</v>
      </c>
      <c r="K49" s="228">
        <f>K37/K43</f>
        <v>1.225406007471552</v>
      </c>
      <c r="M49" s="228">
        <f>M37/M43</f>
        <v>1.2514397123692067</v>
      </c>
      <c r="O49" s="228">
        <f>O37/O43</f>
        <v>1.2779319511842167</v>
      </c>
      <c r="Q49" s="228">
        <f>Q37/Q43</f>
        <v>1.3048882824251109</v>
      </c>
      <c r="S49" s="228">
        <f>S37/S43</f>
        <v>1.3323142216727129</v>
      </c>
      <c r="U49" s="228">
        <f>U37/U43</f>
        <v>1.3602152348841463</v>
      </c>
      <c r="W49" s="228">
        <f>W37/W43</f>
        <v>1.3885967313549563</v>
      </c>
      <c r="Y49" s="228">
        <f>Y37/Y43</f>
        <v>1.4174640563253382</v>
      </c>
      <c r="AA49" s="228">
        <f>AA37/AA43</f>
        <v>1.4468224832159811</v>
      </c>
      <c r="AC49" s="228">
        <f>AC37/AC43</f>
        <v>1.476677205478484</v>
      </c>
      <c r="AE49" s="228">
        <f>AE37/AE43</f>
        <v>1.5070333280447326</v>
      </c>
      <c r="AG49" s="228">
        <f>AG37/AG43</f>
        <v>1.5378958583590707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8" t="s">
        <v>1184</v>
      </c>
      <c r="B52" s="2708"/>
      <c r="C52" s="270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AA53*$C$53</f>
        <v>16319.541499340696</v>
      </c>
      <c r="AE53" s="960">
        <f>AC53*$C$53</f>
        <v>16890.72545181762</v>
      </c>
      <c r="AG53" s="960">
        <f>AE53*$C$53</f>
        <v>17481.900842631236</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23874.884786072496</v>
      </c>
      <c r="AD58" s="960"/>
      <c r="AE58" s="960">
        <f>SUM(AE53:AE57)</f>
        <v>24710.505753585036</v>
      </c>
      <c r="AF58" s="960"/>
      <c r="AG58" s="960">
        <f>SUM(AG53:AG57)</f>
        <v>25575.373454960507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34431.503999999957</v>
      </c>
      <c r="G60" s="962">
        <f>G45-G58</f>
        <v>42147.208999999915</v>
      </c>
      <c r="I60" s="962">
        <f>I45-I58</f>
        <v>49991.461624999865</v>
      </c>
      <c r="K60" s="962">
        <f>K45-K58</f>
        <v>57965.476615624684</v>
      </c>
      <c r="M60" s="962">
        <f>M45-M58</f>
        <v>66070.436711515271</v>
      </c>
      <c r="O60" s="962">
        <f>O45-O58</f>
        <v>74307.489896183106</v>
      </c>
      <c r="Q60" s="962">
        <f>Q45-Q58</f>
        <v>82677.74651139263</v>
      </c>
      <c r="S60" s="962">
        <f>S45-S58</f>
        <v>91182.276235857804</v>
      </c>
      <c r="U60" s="962">
        <f>U45-U58</f>
        <v>99822.104922845116</v>
      </c>
      <c r="W60" s="962">
        <f>W45-W58</f>
        <v>108598.21129108484</v>
      </c>
      <c r="Y60" s="962">
        <f>Y45-Y58</f>
        <v>117511.52346317343</v>
      </c>
      <c r="AA60" s="962">
        <f>AA45-AA58</f>
        <v>126562.91534544596</v>
      </c>
      <c r="AC60" s="962">
        <f>AC45-AC58</f>
        <v>135753.2028430753</v>
      </c>
      <c r="AE60" s="962">
        <f>AE45-AE58</f>
        <v>145083.13990391919</v>
      </c>
      <c r="AG60" s="962">
        <f>AG45-AG58</f>
        <v>154553.41438440912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17215.751999999979</v>
      </c>
      <c r="G62" s="962">
        <f>G60*$C$62</f>
        <v>21073.604499999958</v>
      </c>
      <c r="I62" s="962">
        <f>I60*$C$62</f>
        <v>24995.730812499933</v>
      </c>
      <c r="K62" s="962">
        <f>K60*$C$62</f>
        <v>28982.738307812342</v>
      </c>
      <c r="M62" s="962">
        <f>M60*$C$62</f>
        <v>33035.218355757635</v>
      </c>
      <c r="O62" s="962">
        <f>O60*$C$62</f>
        <v>37153.744948091553</v>
      </c>
      <c r="Q62" s="962">
        <f>Q60*$C$62</f>
        <v>41338.873255696315</v>
      </c>
      <c r="S62" s="962">
        <f>S60*$C$62</f>
        <v>45591.138117928902</v>
      </c>
      <c r="U62" s="962">
        <f>U60*$C$62</f>
        <v>49911.052461422558</v>
      </c>
      <c r="W62" s="962">
        <f>W60*$C$62</f>
        <v>54299.105645542419</v>
      </c>
      <c r="Y62" s="962">
        <f>Y60*$C$62</f>
        <v>58755.761731586717</v>
      </c>
      <c r="AA62" s="962">
        <f>AA60*$C$62</f>
        <v>63281.45767272298</v>
      </c>
      <c r="AC62" s="962">
        <f>AC60*$C$62</f>
        <v>67876.601421537649</v>
      </c>
      <c r="AE62" s="962">
        <f>AE60*$C$62</f>
        <v>72541.569951959595</v>
      </c>
      <c r="AG62" s="962">
        <f>AG60*$C$62</f>
        <v>77276.707192204558</v>
      </c>
    </row>
    <row r="63" spans="1:34" s="962" customFormat="1">
      <c r="A63" s="2708" t="s">
        <v>1184</v>
      </c>
      <c r="B63" s="2708"/>
      <c r="C63" s="270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2740</v>
      </c>
      <c r="B66" s="964"/>
      <c r="C66" s="963">
        <v>0.9</v>
      </c>
      <c r="E66" s="964">
        <f>E62*C65</f>
        <v>8607.8759999999893</v>
      </c>
      <c r="G66" s="960">
        <f>G62*$C$65</f>
        <v>10536.802249999979</v>
      </c>
      <c r="H66" s="960"/>
      <c r="I66" s="960">
        <f t="shared" ref="I66:AG66" si="2">I62*$C$65</f>
        <v>12497.865406249966</v>
      </c>
      <c r="J66" s="960"/>
      <c r="K66" s="960">
        <f t="shared" si="2"/>
        <v>14491.369153906171</v>
      </c>
      <c r="L66" s="960"/>
      <c r="M66" s="960">
        <f t="shared" si="2"/>
        <v>16517.609177878818</v>
      </c>
      <c r="N66" s="960"/>
      <c r="O66" s="960">
        <f t="shared" si="2"/>
        <v>18576.872474045776</v>
      </c>
      <c r="P66" s="960"/>
      <c r="Q66" s="960">
        <f t="shared" si="2"/>
        <v>20669.436627848158</v>
      </c>
      <c r="R66" s="960"/>
      <c r="S66" s="960">
        <f t="shared" si="2"/>
        <v>22795.569058964451</v>
      </c>
      <c r="T66" s="960"/>
      <c r="U66" s="960">
        <f t="shared" si="2"/>
        <v>24955.526230711279</v>
      </c>
      <c r="V66" s="960"/>
      <c r="W66" s="960">
        <f t="shared" si="2"/>
        <v>27149.552822771209</v>
      </c>
      <c r="X66" s="960"/>
      <c r="Y66" s="960">
        <f t="shared" si="2"/>
        <v>29377.880865793359</v>
      </c>
      <c r="Z66" s="960"/>
      <c r="AA66" s="960">
        <f t="shared" si="2"/>
        <v>31640.72883636149</v>
      </c>
      <c r="AB66" s="960"/>
      <c r="AC66" s="960">
        <f t="shared" si="2"/>
        <v>33938.300710768825</v>
      </c>
      <c r="AD66" s="960"/>
      <c r="AE66" s="960">
        <f t="shared" si="2"/>
        <v>36270.784975979797</v>
      </c>
      <c r="AF66" s="960"/>
      <c r="AG66" s="960">
        <f t="shared" si="2"/>
        <v>38638.353596102279</v>
      </c>
    </row>
    <row r="67" spans="1:34" s="960" customFormat="1">
      <c r="A67" s="965" t="s">
        <v>2751</v>
      </c>
      <c r="B67" s="965"/>
      <c r="C67" s="970"/>
      <c r="E67" s="964">
        <f>E66*C66</f>
        <v>7747.0883999999905</v>
      </c>
      <c r="G67" s="960">
        <f>G66*$C$66</f>
        <v>9483.1220249999806</v>
      </c>
      <c r="I67" s="960">
        <f>I66*$C$66</f>
        <v>11248.07886562497</v>
      </c>
      <c r="K67" s="960">
        <f>K66*$C$66</f>
        <v>13042.232238515555</v>
      </c>
      <c r="M67" s="960">
        <f>M66*$C$66</f>
        <v>14865.848260090936</v>
      </c>
      <c r="O67" s="960">
        <f>O66*$C$66</f>
        <v>16719.185226641199</v>
      </c>
      <c r="Q67" s="960">
        <f>Q66*$C$66</f>
        <v>18602.492965063342</v>
      </c>
      <c r="S67" s="960">
        <f>S66*$C$66</f>
        <v>20516.012153068008</v>
      </c>
      <c r="U67" s="960">
        <f>U66*$C$66</f>
        <v>22459.973607640153</v>
      </c>
      <c r="W67" s="960">
        <f>W66*$C$66</f>
        <v>24434.597540494087</v>
      </c>
      <c r="Y67" s="960">
        <f>Y66*$C$66</f>
        <v>26440.092779214025</v>
      </c>
      <c r="AA67" s="960">
        <f>AA66*$C$66</f>
        <v>28476.655952725341</v>
      </c>
      <c r="AC67" s="960">
        <f>AC66*$C$66</f>
        <v>30544.470639691943</v>
      </c>
      <c r="AE67" s="960">
        <f>AE66*$C$66</f>
        <v>32643.706478381817</v>
      </c>
      <c r="AG67" s="960">
        <f>AG66*$C$66</f>
        <v>34774.518236492055</v>
      </c>
    </row>
    <row r="68" spans="1:34" s="960" customFormat="1">
      <c r="A68" s="965" t="s">
        <v>2752</v>
      </c>
      <c r="B68" s="965"/>
      <c r="C68" s="970">
        <v>0.99990000000000001</v>
      </c>
      <c r="E68" s="965">
        <f>(E66-E67)*C68</f>
        <v>860.70152123999878</v>
      </c>
      <c r="G68" s="960">
        <f>(G66-G67)*C68</f>
        <v>1053.5748569774983</v>
      </c>
      <c r="I68" s="960">
        <f>(I66-I67)*$C$68</f>
        <v>1249.6615619709341</v>
      </c>
      <c r="K68" s="960">
        <f>(K66-K67)*$C$68</f>
        <v>1448.992001699077</v>
      </c>
      <c r="M68" s="960">
        <f>(M66-M67)*$C$68</f>
        <v>1651.5957416961035</v>
      </c>
      <c r="O68" s="960">
        <f>(O66-O67)*$C$68</f>
        <v>1857.5014786798372</v>
      </c>
      <c r="Q68" s="960">
        <f>(Q66-Q67)*$C$68</f>
        <v>2066.7369684185369</v>
      </c>
      <c r="S68" s="960">
        <f>(S66-S67)*$C$68</f>
        <v>2279.3289502058533</v>
      </c>
      <c r="U68" s="960">
        <f>(U66-U67)*$C$68</f>
        <v>2495.3030678088185</v>
      </c>
      <c r="W68" s="960">
        <f>(W66-W67)*$C$68</f>
        <v>2714.6837867488944</v>
      </c>
      <c r="Y68" s="960">
        <f>(Y66-Y67)*$C$68</f>
        <v>2937.4943077706762</v>
      </c>
      <c r="AA68" s="960">
        <f>(AA66-AA67)*$C$68</f>
        <v>3163.7564763477849</v>
      </c>
      <c r="AC68" s="960">
        <f>(AC66-AC67)*$C$68</f>
        <v>3393.490688069774</v>
      </c>
      <c r="AE68" s="960">
        <f>(AE66-AE67)*$C$68</f>
        <v>3626.7157897482207</v>
      </c>
      <c r="AG68" s="960">
        <f>(AG66-AG67)*$C$68</f>
        <v>3863.4489760742631</v>
      </c>
    </row>
    <row r="69" spans="1:34" s="960" customFormat="1">
      <c r="A69" s="965" t="s">
        <v>2753</v>
      </c>
      <c r="B69" s="965"/>
      <c r="C69" s="970">
        <v>1E-4</v>
      </c>
      <c r="E69" s="967">
        <f>E68*C69</f>
        <v>8.6070152123999877E-2</v>
      </c>
      <c r="G69" s="968">
        <f>E69*$C$69</f>
        <v>8.6070152123999881E-6</v>
      </c>
      <c r="I69" s="968">
        <f t="shared" ref="I69:AG69" si="3">G69*$C$66</f>
        <v>7.7463136911599889E-6</v>
      </c>
      <c r="K69" s="968">
        <f t="shared" si="3"/>
        <v>6.9716823220439904E-6</v>
      </c>
      <c r="M69" s="968">
        <f t="shared" si="3"/>
        <v>6.2745140898395913E-6</v>
      </c>
      <c r="O69" s="968">
        <f t="shared" si="3"/>
        <v>5.6470626808556327E-6</v>
      </c>
      <c r="Q69" s="968">
        <f t="shared" si="3"/>
        <v>5.0823564127700695E-6</v>
      </c>
      <c r="S69" s="968">
        <f t="shared" si="3"/>
        <v>4.574120771493063E-6</v>
      </c>
      <c r="U69" s="968">
        <f t="shared" si="3"/>
        <v>4.1167086943437568E-6</v>
      </c>
      <c r="W69" s="968">
        <f t="shared" si="3"/>
        <v>3.705037824909381E-6</v>
      </c>
      <c r="Y69" s="968">
        <f t="shared" si="3"/>
        <v>3.3345340424184428E-6</v>
      </c>
      <c r="AA69" s="968">
        <f t="shared" si="3"/>
        <v>3.0010806381765985E-6</v>
      </c>
      <c r="AC69" s="968">
        <f t="shared" si="3"/>
        <v>2.7009725743589386E-6</v>
      </c>
      <c r="AE69" s="968">
        <f t="shared" si="3"/>
        <v>2.430875316923045E-6</v>
      </c>
      <c r="AG69" s="968">
        <f t="shared" si="3"/>
        <v>2.1877877852307403E-6</v>
      </c>
    </row>
    <row r="70" spans="1:34" s="960" customFormat="1">
      <c r="A70" s="962" t="s">
        <v>853</v>
      </c>
      <c r="C70" s="970"/>
      <c r="E70" s="960">
        <f>E66+E67+E68+E69</f>
        <v>17215.751991392102</v>
      </c>
      <c r="G70" s="960">
        <f t="shared" ref="G70:AG70" si="4">G66+G67+G68+G69</f>
        <v>21073.499140584474</v>
      </c>
      <c r="I70" s="960">
        <f t="shared" si="4"/>
        <v>24995.60584159218</v>
      </c>
      <c r="K70" s="960">
        <f t="shared" si="4"/>
        <v>28982.593401092483</v>
      </c>
      <c r="M70" s="960">
        <f t="shared" si="4"/>
        <v>33035.053185940371</v>
      </c>
      <c r="O70" s="960">
        <f t="shared" si="4"/>
        <v>37153.559185013866</v>
      </c>
      <c r="Q70" s="960">
        <f t="shared" si="4"/>
        <v>41338.666566412401</v>
      </c>
      <c r="S70" s="960">
        <f t="shared" si="4"/>
        <v>45590.910166812428</v>
      </c>
      <c r="U70" s="960">
        <f t="shared" si="4"/>
        <v>49910.802910276958</v>
      </c>
      <c r="W70" s="960">
        <f t="shared" si="4"/>
        <v>54298.834153719232</v>
      </c>
      <c r="Y70" s="960">
        <f t="shared" si="4"/>
        <v>58755.467956112596</v>
      </c>
      <c r="AA70" s="960">
        <f t="shared" si="4"/>
        <v>63281.141268435698</v>
      </c>
      <c r="AC70" s="960">
        <f t="shared" si="4"/>
        <v>67876.262041231501</v>
      </c>
      <c r="AE70" s="960">
        <f t="shared" si="4"/>
        <v>72541.207246540711</v>
      </c>
      <c r="AG70" s="960">
        <f t="shared" si="4"/>
        <v>77276.320810856385</v>
      </c>
    </row>
    <row r="71" spans="1:34" s="960" customFormat="1">
      <c r="A71" s="962"/>
      <c r="C71" s="970"/>
    </row>
    <row r="72" spans="1:34" s="960" customFormat="1">
      <c r="A72" s="962" t="s">
        <v>1723</v>
      </c>
      <c r="C72" s="970"/>
      <c r="E72" s="962">
        <f>E60-E62-E70</f>
        <v>8.6078762251418084E-6</v>
      </c>
      <c r="G72" s="962">
        <f>G60-G62-G70</f>
        <v>0.1053594154836901</v>
      </c>
      <c r="I72" s="962">
        <f>I60-I62-I70</f>
        <v>0.12497090775286779</v>
      </c>
      <c r="K72" s="962">
        <f>K60-K62-K70</f>
        <v>0.1449067198591365</v>
      </c>
      <c r="M72" s="962">
        <f>M60-M62-M70</f>
        <v>0.16516981726454105</v>
      </c>
      <c r="O72" s="962">
        <f>O60-O62-O70</f>
        <v>0.18576307768671541</v>
      </c>
      <c r="Q72" s="962">
        <f>Q60-Q62-Q70</f>
        <v>0.20668928391387453</v>
      </c>
      <c r="S72" s="962">
        <f>S60-S62-S70</f>
        <v>0.22795111647428712</v>
      </c>
      <c r="U72" s="962">
        <f>U60-U62-U70</f>
        <v>0.24955114559998037</v>
      </c>
      <c r="W72" s="962">
        <f>W60-W62-W70</f>
        <v>0.27149182318680687</v>
      </c>
      <c r="Y72" s="962">
        <f>Y60-Y62-Y70</f>
        <v>0.29377547412150307</v>
      </c>
      <c r="AA72" s="962">
        <f>AA60-AA62-AA70</f>
        <v>0.31640428728132974</v>
      </c>
      <c r="AC72" s="962">
        <f>AC60-AC62-AC70</f>
        <v>0.33938030614808667</v>
      </c>
      <c r="AE72" s="962">
        <f>AE60-AE62-AE70</f>
        <v>0.36270541888370644</v>
      </c>
      <c r="AG72" s="962">
        <f>AG60-AG62-AG70</f>
        <v>0.38638134817301761</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706" t="s">
        <v>1721</v>
      </c>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4" customWidth="1"/>
    <col min="2" max="4" width="14.6328125" style="204" customWidth="1"/>
    <col min="5" max="5" width="50.6328125" style="204" customWidth="1"/>
    <col min="6" max="253" width="9.08984375" style="204" customWidth="1"/>
    <col min="254" max="16384" width="9.089843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3575000</v>
      </c>
      <c r="C5" s="266">
        <f>'Sources and Uses Budget'!$C4</f>
        <v>3575000</v>
      </c>
      <c r="D5" s="270">
        <f>C5-B5</f>
        <v>0</v>
      </c>
      <c r="E5" s="268"/>
      <c r="F5" s="267"/>
    </row>
    <row r="6" spans="1:6" s="352" customFormat="1">
      <c r="A6" s="364" t="s">
        <v>28</v>
      </c>
      <c r="B6" s="266">
        <f>'Sources and Uses Budget'!$C5</f>
        <v>150000</v>
      </c>
      <c r="C6" s="266">
        <f>'Sources and Uses Budget'!$C5</f>
        <v>150000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3725000</v>
      </c>
      <c r="C9" s="270">
        <f>SUM(C5:C8)</f>
        <v>3725000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4225000</v>
      </c>
      <c r="C13" s="270">
        <f>SUM(C9+C12)</f>
        <v>4225000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13833661</v>
      </c>
      <c r="C31" s="266">
        <f>'Sources and Uses Budget'!$C30</f>
        <v>13833661</v>
      </c>
      <c r="D31" s="270">
        <f t="shared" si="0"/>
        <v>0</v>
      </c>
      <c r="E31" s="268"/>
      <c r="F31" s="267"/>
    </row>
    <row r="32" spans="1:6" s="352" customFormat="1">
      <c r="A32" s="145" t="s">
        <v>600</v>
      </c>
      <c r="B32" s="266">
        <f>'Sources and Uses Budget'!$C31</f>
        <v>1288027</v>
      </c>
      <c r="C32" s="266">
        <f>'Sources and Uses Budget'!$C31</f>
        <v>1288027</v>
      </c>
      <c r="D32" s="270">
        <f t="shared" si="0"/>
        <v>0</v>
      </c>
      <c r="E32" s="268"/>
      <c r="F32" s="267"/>
    </row>
    <row r="33" spans="1:6" s="352" customFormat="1">
      <c r="A33" s="145" t="s">
        <v>137</v>
      </c>
      <c r="B33" s="266">
        <f>'Sources and Uses Budget'!$C32</f>
        <v>736016</v>
      </c>
      <c r="C33" s="266">
        <f>'Sources and Uses Budget'!$C32</f>
        <v>736016</v>
      </c>
      <c r="D33" s="270">
        <f t="shared" si="0"/>
        <v>0</v>
      </c>
      <c r="E33" s="268"/>
      <c r="F33" s="267"/>
    </row>
    <row r="34" spans="1:6" s="352" customFormat="1">
      <c r="A34" s="145" t="s">
        <v>138</v>
      </c>
      <c r="B34" s="266">
        <f>'Sources and Uses Budget'!$C33</f>
        <v>552012</v>
      </c>
      <c r="C34" s="266">
        <f>'Sources and Uses Budget'!$C33</f>
        <v>552012</v>
      </c>
      <c r="D34" s="270">
        <f t="shared" si="0"/>
        <v>0</v>
      </c>
      <c r="E34" s="268"/>
      <c r="F34" s="267"/>
    </row>
    <row r="35" spans="1:6" s="352" customFormat="1">
      <c r="A35" s="145" t="s">
        <v>139</v>
      </c>
      <c r="B35" s="266">
        <f>'Sources and Uses Budget'!$C34</f>
        <v>3066732</v>
      </c>
      <c r="C35" s="266">
        <f>'Sources and Uses Budget'!$C34</f>
        <v>3066732</v>
      </c>
      <c r="D35" s="270">
        <f t="shared" si="0"/>
        <v>0</v>
      </c>
      <c r="E35" s="268"/>
      <c r="F35" s="267"/>
    </row>
    <row r="36" spans="1:6" s="352" customFormat="1">
      <c r="A36" s="145" t="s">
        <v>140</v>
      </c>
      <c r="B36" s="266">
        <f>'Sources and Uses Budget'!$C35</f>
        <v>209764</v>
      </c>
      <c r="C36" s="266">
        <f>'Sources and Uses Budget'!$C35</f>
        <v>209764</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20686212</v>
      </c>
      <c r="C39" s="270">
        <f>SUM(C30:C38)</f>
        <v>20686212</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640000</v>
      </c>
      <c r="C41" s="266">
        <f>'Sources and Uses Budget'!$C40</f>
        <v>640000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640000</v>
      </c>
      <c r="C43" s="270">
        <f>SUM(C41:C42)</f>
        <v>640000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3535138</v>
      </c>
      <c r="C46" s="266">
        <f>'Sources and Uses Budget'!$C45</f>
        <v>3535138</v>
      </c>
      <c r="D46" s="270">
        <f t="shared" si="0"/>
        <v>0</v>
      </c>
      <c r="E46" s="268"/>
      <c r="F46" s="267"/>
    </row>
    <row r="47" spans="1:6" s="352" customFormat="1">
      <c r="A47" s="145" t="s">
        <v>151</v>
      </c>
      <c r="B47" s="266">
        <f>'Sources and Uses Budget'!$C46</f>
        <v>249115</v>
      </c>
      <c r="C47" s="266">
        <f>'Sources and Uses Budget'!$C46</f>
        <v>249115</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188788</v>
      </c>
      <c r="C49" s="266">
        <f>'Sources and Uses Budget'!$C48</f>
        <v>188788</v>
      </c>
      <c r="D49" s="270">
        <f t="shared" si="0"/>
        <v>0</v>
      </c>
      <c r="E49" s="268"/>
      <c r="F49" s="267"/>
    </row>
    <row r="50" spans="1:6" s="352" customFormat="1">
      <c r="A50" s="145" t="s">
        <v>57</v>
      </c>
      <c r="B50" s="266">
        <f>'Sources and Uses Budget'!$C49</f>
        <v>62279</v>
      </c>
      <c r="C50" s="266">
        <f>'Sources and Uses Budget'!$C49</f>
        <v>62279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214000</v>
      </c>
      <c r="C53" s="266">
        <f>'Sources and Uses Budget'!$C52</f>
        <v>214000</v>
      </c>
      <c r="D53" s="270">
        <f t="shared" si="0"/>
        <v>0</v>
      </c>
      <c r="E53" s="268"/>
      <c r="F53" s="267"/>
    </row>
    <row r="54" spans="1:6" s="352" customFormat="1">
      <c r="A54" s="155" t="str">
        <f>'Sources and Uses Budget'!A53</f>
        <v>Other: (Employment Reporting)</v>
      </c>
      <c r="B54" s="266">
        <f>'Sources and Uses Budget'!$C53</f>
        <v>25000</v>
      </c>
      <c r="C54" s="266">
        <f>'Sources and Uses Budget'!$C53</f>
        <v>25000</v>
      </c>
      <c r="D54" s="270">
        <f t="shared" si="0"/>
        <v>0</v>
      </c>
      <c r="E54" s="268"/>
      <c r="F54" s="267"/>
    </row>
    <row r="55" spans="1:6" s="353" customFormat="1" ht="13">
      <c r="A55" s="271" t="s">
        <v>157</v>
      </c>
      <c r="B55" s="273">
        <f>SUM(B46:B54)</f>
        <v>4389320</v>
      </c>
      <c r="C55" s="273">
        <f>SUM(C46:C54)</f>
        <v>4389320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 for Perm Loan)</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30615532</v>
      </c>
      <c r="C64" s="270">
        <f>SUM(C9+C12+C14+C15+C17+C26+C28+C39+C43+C44+C55+C63)</f>
        <v>30615532</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ht="23">
      <c r="A70" s="155" t="str">
        <f>'Sources and Uses Budget'!A69</f>
        <v>Other: (Lender Legal +Bond Issuer Legal+MGP Legal )</v>
      </c>
      <c r="B70" s="266">
        <f>'Sources and Uses Budget'!$C69</f>
        <v>144900</v>
      </c>
      <c r="C70" s="266">
        <f>'Sources and Uses Budget'!$C69</f>
        <v>144900</v>
      </c>
      <c r="D70" s="270">
        <f t="shared" si="0"/>
        <v>0</v>
      </c>
      <c r="E70" s="268"/>
      <c r="F70" s="267"/>
    </row>
    <row r="71" spans="1:6" s="352" customFormat="1">
      <c r="A71" s="149" t="s">
        <v>1645</v>
      </c>
      <c r="B71" s="270">
        <f>SUM(B66:B70)</f>
        <v>244900</v>
      </c>
      <c r="C71" s="270">
        <f>SUM(C66:C70)</f>
        <v>244900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179569</v>
      </c>
      <c r="C76" s="266">
        <f>'Sources and Uses Budget'!$C75</f>
        <v>179569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179569</v>
      </c>
      <c r="C78" s="270">
        <f>SUM(C73:C77)</f>
        <v>179569</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1076250</v>
      </c>
      <c r="C80" s="266">
        <f>'Sources and Uses Budget'!$C79</f>
        <v>1076250</v>
      </c>
      <c r="D80" s="270">
        <f t="shared" si="1"/>
        <v>0</v>
      </c>
      <c r="E80" s="268"/>
      <c r="F80" s="267"/>
    </row>
    <row r="81" spans="1:6" s="352" customFormat="1">
      <c r="A81" s="510" t="s">
        <v>58</v>
      </c>
      <c r="B81" s="266">
        <f>'Sources and Uses Budget'!$C80</f>
        <v>334764</v>
      </c>
      <c r="C81" s="266">
        <f>'Sources and Uses Budget'!$C80</f>
        <v>334764</v>
      </c>
      <c r="D81" s="270">
        <f>C81-B81</f>
        <v>0</v>
      </c>
      <c r="E81" s="268"/>
      <c r="F81" s="267"/>
    </row>
    <row r="82" spans="1:6" s="352" customFormat="1" ht="13">
      <c r="A82" s="271" t="s">
        <v>1209</v>
      </c>
      <c r="B82" s="270">
        <f>SUM(B80:B81)</f>
        <v>1411014</v>
      </c>
      <c r="C82" s="270">
        <f>SUM(C80:C81)</f>
        <v>1411014</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50267</v>
      </c>
      <c r="C84" s="266">
        <f>'Sources and Uses Budget'!$C83</f>
        <v>50267</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685934</v>
      </c>
      <c r="C86" s="266">
        <f>'Sources and Uses Budget'!$C85</f>
        <v>685934</v>
      </c>
      <c r="D86" s="270">
        <f t="shared" si="1"/>
        <v>0</v>
      </c>
      <c r="E86" s="268"/>
      <c r="F86" s="267"/>
    </row>
    <row r="87" spans="1:6" s="352" customFormat="1">
      <c r="A87" s="269" t="s">
        <v>769</v>
      </c>
      <c r="B87" s="266">
        <f>'Sources and Uses Budget'!$C86</f>
        <v>214066</v>
      </c>
      <c r="C87" s="266">
        <f>'Sources and Uses Budget'!$C86</f>
        <v>214066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25000</v>
      </c>
      <c r="C89" s="266">
        <f>'Sources and Uses Budget'!$C88</f>
        <v>25000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362100</v>
      </c>
      <c r="C94" s="266">
        <f>'Sources and Uses Budget'!$C93</f>
        <v>362100</v>
      </c>
      <c r="D94" s="270">
        <f t="shared" si="1"/>
        <v>0</v>
      </c>
      <c r="E94" s="268"/>
      <c r="F94" s="267"/>
    </row>
    <row r="95" spans="1:6" s="352" customFormat="1">
      <c r="A95" s="272" t="s">
        <v>34</v>
      </c>
      <c r="B95" s="266">
        <f>'Sources and Uses Budget'!$C94</f>
        <v>303500</v>
      </c>
      <c r="C95" s="266">
        <f>'Sources and Uses Budget'!$C94</f>
        <v>303500</v>
      </c>
      <c r="D95" s="270">
        <f t="shared" si="1"/>
        <v>0</v>
      </c>
      <c r="E95" s="268"/>
      <c r="F95" s="267"/>
    </row>
    <row r="96" spans="1:6" s="352" customFormat="1">
      <c r="A96" s="272" t="s">
        <v>34</v>
      </c>
      <c r="B96" s="266">
        <f>'Sources and Uses Budget'!$C95</f>
        <v>200000</v>
      </c>
      <c r="C96" s="266">
        <f>'Sources and Uses Budget'!$C95</f>
        <v>200000</v>
      </c>
      <c r="D96" s="270">
        <f t="shared" si="1"/>
        <v>0</v>
      </c>
      <c r="E96" s="268"/>
      <c r="F96" s="267"/>
    </row>
    <row r="97" spans="1:6" s="352" customFormat="1" ht="13">
      <c r="A97" s="271" t="s">
        <v>774</v>
      </c>
      <c r="B97" s="270">
        <f>SUM(B84:B96)</f>
        <v>2125867</v>
      </c>
      <c r="C97" s="270">
        <f>SUM(C84:C96)</f>
        <v>2125867</v>
      </c>
      <c r="D97" s="270">
        <f t="shared" si="1"/>
        <v>0</v>
      </c>
      <c r="E97" s="268"/>
      <c r="F97" s="267"/>
    </row>
    <row r="98" spans="1:6" s="352" customFormat="1" ht="13">
      <c r="A98" s="271" t="s">
        <v>775</v>
      </c>
      <c r="B98" s="270">
        <f>SUM(B64+B71+B78+B82+B97)</f>
        <v>34576882</v>
      </c>
      <c r="C98" s="270">
        <f>SUM(C64+C71+C78+C82+C97)</f>
        <v>34576882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4331250</v>
      </c>
      <c r="C100" s="266">
        <f>'Sources and Uses Budget'!$C99</f>
        <v>4331250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4331250</v>
      </c>
      <c r="C105" s="270">
        <f>SUM(C100:C104)</f>
        <v>4331250</v>
      </c>
      <c r="D105" s="270">
        <f t="shared" si="1"/>
        <v>0</v>
      </c>
      <c r="E105" s="268"/>
      <c r="F105" s="267"/>
    </row>
    <row r="106" spans="1:6" s="352" customFormat="1" ht="13">
      <c r="A106" s="271" t="s">
        <v>780</v>
      </c>
      <c r="B106" s="273">
        <f>SUM(B98+B105)</f>
        <v>38908132</v>
      </c>
      <c r="C106" s="273">
        <f>SUM(C98+C105)</f>
        <v>38908132</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80" t="s">
        <v>1868</v>
      </c>
      <c r="B1" s="1281"/>
      <c r="C1" s="1281"/>
      <c r="D1" s="1281"/>
      <c r="E1" s="1281"/>
      <c r="F1" s="1281"/>
      <c r="G1" s="1281"/>
      <c r="H1" s="1281"/>
      <c r="I1" s="1281"/>
      <c r="J1" s="1281"/>
    </row>
    <row r="2" spans="1:10" ht="15.5">
      <c r="A2" s="1284" t="s">
        <v>1268</v>
      </c>
      <c r="B2" s="1285"/>
      <c r="C2" s="1285"/>
      <c r="D2" s="1285"/>
      <c r="E2" s="1285"/>
      <c r="F2" s="1285"/>
      <c r="G2" s="1285"/>
      <c r="H2" s="1285"/>
      <c r="I2" s="1285"/>
      <c r="J2" s="1285"/>
    </row>
    <row r="3" spans="1:10"/>
    <row r="4" spans="1:10" ht="12.75" customHeight="1">
      <c r="A4" s="1282" t="s">
        <v>2046</v>
      </c>
      <c r="B4" s="1282"/>
      <c r="C4" s="1282"/>
      <c r="D4" s="1282"/>
      <c r="E4" s="1282"/>
      <c r="F4" s="1282"/>
      <c r="G4" s="1282"/>
      <c r="H4" s="1282"/>
      <c r="I4" s="1282"/>
      <c r="J4" s="1282"/>
    </row>
    <row r="5" spans="1:10">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6" t="s">
        <v>1873</v>
      </c>
      <c r="B10" s="1286"/>
      <c r="C10" s="1286"/>
      <c r="D10" s="1286"/>
      <c r="E10" s="1286"/>
      <c r="F10" s="1286"/>
      <c r="G10" s="1286"/>
      <c r="H10" s="1286"/>
      <c r="I10" s="1286"/>
      <c r="J10" s="1286"/>
    </row>
    <row r="11" spans="1:10">
      <c r="A11" s="1286"/>
      <c r="B11" s="1286"/>
      <c r="C11" s="1286"/>
      <c r="D11" s="1286"/>
      <c r="E11" s="1286"/>
      <c r="F11" s="1286"/>
      <c r="G11" s="1286"/>
      <c r="H11" s="1286"/>
      <c r="I11" s="1286"/>
      <c r="J11" s="1286"/>
    </row>
    <row r="12" spans="1:10">
      <c r="A12" s="1286"/>
      <c r="B12" s="1286"/>
      <c r="C12" s="1286"/>
      <c r="D12" s="1286"/>
      <c r="E12" s="1286"/>
      <c r="F12" s="1286"/>
      <c r="G12" s="1286"/>
      <c r="H12" s="1286"/>
      <c r="I12" s="1286"/>
      <c r="J12" s="1286"/>
    </row>
    <row r="13" spans="1:10">
      <c r="A13" s="1286"/>
      <c r="B13" s="1286"/>
      <c r="C13" s="1286"/>
      <c r="D13" s="1286"/>
      <c r="E13" s="1286"/>
      <c r="F13" s="1286"/>
      <c r="G13" s="1286"/>
      <c r="H13" s="1286"/>
      <c r="I13" s="1286"/>
      <c r="J13" s="1286"/>
    </row>
    <row r="14" spans="1:10">
      <c r="A14" s="1286"/>
      <c r="B14" s="1286"/>
      <c r="C14" s="1286"/>
      <c r="D14" s="1286"/>
      <c r="E14" s="1286"/>
      <c r="F14" s="1286"/>
      <c r="G14" s="1286"/>
      <c r="H14" s="1286"/>
      <c r="I14" s="1286"/>
      <c r="J14" s="1286"/>
    </row>
    <row r="15" spans="1:10">
      <c r="A15" s="1286"/>
      <c r="B15" s="1286"/>
      <c r="C15" s="1286"/>
      <c r="D15" s="1286"/>
      <c r="E15" s="1286"/>
      <c r="F15" s="1286"/>
      <c r="G15" s="1286"/>
      <c r="H15" s="1286"/>
      <c r="I15" s="1286"/>
      <c r="J15" s="1286"/>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5" t="s">
        <v>1189</v>
      </c>
      <c r="B19" s="1285"/>
      <c r="C19" s="1285"/>
      <c r="D19" s="1285"/>
      <c r="E19" s="1285"/>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82" t="s">
        <v>1190</v>
      </c>
      <c r="B56" s="1282"/>
      <c r="C56" s="1282"/>
      <c r="D56" s="1282"/>
      <c r="E56" s="1282"/>
      <c r="F56" s="1282"/>
      <c r="G56" s="1282"/>
      <c r="H56" s="1282"/>
      <c r="I56" s="1282"/>
      <c r="J56" s="1282"/>
    </row>
    <row r="57" spans="1:10">
      <c r="A57" s="1282"/>
      <c r="B57" s="1282"/>
      <c r="C57" s="1282"/>
      <c r="D57" s="1282"/>
      <c r="E57" s="1282"/>
      <c r="F57" s="1282"/>
      <c r="G57" s="1282"/>
      <c r="H57" s="1282"/>
      <c r="I57" s="1282"/>
      <c r="J57" s="1282"/>
    </row>
    <row r="58" spans="1:10">
      <c r="A58" s="1282"/>
      <c r="B58" s="1282"/>
      <c r="C58" s="1282"/>
      <c r="D58" s="1282"/>
      <c r="E58" s="1282"/>
      <c r="F58" s="1282"/>
      <c r="G58" s="1282"/>
      <c r="H58" s="1282"/>
      <c r="I58" s="1282"/>
      <c r="J58" s="1282"/>
    </row>
    <row r="59" spans="1:10"/>
    <row r="60" spans="1:10">
      <c r="A60" s="402" t="s">
        <v>1189</v>
      </c>
    </row>
    <row r="61" spans="1:10"/>
    <row r="62" spans="1:10"/>
    <row r="63" spans="1:10"/>
    <row r="64" spans="1:10"/>
    <row r="65" spans="1:9"/>
    <row r="66" spans="1:9"/>
    <row r="67" spans="1:9"/>
    <row r="68" spans="1:9"/>
    <row r="69" spans="1:9"/>
    <row r="70" spans="1:9"/>
    <row r="71" spans="1:9" ht="13">
      <c r="A71" s="1283" t="s">
        <v>1869</v>
      </c>
      <c r="B71" s="1283"/>
      <c r="C71" s="1283"/>
      <c r="D71" s="1283"/>
      <c r="E71" s="1283"/>
      <c r="F71" s="1283"/>
      <c r="G71" s="1283"/>
      <c r="H71" s="1283"/>
      <c r="I71" s="1283"/>
    </row>
    <row r="72" spans="1:9">
      <c r="A72" s="1275" t="s">
        <v>2044</v>
      </c>
      <c r="B72" s="1275"/>
      <c r="C72" s="1275"/>
      <c r="D72" s="1275"/>
      <c r="E72" s="1275"/>
    </row>
    <row r="73" spans="1:9">
      <c r="A73" s="1275" t="s">
        <v>2045</v>
      </c>
      <c r="B73" s="1275"/>
      <c r="C73" s="1275"/>
      <c r="D73" s="1275"/>
      <c r="E73" s="1275"/>
    </row>
    <row r="74" spans="1:9">
      <c r="A74" s="1275" t="s">
        <v>1870</v>
      </c>
      <c r="B74" s="1275"/>
      <c r="C74" s="1275"/>
      <c r="D74" s="1275"/>
      <c r="E74" s="127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4" workbookViewId="0">
      <selection activeCell="D1108" sqref="D1108:F1113"/>
    </sheetView>
  </sheetViews>
  <sheetFormatPr defaultColWidth="0" defaultRowHeight="13" zeroHeight="1"/>
  <cols>
    <col min="1" max="1" width="3.6328125" style="480" customWidth="1"/>
    <col min="2" max="2" width="13.6328125" style="480" customWidth="1"/>
    <col min="3" max="3" width="2.6328125" style="480" customWidth="1"/>
    <col min="4" max="5" width="3.6328125" style="402" customWidth="1"/>
    <col min="6" max="6" width="65.6328125" style="402" customWidth="1"/>
    <col min="7" max="7" width="1.6328125" style="402" customWidth="1"/>
    <col min="8" max="8" width="3.6328125" style="402" customWidth="1"/>
    <col min="9" max="9" width="9.08984375" style="404" customWidth="1"/>
    <col min="10" max="10" width="8.81640625" style="402" hidden="1" customWidth="1"/>
    <col min="11" max="16384" width="8.81640625" style="402" hidden="1"/>
  </cols>
  <sheetData>
    <row r="1" spans="1:13"/>
    <row r="2" spans="1:13">
      <c r="A2" s="1337" t="s">
        <v>2457</v>
      </c>
      <c r="B2" s="1337"/>
      <c r="C2" s="1337"/>
      <c r="D2" s="1337"/>
      <c r="E2" s="1337"/>
      <c r="F2" s="1337"/>
      <c r="G2" s="1337"/>
      <c r="H2" s="1337"/>
      <c r="I2" s="1337"/>
    </row>
    <row r="3" spans="1:13">
      <c r="A3" s="1325" t="s">
        <v>2218</v>
      </c>
      <c r="B3" s="1325"/>
      <c r="C3" s="1325"/>
      <c r="D3" s="1325"/>
      <c r="E3" s="1325"/>
      <c r="F3" s="1325"/>
      <c r="G3" s="1325"/>
      <c r="H3" s="1325"/>
      <c r="I3" s="1325"/>
    </row>
    <row r="4" spans="1:13">
      <c r="A4" s="1325"/>
      <c r="B4" s="1325"/>
      <c r="C4" s="1285"/>
      <c r="D4" s="1285"/>
      <c r="E4" s="1285"/>
      <c r="F4" s="1285"/>
      <c r="G4" s="1285"/>
    </row>
    <row r="5" spans="1:13">
      <c r="A5" s="1325"/>
      <c r="B5" s="1325"/>
      <c r="C5" s="1285"/>
      <c r="D5" s="1285"/>
      <c r="E5" s="1285"/>
      <c r="F5" s="1285"/>
      <c r="G5" s="1285"/>
    </row>
    <row r="6" spans="1:13" ht="12.75" customHeight="1">
      <c r="A6" s="1328" t="s">
        <v>2217</v>
      </c>
      <c r="B6" s="1328"/>
      <c r="C6" s="1328"/>
      <c r="D6" s="1328"/>
      <c r="E6" s="1328"/>
      <c r="F6" s="1328"/>
      <c r="G6" s="1328"/>
      <c r="I6" s="490"/>
    </row>
    <row r="7" spans="1:13">
      <c r="A7" s="1328"/>
      <c r="B7" s="1328"/>
      <c r="C7" s="1328"/>
      <c r="D7" s="1328"/>
      <c r="E7" s="1328"/>
      <c r="F7" s="1328"/>
      <c r="G7" s="1328"/>
      <c r="I7" s="490"/>
    </row>
    <row r="8" spans="1:13">
      <c r="A8" s="481"/>
      <c r="B8" s="481"/>
      <c r="C8" s="482"/>
      <c r="D8" s="482"/>
      <c r="E8" s="482"/>
      <c r="F8" s="482"/>
    </row>
    <row r="9" spans="1:13">
      <c r="A9" s="1314" t="s">
        <v>1101</v>
      </c>
      <c r="B9" s="1314"/>
      <c r="C9" s="1314"/>
      <c r="D9" s="1314"/>
      <c r="E9" s="1314"/>
      <c r="F9" s="1314"/>
      <c r="G9" s="1314"/>
      <c r="H9" s="1028"/>
      <c r="I9" s="1029"/>
    </row>
    <row r="10" spans="1:13">
      <c r="A10" s="482"/>
      <c r="B10" s="482"/>
      <c r="E10" s="404"/>
    </row>
    <row r="11" spans="1:13" ht="13.75" customHeight="1">
      <c r="C11" s="482"/>
      <c r="D11" s="1327" t="s">
        <v>1100</v>
      </c>
      <c r="E11" s="1327"/>
      <c r="F11" s="1327"/>
    </row>
    <row r="12" spans="1:13">
      <c r="C12" s="482"/>
      <c r="D12" s="1327"/>
      <c r="E12" s="1327"/>
      <c r="F12" s="1327"/>
    </row>
    <row r="13" spans="1:13">
      <c r="A13" s="483"/>
      <c r="B13" s="483"/>
      <c r="C13" s="483"/>
      <c r="D13" s="1305" t="s">
        <v>1090</v>
      </c>
      <c r="E13" s="1305"/>
      <c r="F13" s="1305"/>
      <c r="M13" s="96"/>
    </row>
    <row r="14" spans="1:13">
      <c r="A14" s="483"/>
      <c r="B14" s="483"/>
      <c r="C14" s="483"/>
      <c r="D14" s="476"/>
      <c r="L14" s="312"/>
    </row>
    <row r="15" spans="1:13">
      <c r="A15" s="484"/>
      <c r="B15" s="485" t="s">
        <v>2668</v>
      </c>
      <c r="C15" s="483"/>
      <c r="D15" s="1307" t="s">
        <v>1921</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1919</v>
      </c>
      <c r="F18" s="445"/>
      <c r="I18" s="490"/>
    </row>
    <row r="19" spans="1:9">
      <c r="A19" s="483"/>
      <c r="B19" s="483"/>
      <c r="C19" s="483"/>
      <c r="I19" s="490"/>
    </row>
    <row r="20" spans="1:9">
      <c r="A20" s="484"/>
      <c r="B20" s="485" t="s">
        <v>2668</v>
      </c>
      <c r="D20" s="1307" t="s">
        <v>1922</v>
      </c>
      <c r="E20" s="1307"/>
      <c r="F20" s="1307"/>
      <c r="I20" s="490"/>
    </row>
    <row r="21" spans="1:9">
      <c r="A21" s="484"/>
      <c r="D21" s="1307"/>
      <c r="E21" s="1307"/>
      <c r="F21" s="1307"/>
      <c r="I21" s="490"/>
    </row>
    <row r="22" spans="1:9">
      <c r="A22" s="484"/>
      <c r="D22" s="392"/>
      <c r="E22" s="96" t="s">
        <v>1918</v>
      </c>
      <c r="F22" s="392"/>
      <c r="I22" s="490"/>
    </row>
    <row r="23" spans="1:9">
      <c r="A23" s="484"/>
      <c r="B23" s="484"/>
      <c r="D23" s="446"/>
      <c r="I23" s="490"/>
    </row>
    <row r="24" spans="1:9">
      <c r="A24" s="484"/>
      <c r="B24" s="485" t="s">
        <v>2669</v>
      </c>
      <c r="D24" s="1307" t="s">
        <v>1091</v>
      </c>
      <c r="E24" s="1307"/>
      <c r="F24" s="1307"/>
      <c r="I24" s="490"/>
    </row>
    <row r="25" spans="1:9">
      <c r="A25" s="484"/>
      <c r="B25" s="484"/>
      <c r="D25" s="1307"/>
      <c r="E25" s="1307"/>
      <c r="F25" s="1307"/>
      <c r="I25" s="490"/>
    </row>
    <row r="26" spans="1:9">
      <c r="I26" s="490"/>
    </row>
    <row r="27" spans="1:9">
      <c r="A27" s="484"/>
      <c r="B27" s="485" t="s">
        <v>2668</v>
      </c>
      <c r="D27" s="1307" t="s">
        <v>2047</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2669</v>
      </c>
      <c r="D33" s="1307" t="s">
        <v>2048</v>
      </c>
      <c r="E33" s="1307"/>
      <c r="F33" s="1307"/>
      <c r="I33" s="490"/>
    </row>
    <row r="34" spans="1:9">
      <c r="D34" s="1307"/>
      <c r="E34" s="1307"/>
      <c r="F34" s="1307"/>
      <c r="I34" s="490"/>
    </row>
    <row r="35" spans="1:9">
      <c r="A35" s="484"/>
      <c r="B35" s="484"/>
      <c r="D35" s="447"/>
      <c r="I35" s="490"/>
    </row>
    <row r="36" spans="1:9" ht="14.5" customHeight="1">
      <c r="A36" s="484"/>
      <c r="B36" s="485" t="s">
        <v>2669</v>
      </c>
      <c r="D36" s="1307" t="s">
        <v>1214</v>
      </c>
      <c r="E36" s="1307"/>
      <c r="F36" s="1307"/>
      <c r="I36" s="490"/>
    </row>
    <row r="37" spans="1:9">
      <c r="A37" s="484"/>
      <c r="B37" s="484"/>
      <c r="D37" s="1307"/>
      <c r="E37" s="1307"/>
      <c r="F37" s="1307"/>
      <c r="I37" s="490"/>
    </row>
    <row r="38" spans="1:9">
      <c r="A38" s="484"/>
      <c r="B38" s="484"/>
      <c r="D38" s="1307"/>
      <c r="E38" s="1307"/>
      <c r="F38" s="1307"/>
      <c r="I38" s="490"/>
    </row>
    <row r="39" spans="1:9">
      <c r="A39" s="484"/>
      <c r="B39" s="484"/>
      <c r="D39" s="1307"/>
      <c r="E39" s="1307"/>
      <c r="F39" s="1307"/>
      <c r="I39" s="490"/>
    </row>
    <row r="40" spans="1:9">
      <c r="A40" s="484"/>
      <c r="B40" s="484"/>
      <c r="I40" s="490"/>
    </row>
    <row r="41" spans="1:9">
      <c r="A41" s="484"/>
      <c r="B41" s="485" t="s">
        <v>2669</v>
      </c>
      <c r="D41" s="1307" t="s">
        <v>1092</v>
      </c>
      <c r="E41" s="1307"/>
      <c r="F41" s="1307"/>
      <c r="I41" s="490"/>
    </row>
    <row r="42" spans="1:9">
      <c r="A42" s="484"/>
      <c r="B42" s="484"/>
      <c r="D42" s="1307"/>
      <c r="E42" s="1307"/>
      <c r="F42" s="1307"/>
      <c r="I42" s="490"/>
    </row>
    <row r="43" spans="1:9">
      <c r="A43" s="484"/>
      <c r="B43" s="484"/>
      <c r="D43" s="1307"/>
      <c r="E43" s="1307"/>
      <c r="F43" s="1307"/>
      <c r="I43" s="490"/>
    </row>
    <row r="44" spans="1:9">
      <c r="A44" s="484"/>
      <c r="B44" s="484"/>
      <c r="D44" s="1307"/>
      <c r="E44" s="1307"/>
      <c r="F44" s="1307"/>
      <c r="I44" s="490"/>
    </row>
    <row r="45" spans="1:9">
      <c r="A45" s="484"/>
      <c r="B45" s="484"/>
      <c r="D45" s="1307"/>
      <c r="E45" s="1307"/>
      <c r="F45" s="1307"/>
      <c r="I45" s="490"/>
    </row>
    <row r="46" spans="1:9">
      <c r="A46" s="484"/>
      <c r="B46" s="484"/>
      <c r="D46" s="445"/>
      <c r="E46" s="445"/>
      <c r="F46" s="445"/>
      <c r="I46" s="490"/>
    </row>
    <row r="47" spans="1:9">
      <c r="A47" s="484"/>
      <c r="B47" s="485" t="s">
        <v>2668</v>
      </c>
      <c r="D47" s="1307" t="s">
        <v>1093</v>
      </c>
      <c r="E47" s="1307"/>
      <c r="F47" s="1307"/>
      <c r="I47" s="490"/>
    </row>
    <row r="48" spans="1:9">
      <c r="A48" s="484"/>
      <c r="B48" s="484"/>
      <c r="D48" s="1307"/>
      <c r="E48" s="1307"/>
      <c r="F48" s="1307"/>
      <c r="I48" s="490"/>
    </row>
    <row r="49" spans="1:9">
      <c r="A49" s="484"/>
      <c r="B49" s="484"/>
      <c r="D49" s="1307"/>
      <c r="E49" s="1307"/>
      <c r="F49" s="1307"/>
      <c r="I49" s="490"/>
    </row>
    <row r="50" spans="1:9" ht="23.25" customHeight="1">
      <c r="A50" s="484"/>
      <c r="B50" s="484"/>
      <c r="D50" s="1307"/>
      <c r="E50" s="1307"/>
      <c r="F50" s="1307"/>
      <c r="I50" s="490"/>
    </row>
    <row r="51" spans="1:9">
      <c r="A51" s="484"/>
      <c r="B51" s="484"/>
      <c r="D51" s="446"/>
      <c r="I51" s="490"/>
    </row>
    <row r="52" spans="1:9" ht="14.5" customHeight="1">
      <c r="A52" s="484"/>
      <c r="B52" s="485" t="s">
        <v>2669</v>
      </c>
      <c r="D52" s="1307" t="s">
        <v>1094</v>
      </c>
      <c r="E52" s="1307"/>
      <c r="F52" s="1307"/>
      <c r="I52" s="490"/>
    </row>
    <row r="53" spans="1:9">
      <c r="A53" s="484"/>
      <c r="B53" s="484"/>
      <c r="D53" s="1307"/>
      <c r="E53" s="1307"/>
      <c r="F53" s="1307"/>
      <c r="I53" s="490"/>
    </row>
    <row r="54" spans="1:9">
      <c r="A54" s="484"/>
      <c r="B54" s="484"/>
      <c r="D54" s="1307"/>
      <c r="E54" s="1307"/>
      <c r="F54" s="1307"/>
      <c r="I54" s="490"/>
    </row>
    <row r="55" spans="1:9">
      <c r="A55" s="484"/>
      <c r="B55" s="484"/>
      <c r="I55" s="490"/>
    </row>
    <row r="56" spans="1:9">
      <c r="A56" s="484"/>
      <c r="B56" s="485" t="s">
        <v>2668</v>
      </c>
      <c r="D56" s="1330" t="s">
        <v>1095</v>
      </c>
      <c r="E56" s="1330"/>
      <c r="F56" s="1330"/>
      <c r="I56" s="490"/>
    </row>
    <row r="57" spans="1:9">
      <c r="A57" s="484"/>
      <c r="B57" s="484"/>
      <c r="D57" s="1330"/>
      <c r="E57" s="1330"/>
      <c r="F57" s="1330"/>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2669</v>
      </c>
      <c r="D61" s="1307" t="s">
        <v>1096</v>
      </c>
      <c r="E61" s="1307"/>
      <c r="F61" s="1307"/>
      <c r="I61" s="490"/>
    </row>
    <row r="62" spans="1:9">
      <c r="D62" s="1307"/>
      <c r="E62" s="1307"/>
      <c r="F62" s="1307"/>
      <c r="I62" s="490"/>
    </row>
    <row r="63" spans="1:9">
      <c r="D63" s="1307"/>
      <c r="E63" s="1307"/>
      <c r="F63" s="1307"/>
      <c r="I63" s="490"/>
    </row>
    <row r="64" spans="1:9">
      <c r="I64" s="490"/>
    </row>
    <row r="65" spans="1:9">
      <c r="A65" s="484"/>
      <c r="B65" s="485" t="s">
        <v>2669</v>
      </c>
      <c r="D65" s="1307" t="s">
        <v>1097</v>
      </c>
      <c r="E65" s="1307"/>
      <c r="F65" s="1307"/>
      <c r="I65" s="490"/>
    </row>
    <row r="66" spans="1:9">
      <c r="D66" s="1307"/>
      <c r="E66" s="1307"/>
      <c r="F66" s="1307"/>
      <c r="I66" s="490"/>
    </row>
    <row r="67" spans="1:9">
      <c r="I67" s="490"/>
    </row>
    <row r="68" spans="1:9">
      <c r="A68" s="484"/>
      <c r="B68" s="485" t="s">
        <v>2668</v>
      </c>
      <c r="D68" s="1307" t="s">
        <v>1098</v>
      </c>
      <c r="E68" s="1307"/>
      <c r="F68" s="1307"/>
      <c r="I68" s="490"/>
    </row>
    <row r="69" spans="1:9">
      <c r="D69" s="1307"/>
      <c r="E69" s="1307"/>
      <c r="F69" s="1307"/>
      <c r="I69" s="490"/>
    </row>
    <row r="70" spans="1:9">
      <c r="D70" s="1307"/>
      <c r="E70" s="1307"/>
      <c r="F70" s="1307"/>
      <c r="I70" s="490"/>
    </row>
    <row r="71" spans="1:9">
      <c r="I71" s="490"/>
    </row>
    <row r="72" spans="1:9">
      <c r="A72" s="484"/>
      <c r="B72" s="485" t="s">
        <v>2668</v>
      </c>
      <c r="D72" s="1307" t="s">
        <v>1099</v>
      </c>
      <c r="E72" s="1307"/>
      <c r="F72" s="1307"/>
      <c r="I72" s="490"/>
    </row>
    <row r="73" spans="1:9">
      <c r="D73" s="1307"/>
      <c r="E73" s="1307"/>
      <c r="F73" s="1307"/>
      <c r="I73" s="490"/>
    </row>
    <row r="74" spans="1:9">
      <c r="A74" s="484"/>
      <c r="B74" s="484"/>
      <c r="D74" s="446"/>
      <c r="I74" s="490"/>
    </row>
    <row r="75" spans="1:9">
      <c r="A75" s="1314" t="s">
        <v>1044</v>
      </c>
      <c r="B75" s="1314"/>
      <c r="C75" s="1314"/>
      <c r="D75" s="1314"/>
      <c r="E75" s="1314"/>
      <c r="F75" s="1314"/>
      <c r="G75" s="1314"/>
      <c r="H75" s="1028"/>
      <c r="I75" s="1153"/>
    </row>
    <row r="76" spans="1:9">
      <c r="I76" s="490"/>
    </row>
    <row r="77" spans="1:9">
      <c r="C77" s="486"/>
      <c r="D77" s="1323" t="s">
        <v>1102</v>
      </c>
      <c r="E77" s="1323"/>
      <c r="F77" s="1323"/>
      <c r="I77" s="490"/>
    </row>
    <row r="78" spans="1:9">
      <c r="A78" s="446"/>
      <c r="B78" s="446"/>
      <c r="D78" s="1307" t="s">
        <v>1117</v>
      </c>
      <c r="E78" s="1307"/>
      <c r="F78" s="1307"/>
      <c r="I78" s="490"/>
    </row>
    <row r="79" spans="1:9">
      <c r="A79" s="446"/>
      <c r="B79" s="446"/>
      <c r="I79" s="490"/>
    </row>
    <row r="80" spans="1:9" ht="13.75" customHeight="1">
      <c r="A80" s="484"/>
      <c r="B80" s="485" t="s">
        <v>2668</v>
      </c>
      <c r="D80" s="1307" t="s">
        <v>1245</v>
      </c>
      <c r="E80" s="1307"/>
      <c r="F80" s="1307"/>
      <c r="I80" s="490"/>
    </row>
    <row r="81" spans="1:9">
      <c r="A81" s="484"/>
      <c r="B81" s="484"/>
      <c r="D81" s="1307"/>
      <c r="E81" s="1307"/>
      <c r="F81" s="1307"/>
      <c r="I81" s="490"/>
    </row>
    <row r="82" spans="1:9">
      <c r="A82" s="484"/>
      <c r="B82" s="484"/>
      <c r="D82" s="1307"/>
      <c r="E82" s="1307"/>
      <c r="F82" s="1307"/>
      <c r="I82" s="490"/>
    </row>
    <row r="83" spans="1:9">
      <c r="A83" s="484"/>
      <c r="B83" s="484"/>
      <c r="D83" s="1307"/>
      <c r="E83" s="1307"/>
      <c r="F83" s="1307"/>
      <c r="I83" s="490"/>
    </row>
    <row r="84" spans="1:9">
      <c r="A84" s="484"/>
      <c r="B84" s="484"/>
      <c r="D84" s="1307"/>
      <c r="E84" s="1307"/>
      <c r="F84" s="1307"/>
      <c r="I84" s="490"/>
    </row>
    <row r="85" spans="1:9">
      <c r="A85" s="484"/>
      <c r="B85" s="484"/>
      <c r="D85" s="1307"/>
      <c r="E85" s="1307"/>
      <c r="F85" s="1307"/>
      <c r="I85" s="490"/>
    </row>
    <row r="86" spans="1:9">
      <c r="A86" s="484"/>
      <c r="B86" s="484"/>
      <c r="D86" s="1307"/>
      <c r="E86" s="1307"/>
      <c r="F86" s="1307"/>
      <c r="I86" s="490"/>
    </row>
    <row r="87" spans="1:9">
      <c r="A87" s="484"/>
      <c r="B87" s="484"/>
      <c r="D87" s="1307"/>
      <c r="E87" s="1307"/>
      <c r="F87" s="1307"/>
      <c r="I87" s="490"/>
    </row>
    <row r="88" spans="1:9">
      <c r="A88" s="484"/>
      <c r="B88" s="484"/>
      <c r="D88" s="385"/>
      <c r="E88" s="385"/>
      <c r="F88" s="385"/>
      <c r="I88" s="490"/>
    </row>
    <row r="89" spans="1:9" ht="15" customHeight="1">
      <c r="A89" s="484"/>
      <c r="B89" s="485" t="s">
        <v>2668</v>
      </c>
      <c r="D89" s="1307" t="s">
        <v>1742</v>
      </c>
      <c r="E89" s="1307"/>
      <c r="F89" s="1307"/>
      <c r="I89" s="490"/>
    </row>
    <row r="90" spans="1:9">
      <c r="A90" s="484"/>
      <c r="B90" s="484"/>
      <c r="D90" s="1307"/>
      <c r="E90" s="1307"/>
      <c r="F90" s="1307"/>
      <c r="I90" s="490"/>
    </row>
    <row r="91" spans="1:9">
      <c r="A91" s="484"/>
      <c r="B91" s="484"/>
      <c r="D91" s="445"/>
      <c r="E91" s="445"/>
      <c r="F91" s="445"/>
      <c r="I91" s="490"/>
    </row>
    <row r="92" spans="1:9">
      <c r="A92" s="484"/>
      <c r="B92" s="485" t="s">
        <v>2668</v>
      </c>
      <c r="D92" s="1307" t="s">
        <v>1745</v>
      </c>
      <c r="E92" s="1307"/>
      <c r="F92" s="1307"/>
      <c r="I92" s="490"/>
    </row>
    <row r="93" spans="1:9">
      <c r="A93" s="484"/>
      <c r="B93" s="484"/>
      <c r="D93" s="1307"/>
      <c r="E93" s="1307"/>
      <c r="F93" s="1307"/>
      <c r="I93" s="490"/>
    </row>
    <row r="94" spans="1:9">
      <c r="A94" s="484"/>
      <c r="B94" s="484"/>
      <c r="D94" s="1307"/>
      <c r="E94" s="1307"/>
      <c r="F94" s="1307"/>
      <c r="I94" s="490"/>
    </row>
    <row r="95" spans="1:9">
      <c r="A95" s="484"/>
      <c r="B95" s="484"/>
      <c r="D95" s="445"/>
      <c r="E95" s="445"/>
      <c r="F95" s="445"/>
      <c r="I95" s="490"/>
    </row>
    <row r="96" spans="1:9">
      <c r="A96" s="484"/>
      <c r="B96" s="485" t="s">
        <v>2668</v>
      </c>
      <c r="D96" s="1307" t="s">
        <v>1744</v>
      </c>
      <c r="E96" s="1307"/>
      <c r="F96" s="1307"/>
      <c r="I96" s="490"/>
    </row>
    <row r="97" spans="1:9" s="987" customFormat="1">
      <c r="A97" s="985"/>
      <c r="B97" s="985"/>
      <c r="C97" s="986"/>
      <c r="D97" s="1307"/>
      <c r="E97" s="1307"/>
      <c r="F97" s="1307"/>
      <c r="I97" s="1154"/>
    </row>
    <row r="98" spans="1:9">
      <c r="A98" s="484"/>
      <c r="B98" s="484"/>
      <c r="D98" s="392"/>
      <c r="E98" s="312" t="s">
        <v>1923</v>
      </c>
      <c r="F98" s="445"/>
      <c r="I98" s="490"/>
    </row>
    <row r="99" spans="1:9">
      <c r="A99" s="484"/>
      <c r="B99" s="484"/>
      <c r="D99" s="385"/>
      <c r="E99" s="385"/>
      <c r="F99" s="385"/>
      <c r="I99" s="490"/>
    </row>
    <row r="100" spans="1:9">
      <c r="A100" s="484"/>
      <c r="B100" s="485" t="s">
        <v>2669</v>
      </c>
      <c r="D100" s="1307" t="s">
        <v>1743</v>
      </c>
      <c r="E100" s="1307"/>
      <c r="F100" s="1307"/>
      <c r="I100" s="490"/>
    </row>
    <row r="101" spans="1:9">
      <c r="A101" s="484"/>
      <c r="B101" s="484"/>
      <c r="D101" s="1307"/>
      <c r="E101" s="1307"/>
      <c r="F101" s="1307"/>
      <c r="I101" s="490"/>
    </row>
    <row r="102" spans="1:9">
      <c r="A102" s="484"/>
      <c r="B102" s="484"/>
      <c r="D102" s="445"/>
      <c r="E102" s="445"/>
      <c r="F102" s="445"/>
      <c r="I102" s="490"/>
    </row>
    <row r="103" spans="1:9" ht="14.5" customHeight="1">
      <c r="A103" s="484"/>
      <c r="B103" s="485" t="s">
        <v>2669</v>
      </c>
      <c r="D103" s="1307" t="s">
        <v>1194</v>
      </c>
      <c r="E103" s="1307"/>
      <c r="F103" s="1307"/>
      <c r="I103" s="490"/>
    </row>
    <row r="104" spans="1:9">
      <c r="A104" s="484"/>
      <c r="B104" s="484"/>
      <c r="D104" s="1307"/>
      <c r="E104" s="1307"/>
      <c r="F104" s="1307"/>
      <c r="I104" s="490"/>
    </row>
    <row r="105" spans="1:9">
      <c r="A105" s="484"/>
      <c r="B105" s="484"/>
      <c r="D105" s="1307"/>
      <c r="E105" s="1307"/>
      <c r="F105" s="1307"/>
      <c r="I105" s="490"/>
    </row>
    <row r="106" spans="1:9">
      <c r="A106" s="484"/>
      <c r="B106" s="484"/>
      <c r="D106" s="1307"/>
      <c r="E106" s="1307"/>
      <c r="F106" s="1307"/>
      <c r="I106" s="490"/>
    </row>
    <row r="107" spans="1:9">
      <c r="A107" s="484"/>
      <c r="B107" s="484"/>
      <c r="D107" s="1307"/>
      <c r="E107" s="1307"/>
      <c r="F107" s="1307"/>
      <c r="I107" s="490"/>
    </row>
    <row r="108" spans="1:9">
      <c r="A108" s="484"/>
      <c r="B108" s="484"/>
      <c r="D108" s="1307"/>
      <c r="E108" s="1307"/>
      <c r="F108" s="1307"/>
      <c r="I108" s="490"/>
    </row>
    <row r="109" spans="1:9">
      <c r="A109" s="484"/>
      <c r="B109" s="484"/>
      <c r="D109" s="1307"/>
      <c r="E109" s="1307"/>
      <c r="F109" s="1307"/>
      <c r="I109" s="490"/>
    </row>
    <row r="110" spans="1:9">
      <c r="A110" s="484"/>
      <c r="B110" s="484"/>
      <c r="D110" s="1307"/>
      <c r="E110" s="1307"/>
      <c r="F110" s="1307"/>
      <c r="I110" s="490"/>
    </row>
    <row r="111" spans="1:9">
      <c r="A111" s="484"/>
      <c r="B111" s="484"/>
      <c r="D111" s="1307"/>
      <c r="E111" s="1307"/>
      <c r="F111" s="1307"/>
      <c r="I111" s="490"/>
    </row>
    <row r="112" spans="1:9">
      <c r="A112" s="484"/>
      <c r="B112" s="484"/>
      <c r="D112" s="1307"/>
      <c r="E112" s="1307"/>
      <c r="F112" s="1307"/>
      <c r="I112" s="490"/>
    </row>
    <row r="113" spans="1:9">
      <c r="A113" s="484"/>
      <c r="B113" s="484"/>
      <c r="D113" s="1307"/>
      <c r="E113" s="1307"/>
      <c r="F113" s="1307"/>
      <c r="I113" s="490"/>
    </row>
    <row r="114" spans="1:9">
      <c r="A114" s="484"/>
      <c r="B114" s="484"/>
      <c r="D114" s="1307"/>
      <c r="E114" s="1307"/>
      <c r="F114" s="1307"/>
      <c r="I114" s="490"/>
    </row>
    <row r="115" spans="1:9">
      <c r="A115" s="484"/>
      <c r="B115" s="484"/>
      <c r="D115" s="1307"/>
      <c r="E115" s="1307"/>
      <c r="F115" s="1307"/>
      <c r="I115" s="490"/>
    </row>
    <row r="116" spans="1:9">
      <c r="A116" s="484"/>
      <c r="B116" s="484"/>
      <c r="D116" s="1307"/>
      <c r="E116" s="1307"/>
      <c r="F116" s="1307"/>
      <c r="I116" s="490"/>
    </row>
    <row r="117" spans="1:9">
      <c r="A117" s="484"/>
      <c r="B117" s="484"/>
      <c r="D117" s="1307"/>
      <c r="E117" s="1307"/>
      <c r="F117" s="1307"/>
      <c r="I117" s="490"/>
    </row>
    <row r="118" spans="1:9">
      <c r="A118" s="484"/>
      <c r="B118" s="484"/>
      <c r="D118" s="524"/>
      <c r="E118" s="524"/>
      <c r="F118" s="524"/>
      <c r="I118" s="490"/>
    </row>
    <row r="119" spans="1:9" ht="14.25" customHeight="1">
      <c r="A119" s="484"/>
      <c r="B119" s="485" t="s">
        <v>2669</v>
      </c>
      <c r="D119" s="1329" t="s">
        <v>1103</v>
      </c>
      <c r="E119" s="1329"/>
      <c r="F119" s="1329"/>
      <c r="I119" s="490"/>
    </row>
    <row r="120" spans="1:9">
      <c r="A120" s="484"/>
      <c r="B120" s="484"/>
      <c r="D120" s="1329"/>
      <c r="E120" s="1329"/>
      <c r="F120" s="1329"/>
      <c r="I120" s="490"/>
    </row>
    <row r="121" spans="1:9">
      <c r="A121" s="484"/>
      <c r="B121" s="484"/>
      <c r="D121" s="1329"/>
      <c r="E121" s="1329"/>
      <c r="F121" s="1329"/>
      <c r="I121" s="490"/>
    </row>
    <row r="122" spans="1:9">
      <c r="A122" s="484"/>
      <c r="B122" s="484"/>
      <c r="D122" s="1329"/>
      <c r="E122" s="1329"/>
      <c r="F122" s="1329"/>
      <c r="I122" s="490"/>
    </row>
    <row r="123" spans="1:9">
      <c r="A123" s="484"/>
      <c r="B123" s="484"/>
      <c r="D123" s="1329"/>
      <c r="E123" s="1329"/>
      <c r="F123" s="1329"/>
      <c r="I123" s="490"/>
    </row>
    <row r="124" spans="1:9">
      <c r="A124" s="484"/>
      <c r="B124" s="484"/>
      <c r="D124" s="1329"/>
      <c r="E124" s="1329"/>
      <c r="F124" s="1329"/>
      <c r="I124" s="490"/>
    </row>
    <row r="125" spans="1:9">
      <c r="A125" s="484"/>
      <c r="B125" s="484"/>
      <c r="D125" s="1329"/>
      <c r="E125" s="1329"/>
      <c r="F125" s="1329"/>
      <c r="I125" s="490"/>
    </row>
    <row r="126" spans="1:9">
      <c r="A126" s="484"/>
      <c r="B126" s="484"/>
      <c r="D126" s="1329"/>
      <c r="E126" s="1329"/>
      <c r="F126" s="1329"/>
      <c r="I126" s="490"/>
    </row>
    <row r="127" spans="1:9">
      <c r="C127" s="402"/>
      <c r="D127" s="525"/>
      <c r="E127" s="525"/>
      <c r="F127" s="525"/>
      <c r="I127" s="490"/>
    </row>
    <row r="128" spans="1:9">
      <c r="A128" s="484"/>
      <c r="B128" s="485" t="s">
        <v>2668</v>
      </c>
      <c r="C128" s="402"/>
      <c r="D128" s="1329" t="s">
        <v>2049</v>
      </c>
      <c r="E128" s="1329"/>
      <c r="F128" s="1329"/>
      <c r="I128" s="490"/>
    </row>
    <row r="129" spans="1:9">
      <c r="A129" s="484"/>
      <c r="B129" s="484"/>
      <c r="C129" s="402"/>
      <c r="D129" s="1329"/>
      <c r="E129" s="1329"/>
      <c r="F129" s="1329"/>
      <c r="I129" s="490"/>
    </row>
    <row r="130" spans="1:9">
      <c r="I130" s="490"/>
    </row>
    <row r="131" spans="1:9">
      <c r="A131" s="484"/>
      <c r="B131" s="485" t="s">
        <v>2669</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c r="A137" s="484"/>
      <c r="B137" s="485" t="s">
        <v>2668</v>
      </c>
      <c r="D137" s="1307" t="s">
        <v>1105</v>
      </c>
      <c r="E137" s="1307"/>
      <c r="F137" s="1307"/>
      <c r="I137" s="490"/>
    </row>
    <row r="138" spans="1:9" s="417" customFormat="1" ht="13.75" customHeight="1">
      <c r="A138" s="488"/>
      <c r="B138" s="488"/>
      <c r="C138" s="488"/>
      <c r="D138" s="1307"/>
      <c r="E138" s="1307"/>
      <c r="F138" s="1307"/>
      <c r="I138" s="1155"/>
    </row>
    <row r="139" spans="1:9" ht="13.75" customHeight="1">
      <c r="D139" s="1307"/>
      <c r="E139" s="1307"/>
      <c r="F139" s="1307"/>
      <c r="I139" s="490"/>
    </row>
    <row r="140" spans="1:9" ht="13.75" customHeight="1">
      <c r="D140" s="1307"/>
      <c r="E140" s="1307"/>
      <c r="F140" s="1307"/>
      <c r="I140" s="490"/>
    </row>
    <row r="141" spans="1:9" ht="13.75" customHeight="1">
      <c r="D141" s="1307"/>
      <c r="E141" s="1307"/>
      <c r="F141" s="1307"/>
      <c r="I141" s="490"/>
    </row>
    <row r="142" spans="1:9" ht="13.75" customHeight="1">
      <c r="A142" s="489"/>
      <c r="B142" s="489"/>
      <c r="D142" s="1307"/>
      <c r="E142" s="1307"/>
      <c r="F142" s="1307"/>
      <c r="I142" s="490"/>
    </row>
    <row r="143" spans="1:9" ht="13.75" customHeight="1">
      <c r="D143" s="1307"/>
      <c r="E143" s="1307"/>
      <c r="F143" s="1307"/>
      <c r="I143" s="490"/>
    </row>
    <row r="144" spans="1:9" ht="13.75" customHeight="1">
      <c r="D144" s="1307"/>
      <c r="E144" s="1307"/>
      <c r="F144" s="1307"/>
      <c r="I144" s="490"/>
    </row>
    <row r="145" spans="2:9" ht="13.75" customHeight="1">
      <c r="D145" s="1307"/>
      <c r="E145" s="1307"/>
      <c r="F145" s="1307"/>
      <c r="I145" s="490"/>
    </row>
    <row r="146" spans="2:9" ht="13.75" customHeight="1">
      <c r="D146" s="1307"/>
      <c r="E146" s="1307"/>
      <c r="F146" s="1307"/>
      <c r="I146" s="490"/>
    </row>
    <row r="147" spans="2:9" ht="13.75" customHeight="1">
      <c r="D147" s="1307"/>
      <c r="E147" s="1307"/>
      <c r="F147" s="1307"/>
      <c r="I147" s="490"/>
    </row>
    <row r="148" spans="2:9" ht="13.75" customHeight="1">
      <c r="D148" s="1307"/>
      <c r="E148" s="1307"/>
      <c r="F148" s="1307"/>
      <c r="I148" s="490"/>
    </row>
    <row r="149" spans="2:9" ht="13.75" customHeight="1">
      <c r="D149" s="1307"/>
      <c r="E149" s="1307"/>
      <c r="F149" s="1307"/>
      <c r="I149" s="490"/>
    </row>
    <row r="150" spans="2:9" ht="13.75" customHeight="1">
      <c r="D150" s="476"/>
      <c r="E150" s="446"/>
      <c r="F150" s="446"/>
      <c r="I150" s="490"/>
    </row>
    <row r="151" spans="2:9" ht="13.75" customHeight="1">
      <c r="B151" s="485" t="s">
        <v>2669</v>
      </c>
      <c r="D151" s="1307" t="s">
        <v>1177</v>
      </c>
      <c r="E151" s="1307"/>
      <c r="F151" s="1307"/>
      <c r="I151" s="490"/>
    </row>
    <row r="152" spans="2:9" ht="13.75" customHeight="1">
      <c r="D152" s="1307"/>
      <c r="E152" s="1307"/>
      <c r="F152" s="1307"/>
      <c r="I152" s="490"/>
    </row>
    <row r="153" spans="2:9" ht="13.75" customHeight="1">
      <c r="D153" s="1307"/>
      <c r="E153" s="1307"/>
      <c r="F153" s="1307"/>
      <c r="I153" s="490"/>
    </row>
    <row r="154" spans="2:9" ht="13.75" customHeight="1">
      <c r="D154" s="1307"/>
      <c r="E154" s="1307"/>
      <c r="F154" s="1307"/>
      <c r="I154" s="490"/>
    </row>
    <row r="155" spans="2:9" ht="13.75" customHeight="1">
      <c r="D155" s="1307"/>
      <c r="E155" s="1307"/>
      <c r="F155" s="1307"/>
      <c r="I155" s="490"/>
    </row>
    <row r="156" spans="2:9" ht="13.75" customHeight="1">
      <c r="D156" s="1307"/>
      <c r="E156" s="1307"/>
      <c r="F156" s="1307"/>
      <c r="I156" s="490"/>
    </row>
    <row r="157" spans="2:9" ht="13.75" customHeight="1">
      <c r="D157" s="1307"/>
      <c r="E157" s="1307"/>
      <c r="F157" s="1307"/>
      <c r="I157" s="490"/>
    </row>
    <row r="158" spans="2:9" ht="13.75" customHeight="1">
      <c r="D158" s="1307"/>
      <c r="E158" s="1307"/>
      <c r="F158" s="1307"/>
      <c r="I158" s="490"/>
    </row>
    <row r="159" spans="2:9" ht="13.75" customHeight="1">
      <c r="D159" s="1307"/>
      <c r="E159" s="1307"/>
      <c r="F159" s="1307"/>
      <c r="I159" s="490"/>
    </row>
    <row r="160" spans="2:9" ht="13.75" customHeight="1">
      <c r="D160" s="1307"/>
      <c r="E160" s="1307"/>
      <c r="F160" s="1307"/>
      <c r="I160" s="490"/>
    </row>
    <row r="161" spans="1:9" ht="13.75" customHeight="1">
      <c r="D161" s="1307"/>
      <c r="E161" s="1307"/>
      <c r="F161" s="1307"/>
      <c r="I161" s="490"/>
    </row>
    <row r="162" spans="1:9" ht="13.75" customHeight="1">
      <c r="D162" s="1307"/>
      <c r="E162" s="1307"/>
      <c r="F162" s="1307"/>
      <c r="I162" s="490"/>
    </row>
    <row r="163" spans="1:9" ht="13.75" customHeight="1">
      <c r="D163" s="1307"/>
      <c r="E163" s="1307"/>
      <c r="F163" s="1307"/>
      <c r="I163" s="490"/>
    </row>
    <row r="164" spans="1:9" ht="13.75" customHeight="1">
      <c r="D164" s="1307"/>
      <c r="E164" s="1307"/>
      <c r="F164" s="1307"/>
      <c r="I164" s="490"/>
    </row>
    <row r="165" spans="1:9" ht="13.75" customHeight="1">
      <c r="D165" s="1307"/>
      <c r="E165" s="1307"/>
      <c r="F165" s="1307"/>
      <c r="I165" s="490"/>
    </row>
    <row r="166" spans="1:9" ht="13.75" customHeight="1">
      <c r="D166" s="1307"/>
      <c r="E166" s="1307"/>
      <c r="F166" s="1307"/>
      <c r="I166" s="490"/>
    </row>
    <row r="167" spans="1:9" ht="13.75" customHeight="1">
      <c r="D167" s="1307"/>
      <c r="E167" s="1307"/>
      <c r="F167" s="1307"/>
      <c r="I167" s="490"/>
    </row>
    <row r="168" spans="1:9" ht="13.75" customHeight="1">
      <c r="D168" s="1307"/>
      <c r="E168" s="1307"/>
      <c r="F168" s="1307"/>
      <c r="I168" s="490"/>
    </row>
    <row r="169" spans="1:9" ht="13.75" customHeight="1">
      <c r="D169" s="1326" t="s">
        <v>2072</v>
      </c>
      <c r="E169" s="1326"/>
      <c r="F169" s="1326"/>
      <c r="G169" s="507"/>
      <c r="I169" s="490"/>
    </row>
    <row r="170" spans="1:9" ht="13.75" customHeight="1">
      <c r="D170" s="1324"/>
      <c r="E170" s="1324"/>
      <c r="F170" s="1324"/>
      <c r="G170" s="1324"/>
      <c r="I170" s="490"/>
    </row>
    <row r="171" spans="1:9" ht="14.5" customHeight="1">
      <c r="A171" s="489"/>
      <c r="B171" s="485" t="s">
        <v>2669</v>
      </c>
      <c r="C171" s="476"/>
      <c r="D171" s="1278" t="s">
        <v>2212</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2669</v>
      </c>
      <c r="C177" s="476"/>
      <c r="D177" s="1278" t="s">
        <v>1106</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customHeight="1">
      <c r="B182" s="485" t="s">
        <v>2669</v>
      </c>
      <c r="D182" s="1319" t="s">
        <v>2050</v>
      </c>
      <c r="E182" s="1319"/>
      <c r="F182" s="1319"/>
      <c r="I182" s="490"/>
    </row>
    <row r="183" spans="1:9" ht="13.75" customHeight="1">
      <c r="D183" s="1319"/>
      <c r="E183" s="1319"/>
      <c r="F183" s="1319"/>
      <c r="I183" s="490"/>
    </row>
    <row r="184" spans="1:9" ht="13.75" customHeight="1">
      <c r="D184" s="1319"/>
      <c r="E184" s="1319"/>
      <c r="F184" s="1319"/>
      <c r="I184" s="490"/>
    </row>
    <row r="185" spans="1:9" ht="13.75" customHeight="1">
      <c r="A185" s="490"/>
      <c r="B185" s="490"/>
      <c r="E185" s="446"/>
      <c r="F185" s="446"/>
      <c r="I185" s="490"/>
    </row>
    <row r="186" spans="1:9">
      <c r="A186" s="1314" t="s">
        <v>2051</v>
      </c>
      <c r="B186" s="1314"/>
      <c r="C186" s="1314"/>
      <c r="D186" s="1314"/>
      <c r="E186" s="1314"/>
      <c r="F186" s="1314"/>
      <c r="G186" s="1314"/>
      <c r="H186" s="1028"/>
      <c r="I186" s="1153"/>
    </row>
    <row r="187" spans="1:9" ht="12" customHeight="1">
      <c r="D187" s="446"/>
      <c r="E187" s="446"/>
      <c r="F187" s="446"/>
      <c r="I187" s="490"/>
    </row>
    <row r="188" spans="1:9">
      <c r="B188" s="1309" t="s">
        <v>446</v>
      </c>
      <c r="C188" s="1309"/>
      <c r="D188" s="1309"/>
      <c r="E188" s="1309"/>
      <c r="F188" s="1309"/>
      <c r="I188" s="490"/>
    </row>
    <row r="189" spans="1:9">
      <c r="B189" s="392" t="s">
        <v>1874</v>
      </c>
      <c r="C189" s="392"/>
      <c r="D189" s="392"/>
      <c r="E189" s="392"/>
      <c r="F189" s="392"/>
      <c r="I189" s="490"/>
    </row>
    <row r="190" spans="1:9" ht="12" customHeight="1">
      <c r="A190" s="482"/>
      <c r="B190" s="482"/>
      <c r="C190" s="482"/>
      <c r="I190" s="490"/>
    </row>
    <row r="191" spans="1:9">
      <c r="A191" s="1314" t="s">
        <v>1045</v>
      </c>
      <c r="B191" s="1314"/>
      <c r="C191" s="1314"/>
      <c r="D191" s="1314"/>
      <c r="E191" s="1314"/>
      <c r="F191" s="1314"/>
      <c r="G191" s="1314"/>
      <c r="H191" s="1028"/>
      <c r="I191" s="1153"/>
    </row>
    <row r="192" spans="1:9" ht="12" customHeight="1">
      <c r="A192" s="404"/>
      <c r="B192" s="404"/>
      <c r="E192" s="404"/>
      <c r="I192" s="490"/>
    </row>
    <row r="193" spans="1:9" ht="13.75" customHeight="1">
      <c r="A193" s="404"/>
      <c r="B193" s="404"/>
      <c r="D193" s="1323" t="s">
        <v>1746</v>
      </c>
      <c r="E193" s="1323"/>
      <c r="F193" s="1323"/>
      <c r="I193" s="490"/>
    </row>
    <row r="194" spans="1:9">
      <c r="A194" s="404"/>
      <c r="B194" s="404"/>
      <c r="D194" s="1323"/>
      <c r="E194" s="1323"/>
      <c r="F194" s="1323"/>
      <c r="I194" s="490"/>
    </row>
    <row r="195" spans="1:9">
      <c r="A195" s="404"/>
      <c r="B195" s="404"/>
      <c r="D195" s="1309" t="s">
        <v>1195</v>
      </c>
      <c r="E195" s="1309"/>
      <c r="F195" s="1309"/>
      <c r="I195" s="490"/>
    </row>
    <row r="196" spans="1:9">
      <c r="A196" s="404"/>
      <c r="B196" s="404"/>
      <c r="D196" s="392"/>
      <c r="E196" s="392"/>
      <c r="F196" s="392"/>
      <c r="I196" s="490"/>
    </row>
    <row r="197" spans="1:9">
      <c r="A197" s="404"/>
      <c r="B197" s="485" t="s">
        <v>2668</v>
      </c>
      <c r="D197" s="1294" t="s">
        <v>1747</v>
      </c>
      <c r="E197" s="1294"/>
      <c r="F197" s="1294"/>
      <c r="I197" s="490"/>
    </row>
    <row r="198" spans="1:9">
      <c r="A198" s="404"/>
      <c r="B198" s="404"/>
      <c r="D198" s="1293" t="s">
        <v>1901</v>
      </c>
      <c r="E198" s="1293"/>
      <c r="F198" s="1293"/>
      <c r="I198" s="490"/>
    </row>
    <row r="199" spans="1:9">
      <c r="A199" s="404"/>
      <c r="B199" s="404"/>
      <c r="D199" s="96" t="s">
        <v>1748</v>
      </c>
      <c r="E199" s="1331" t="s">
        <v>1924</v>
      </c>
      <c r="F199" s="1331"/>
      <c r="I199" s="490"/>
    </row>
    <row r="200" spans="1:9">
      <c r="A200" s="404"/>
      <c r="B200" s="404"/>
      <c r="D200" s="3"/>
      <c r="E200" s="3"/>
      <c r="F200" s="3"/>
      <c r="I200" s="490"/>
    </row>
    <row r="201" spans="1:9">
      <c r="A201" s="404"/>
      <c r="B201" s="485" t="s">
        <v>2669</v>
      </c>
      <c r="D201" s="1293" t="s">
        <v>1749</v>
      </c>
      <c r="E201" s="1293"/>
      <c r="F201" s="1293"/>
      <c r="I201" s="490"/>
    </row>
    <row r="202" spans="1:9">
      <c r="A202" s="404"/>
      <c r="B202" s="404"/>
      <c r="D202" s="1294" t="s">
        <v>1901</v>
      </c>
      <c r="E202" s="1294"/>
      <c r="F202" s="1294"/>
      <c r="I202" s="490"/>
    </row>
    <row r="203" spans="1:9">
      <c r="A203" s="404"/>
      <c r="B203" s="404"/>
      <c r="D203" s="57" t="s">
        <v>1750</v>
      </c>
      <c r="E203" s="1331" t="s">
        <v>1925</v>
      </c>
      <c r="F203" s="1331"/>
      <c r="I203" s="490"/>
    </row>
    <row r="204" spans="1:9">
      <c r="A204" s="404"/>
      <c r="B204" s="404"/>
      <c r="D204" s="3"/>
      <c r="E204" s="3"/>
      <c r="F204" s="3"/>
      <c r="I204" s="490"/>
    </row>
    <row r="205" spans="1:9">
      <c r="A205" s="404"/>
      <c r="B205" s="485" t="s">
        <v>2669</v>
      </c>
      <c r="D205" s="1293" t="s">
        <v>1751</v>
      </c>
      <c r="E205" s="1293"/>
      <c r="F205" s="1293"/>
      <c r="I205" s="490"/>
    </row>
    <row r="206" spans="1:9">
      <c r="A206" s="404"/>
      <c r="B206" s="404"/>
      <c r="D206" s="1294" t="s">
        <v>1901</v>
      </c>
      <c r="E206" s="1294"/>
      <c r="F206" s="1294"/>
      <c r="I206" s="490"/>
    </row>
    <row r="207" spans="1:9">
      <c r="A207" s="404"/>
      <c r="B207" s="404"/>
      <c r="D207" s="57" t="s">
        <v>1748</v>
      </c>
      <c r="E207" s="1331" t="s">
        <v>1926</v>
      </c>
      <c r="F207" s="1331"/>
      <c r="I207" s="490"/>
    </row>
    <row r="208" spans="1:9">
      <c r="A208" s="404"/>
      <c r="B208" s="404"/>
      <c r="D208" s="392"/>
      <c r="E208" s="392"/>
      <c r="F208" s="392"/>
      <c r="I208" s="490"/>
    </row>
    <row r="209" spans="1:9" ht="14.25" customHeight="1">
      <c r="A209" s="484"/>
      <c r="B209" s="485" t="s">
        <v>2669</v>
      </c>
      <c r="D209" s="386" t="s">
        <v>1894</v>
      </c>
      <c r="E209" s="385"/>
      <c r="F209" s="385"/>
      <c r="I209" s="490"/>
    </row>
    <row r="210" spans="1:9">
      <c r="A210" s="484"/>
      <c r="B210" s="484"/>
      <c r="D210" s="1294" t="s">
        <v>1901</v>
      </c>
      <c r="E210" s="1294"/>
      <c r="F210" s="1294"/>
      <c r="I210" s="490"/>
    </row>
    <row r="211" spans="1:9">
      <c r="D211" s="385"/>
      <c r="E211" s="1331" t="s">
        <v>1927</v>
      </c>
      <c r="F211" s="1331"/>
      <c r="I211" s="490"/>
    </row>
    <row r="212" spans="1:9">
      <c r="D212" s="447"/>
      <c r="I212" s="490"/>
    </row>
    <row r="213" spans="1:9">
      <c r="B213" s="485" t="s">
        <v>2669</v>
      </c>
      <c r="D213" s="1293" t="s">
        <v>1752</v>
      </c>
      <c r="E213" s="1293"/>
      <c r="F213" s="1293"/>
      <c r="I213" s="490"/>
    </row>
    <row r="214" spans="1:9">
      <c r="D214" s="1294" t="s">
        <v>1901</v>
      </c>
      <c r="E214" s="1294"/>
      <c r="F214" s="1294"/>
      <c r="I214" s="490"/>
    </row>
    <row r="215" spans="1:9">
      <c r="D215" s="57" t="s">
        <v>1748</v>
      </c>
      <c r="E215" s="1331" t="s">
        <v>1928</v>
      </c>
      <c r="F215" s="1331"/>
      <c r="I215" s="490"/>
    </row>
    <row r="216" spans="1:9">
      <c r="D216" s="451"/>
      <c r="E216" s="451"/>
      <c r="F216" s="451"/>
      <c r="I216" s="490"/>
    </row>
    <row r="217" spans="1:9">
      <c r="A217" s="484"/>
      <c r="B217" s="485" t="s">
        <v>2669</v>
      </c>
      <c r="D217" s="1307" t="s">
        <v>1216</v>
      </c>
      <c r="E217" s="1307"/>
      <c r="F217" s="1307"/>
      <c r="I217" s="490"/>
    </row>
    <row r="218" spans="1:9" ht="14.5" customHeight="1">
      <c r="A218" s="484"/>
      <c r="B218" s="402"/>
      <c r="D218" s="1307"/>
      <c r="E218" s="1307"/>
      <c r="F218" s="1307"/>
      <c r="I218" s="490"/>
    </row>
    <row r="219" spans="1:9">
      <c r="A219" s="484"/>
      <c r="D219" s="1307"/>
      <c r="E219" s="1307"/>
      <c r="F219" s="1307"/>
      <c r="I219" s="490"/>
    </row>
    <row r="220" spans="1:9">
      <c r="A220" s="484"/>
      <c r="D220" s="1307"/>
      <c r="E220" s="1307"/>
      <c r="F220" s="1307"/>
      <c r="I220" s="490"/>
    </row>
    <row r="221" spans="1:9">
      <c r="D221" s="451"/>
      <c r="E221" s="451"/>
      <c r="F221" s="451"/>
      <c r="I221" s="490"/>
    </row>
    <row r="222" spans="1:9">
      <c r="A222" s="1314" t="s">
        <v>1046</v>
      </c>
      <c r="B222" s="1314"/>
      <c r="C222" s="1314"/>
      <c r="D222" s="1314"/>
      <c r="E222" s="1314"/>
      <c r="F222" s="1314"/>
      <c r="G222" s="1314"/>
      <c r="H222" s="1028"/>
      <c r="I222" s="1153"/>
    </row>
    <row r="223" spans="1:9" ht="12" customHeight="1">
      <c r="D223" s="446"/>
      <c r="E223" s="446"/>
      <c r="F223" s="446"/>
      <c r="I223" s="490"/>
    </row>
    <row r="224" spans="1:9">
      <c r="C224" s="486"/>
      <c r="D224" s="1315" t="s">
        <v>208</v>
      </c>
      <c r="E224" s="1315"/>
      <c r="F224" s="1315"/>
      <c r="I224" s="490"/>
    </row>
    <row r="225" spans="1:9">
      <c r="A225" s="482"/>
      <c r="B225" s="482"/>
      <c r="C225" s="482"/>
      <c r="D225" s="1305" t="s">
        <v>1120</v>
      </c>
      <c r="E225" s="1305"/>
      <c r="F225" s="1305"/>
      <c r="I225" s="490"/>
    </row>
    <row r="226" spans="1:9" ht="12" customHeight="1">
      <c r="A226" s="490"/>
      <c r="B226" s="490"/>
      <c r="C226" s="490"/>
      <c r="I226" s="490"/>
    </row>
    <row r="227" spans="1:9" ht="13.75" customHeight="1">
      <c r="A227" s="490"/>
      <c r="C227" s="490"/>
      <c r="D227" s="1315" t="s">
        <v>546</v>
      </c>
      <c r="E227" s="1315"/>
      <c r="F227" s="1315"/>
      <c r="I227" s="490"/>
    </row>
    <row r="228" spans="1:9">
      <c r="A228" s="484"/>
      <c r="B228" s="485" t="s">
        <v>2668</v>
      </c>
      <c r="D228" s="1307" t="s">
        <v>1753</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c r="A231" s="484"/>
      <c r="B231" s="484"/>
      <c r="D231" s="1307"/>
      <c r="E231" s="1307"/>
      <c r="F231" s="1307"/>
      <c r="I231" s="490"/>
    </row>
    <row r="232" spans="1:9">
      <c r="A232" s="484"/>
      <c r="B232" s="484"/>
      <c r="D232" s="445"/>
      <c r="E232" s="445"/>
      <c r="F232" s="445"/>
      <c r="I232" s="490"/>
    </row>
    <row r="233" spans="1:9">
      <c r="A233" s="484"/>
      <c r="B233" s="485" t="s">
        <v>2668</v>
      </c>
      <c r="D233" s="1307" t="s">
        <v>1754</v>
      </c>
      <c r="E233" s="1307"/>
      <c r="F233" s="1307"/>
      <c r="I233" s="490"/>
    </row>
    <row r="234" spans="1:9">
      <c r="A234" s="484"/>
      <c r="B234" s="484"/>
      <c r="D234" s="1307"/>
      <c r="E234" s="1307"/>
      <c r="F234" s="1307"/>
      <c r="I234" s="490"/>
    </row>
    <row r="235" spans="1:9">
      <c r="A235" s="484"/>
      <c r="B235" s="484"/>
      <c r="D235" s="1307"/>
      <c r="E235" s="1307"/>
      <c r="F235" s="1307"/>
      <c r="I235" s="490"/>
    </row>
    <row r="236" spans="1:9">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c r="A239" s="484"/>
      <c r="B239" s="484"/>
      <c r="D239" s="1307" t="s">
        <v>1118</v>
      </c>
      <c r="E239" s="1307"/>
      <c r="F239" s="1307"/>
      <c r="I239" s="490"/>
    </row>
    <row r="240" spans="1:9">
      <c r="A240" s="484"/>
      <c r="B240" s="484"/>
      <c r="D240" s="1307"/>
      <c r="E240" s="1307"/>
      <c r="F240" s="1307"/>
      <c r="I240" s="490"/>
    </row>
    <row r="241" spans="1:9">
      <c r="A241" s="484"/>
      <c r="B241" s="484"/>
      <c r="D241" s="1307"/>
      <c r="E241" s="1307"/>
      <c r="F241" s="1307"/>
      <c r="I241" s="490"/>
    </row>
    <row r="242" spans="1:9">
      <c r="A242" s="484"/>
      <c r="B242" s="484"/>
      <c r="D242" s="1307"/>
      <c r="E242" s="1307"/>
      <c r="F242" s="1307"/>
      <c r="I242" s="490"/>
    </row>
    <row r="243" spans="1:9">
      <c r="A243" s="484"/>
      <c r="B243" s="484"/>
      <c r="D243" s="1307"/>
      <c r="E243" s="1307"/>
      <c r="F243" s="1307"/>
      <c r="I243" s="490"/>
    </row>
    <row r="244" spans="1:9">
      <c r="A244" s="484"/>
      <c r="B244" s="484"/>
      <c r="D244" s="446"/>
      <c r="E244" s="446"/>
      <c r="F244" s="446"/>
      <c r="I244" s="490"/>
    </row>
    <row r="245" spans="1:9">
      <c r="A245" s="484"/>
      <c r="B245" s="485" t="s">
        <v>2668</v>
      </c>
      <c r="D245" s="1307" t="s">
        <v>2052</v>
      </c>
      <c r="E245" s="1307"/>
      <c r="F245" s="1307"/>
      <c r="I245" s="490"/>
    </row>
    <row r="246" spans="1:9">
      <c r="A246" s="484"/>
      <c r="B246" s="484"/>
      <c r="D246" s="1307"/>
      <c r="E246" s="1307"/>
      <c r="F246" s="1307"/>
      <c r="I246" s="490"/>
    </row>
    <row r="247" spans="1:9">
      <c r="A247" s="484"/>
      <c r="B247" s="484"/>
      <c r="D247" s="1307"/>
      <c r="E247" s="1307"/>
      <c r="F247" s="1307"/>
      <c r="I247" s="490"/>
    </row>
    <row r="248" spans="1:9">
      <c r="A248" s="484"/>
      <c r="B248" s="484"/>
      <c r="E248" s="1036" t="s">
        <v>1895</v>
      </c>
      <c r="I248" s="490"/>
    </row>
    <row r="249" spans="1:9">
      <c r="A249" s="484"/>
      <c r="B249" s="484"/>
      <c r="D249" s="446"/>
      <c r="E249" s="446"/>
      <c r="F249" s="446"/>
      <c r="I249" s="490"/>
    </row>
    <row r="250" spans="1:9" ht="14.5" customHeight="1">
      <c r="A250" s="484"/>
      <c r="B250" s="485" t="s">
        <v>2669</v>
      </c>
      <c r="D250" s="1307" t="s">
        <v>2053</v>
      </c>
      <c r="E250" s="1307"/>
      <c r="F250" s="1307"/>
      <c r="I250" s="490"/>
    </row>
    <row r="251" spans="1:9">
      <c r="A251" s="484"/>
      <c r="B251" s="484"/>
      <c r="D251" s="1307"/>
      <c r="E251" s="1307"/>
      <c r="F251" s="1307"/>
      <c r="I251" s="490"/>
    </row>
    <row r="252" spans="1:9">
      <c r="A252" s="484"/>
      <c r="B252" s="484"/>
      <c r="D252" s="1307"/>
      <c r="E252" s="1307"/>
      <c r="F252" s="1307"/>
      <c r="I252" s="490"/>
    </row>
    <row r="253" spans="1:9">
      <c r="A253" s="484"/>
      <c r="B253" s="484"/>
      <c r="D253" s="1307"/>
      <c r="E253" s="1307"/>
      <c r="F253" s="1307"/>
      <c r="I253" s="490"/>
    </row>
    <row r="254" spans="1:9">
      <c r="A254" s="484"/>
      <c r="B254" s="484"/>
      <c r="D254" s="1307"/>
      <c r="E254" s="1307"/>
      <c r="F254" s="1307"/>
      <c r="I254" s="490"/>
    </row>
    <row r="255" spans="1:9">
      <c r="A255" s="484"/>
      <c r="B255" s="484"/>
      <c r="D255" s="445"/>
      <c r="E255" s="445"/>
      <c r="F255" s="445"/>
      <c r="I255" s="490"/>
    </row>
    <row r="256" spans="1:9">
      <c r="A256" s="484"/>
      <c r="B256" s="485" t="s">
        <v>2668</v>
      </c>
      <c r="D256" s="392" t="s">
        <v>2054</v>
      </c>
      <c r="E256" s="445"/>
      <c r="F256" s="445"/>
      <c r="I256" s="490"/>
    </row>
    <row r="257" spans="1:9">
      <c r="A257" s="484"/>
      <c r="B257" s="484"/>
      <c r="E257" s="1036" t="s">
        <v>1896</v>
      </c>
      <c r="I257" s="490"/>
    </row>
    <row r="258" spans="1:9">
      <c r="D258" s="446"/>
      <c r="E258" s="446"/>
      <c r="F258" s="446"/>
      <c r="I258" s="490"/>
    </row>
    <row r="259" spans="1:9">
      <c r="A259" s="484"/>
      <c r="B259" s="485" t="s">
        <v>2668</v>
      </c>
      <c r="D259" s="1307" t="s">
        <v>1119</v>
      </c>
      <c r="E259" s="1307"/>
      <c r="F259" s="1307"/>
      <c r="I259" s="490"/>
    </row>
    <row r="260" spans="1:9">
      <c r="A260" s="484"/>
      <c r="B260" s="484"/>
      <c r="D260" s="1307"/>
      <c r="E260" s="1307"/>
      <c r="F260" s="1307"/>
      <c r="I260" s="490"/>
    </row>
    <row r="261" spans="1:9">
      <c r="D261" s="491"/>
      <c r="I261" s="490"/>
    </row>
    <row r="262" spans="1:9">
      <c r="A262" s="1314" t="s">
        <v>1047</v>
      </c>
      <c r="B262" s="1314"/>
      <c r="C262" s="1314"/>
      <c r="D262" s="1314"/>
      <c r="E262" s="1314"/>
      <c r="F262" s="1314"/>
      <c r="G262" s="1314"/>
      <c r="H262" s="1028"/>
      <c r="I262" s="1153"/>
    </row>
    <row r="263" spans="1:9">
      <c r="D263" s="491"/>
      <c r="I263" s="490"/>
    </row>
    <row r="264" spans="1:9">
      <c r="C264" s="486"/>
      <c r="D264" s="1315" t="s">
        <v>1121</v>
      </c>
      <c r="E264" s="1315"/>
      <c r="F264" s="1315"/>
      <c r="I264" s="490"/>
    </row>
    <row r="265" spans="1:9">
      <c r="A265" s="482"/>
      <c r="B265" s="482"/>
      <c r="C265" s="482"/>
      <c r="D265" s="446"/>
      <c r="E265" s="446"/>
      <c r="F265" s="446"/>
      <c r="I265" s="490"/>
    </row>
    <row r="266" spans="1:9">
      <c r="A266" s="483"/>
      <c r="B266" s="483"/>
      <c r="C266" s="483"/>
      <c r="D266" s="1315" t="s">
        <v>269</v>
      </c>
      <c r="E266" s="1315"/>
      <c r="F266" s="1315"/>
      <c r="I266" s="490"/>
    </row>
    <row r="267" spans="1:9" ht="14.5" customHeight="1">
      <c r="A267" s="484"/>
      <c r="B267" s="485" t="s">
        <v>2668</v>
      </c>
      <c r="D267" s="1307" t="s">
        <v>1196</v>
      </c>
      <c r="E267" s="1307"/>
      <c r="F267" s="1307"/>
      <c r="I267" s="490"/>
    </row>
    <row r="268" spans="1:9">
      <c r="D268" s="1307"/>
      <c r="E268" s="1307"/>
      <c r="F268" s="1307"/>
      <c r="I268" s="490"/>
    </row>
    <row r="269" spans="1:9">
      <c r="E269" s="1036" t="s">
        <v>1897</v>
      </c>
      <c r="I269" s="490"/>
    </row>
    <row r="270" spans="1:9">
      <c r="D270" s="446"/>
      <c r="E270" s="446"/>
      <c r="F270" s="446"/>
      <c r="I270" s="490"/>
    </row>
    <row r="271" spans="1:9" ht="14.5" customHeight="1">
      <c r="A271" s="484"/>
      <c r="B271" s="485" t="s">
        <v>2669</v>
      </c>
      <c r="D271" s="1307" t="s">
        <v>2055</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c r="A278" s="484"/>
      <c r="B278" s="485" t="s">
        <v>2669</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14" t="s">
        <v>1048</v>
      </c>
      <c r="B282" s="1314"/>
      <c r="C282" s="1314"/>
      <c r="D282" s="1314"/>
      <c r="E282" s="1314"/>
      <c r="F282" s="1314"/>
      <c r="G282" s="1314"/>
      <c r="H282" s="1028"/>
      <c r="I282" s="1153"/>
    </row>
    <row r="283" spans="1:9">
      <c r="D283" s="492"/>
      <c r="E283" s="446"/>
      <c r="F283" s="446"/>
      <c r="I283" s="490"/>
    </row>
    <row r="284" spans="1:9">
      <c r="C284" s="482"/>
      <c r="D284" s="1323" t="s">
        <v>1123</v>
      </c>
      <c r="E284" s="1323"/>
      <c r="F284" s="1323"/>
      <c r="I284" s="490"/>
    </row>
    <row r="285" spans="1:9">
      <c r="C285" s="482"/>
      <c r="D285" s="1323"/>
      <c r="E285" s="1323"/>
      <c r="F285" s="1323"/>
      <c r="I285" s="490"/>
    </row>
    <row r="286" spans="1:9">
      <c r="A286" s="483"/>
      <c r="B286" s="483"/>
      <c r="C286" s="483"/>
      <c r="D286" s="404"/>
      <c r="I286" s="490"/>
    </row>
    <row r="287" spans="1:9">
      <c r="C287" s="483"/>
      <c r="D287" s="1315" t="s">
        <v>209</v>
      </c>
      <c r="E287" s="1315"/>
      <c r="F287" s="1315"/>
      <c r="I287" s="490"/>
    </row>
    <row r="288" spans="1:9" ht="15.75" customHeight="1">
      <c r="A288" s="484"/>
      <c r="B288" s="484"/>
      <c r="D288" s="1332" t="s">
        <v>1124</v>
      </c>
      <c r="E288" s="1332"/>
      <c r="F288" s="1332"/>
      <c r="I288" s="490"/>
    </row>
    <row r="289" spans="1:9">
      <c r="E289" s="446"/>
      <c r="F289" s="446"/>
      <c r="I289" s="490"/>
    </row>
    <row r="290" spans="1:9">
      <c r="A290" s="484"/>
      <c r="B290" s="485" t="s">
        <v>2669</v>
      </c>
      <c r="D290" s="1307" t="s">
        <v>1125</v>
      </c>
      <c r="E290" s="1307"/>
      <c r="F290" s="1307"/>
      <c r="I290" s="490"/>
    </row>
    <row r="291" spans="1:9">
      <c r="A291" s="484"/>
      <c r="B291" s="484"/>
      <c r="D291" s="1307"/>
      <c r="E291" s="1307"/>
      <c r="F291" s="1307"/>
      <c r="I291" s="490"/>
    </row>
    <row r="292" spans="1:9">
      <c r="D292" s="446"/>
      <c r="E292" s="446"/>
      <c r="F292" s="446"/>
      <c r="I292" s="490"/>
    </row>
    <row r="293" spans="1:9">
      <c r="A293" s="484"/>
      <c r="B293" s="485" t="s">
        <v>2669</v>
      </c>
      <c r="D293" s="1307" t="s">
        <v>1126</v>
      </c>
      <c r="E293" s="1307"/>
      <c r="F293" s="1307"/>
      <c r="I293" s="490"/>
    </row>
    <row r="294" spans="1:9">
      <c r="A294" s="484"/>
      <c r="B294" s="484"/>
      <c r="D294" s="1307"/>
      <c r="E294" s="1307"/>
      <c r="F294" s="1307"/>
      <c r="I294" s="490"/>
    </row>
    <row r="295" spans="1:9">
      <c r="A295" s="484"/>
      <c r="B295" s="484"/>
      <c r="D295" s="1307"/>
      <c r="E295" s="1307"/>
      <c r="F295" s="1307"/>
      <c r="I295" s="490"/>
    </row>
    <row r="296" spans="1:9">
      <c r="D296" s="446"/>
      <c r="E296" s="446"/>
      <c r="F296" s="446"/>
      <c r="I296" s="490"/>
    </row>
    <row r="297" spans="1:9">
      <c r="A297" s="484"/>
      <c r="B297" s="485" t="s">
        <v>2669</v>
      </c>
      <c r="D297" s="1307" t="s">
        <v>1127</v>
      </c>
      <c r="E297" s="1307"/>
      <c r="F297" s="1307"/>
      <c r="I297" s="490"/>
    </row>
    <row r="298" spans="1:9">
      <c r="A298" s="484"/>
      <c r="B298" s="484"/>
      <c r="D298" s="1307"/>
      <c r="E298" s="1307"/>
      <c r="F298" s="1307"/>
      <c r="I298" s="490"/>
    </row>
    <row r="299" spans="1:9">
      <c r="A299" s="490"/>
      <c r="B299" s="490"/>
      <c r="E299" s="446"/>
      <c r="F299" s="446"/>
      <c r="I299" s="490"/>
    </row>
    <row r="300" spans="1:9">
      <c r="A300" s="1314" t="s">
        <v>1049</v>
      </c>
      <c r="B300" s="1314"/>
      <c r="C300" s="1314"/>
      <c r="D300" s="1314"/>
      <c r="E300" s="1314"/>
      <c r="F300" s="1314"/>
      <c r="G300" s="1314"/>
      <c r="H300" s="1028"/>
      <c r="I300" s="1153"/>
    </row>
    <row r="301" spans="1:9">
      <c r="A301" s="490"/>
      <c r="B301" s="490"/>
      <c r="D301" s="446"/>
      <c r="E301" s="446"/>
      <c r="F301" s="446"/>
      <c r="I301" s="490"/>
    </row>
    <row r="302" spans="1:9">
      <c r="C302" s="490"/>
      <c r="D302" s="1315" t="s">
        <v>682</v>
      </c>
      <c r="E302" s="1315"/>
      <c r="F302" s="1315"/>
      <c r="I302" s="490"/>
    </row>
    <row r="303" spans="1:9">
      <c r="C303" s="490"/>
      <c r="D303" s="1305" t="s">
        <v>1128</v>
      </c>
      <c r="E303" s="1305"/>
      <c r="F303" s="1305"/>
      <c r="I303" s="490"/>
    </row>
    <row r="304" spans="1:9">
      <c r="C304" s="490"/>
      <c r="D304" s="493"/>
      <c r="I304" s="490"/>
    </row>
    <row r="305" spans="1:9">
      <c r="B305" s="485" t="s">
        <v>2669</v>
      </c>
      <c r="D305" s="1305" t="s">
        <v>1129</v>
      </c>
      <c r="E305" s="1305"/>
      <c r="F305" s="1305"/>
      <c r="I305" s="490"/>
    </row>
    <row r="306" spans="1:9">
      <c r="A306" s="484"/>
      <c r="B306" s="484"/>
      <c r="D306" s="494"/>
      <c r="E306" s="495"/>
      <c r="F306" s="495"/>
      <c r="I306" s="490"/>
    </row>
    <row r="307" spans="1:9" ht="13.75" customHeight="1">
      <c r="B307" s="485" t="s">
        <v>2669</v>
      </c>
      <c r="D307" s="1316" t="s">
        <v>1219</v>
      </c>
      <c r="E307" s="1316"/>
      <c r="F307" s="1316"/>
      <c r="I307" s="490"/>
    </row>
    <row r="308" spans="1:9">
      <c r="A308" s="484"/>
      <c r="B308" s="484"/>
      <c r="D308" s="1316"/>
      <c r="E308" s="1316"/>
      <c r="F308" s="1316"/>
      <c r="I308" s="490"/>
    </row>
    <row r="309" spans="1:9">
      <c r="A309" s="484"/>
      <c r="B309" s="484"/>
      <c r="D309" s="1316"/>
      <c r="E309" s="1316"/>
      <c r="F309" s="1316"/>
      <c r="I309" s="490"/>
    </row>
    <row r="310" spans="1:9">
      <c r="A310" s="484"/>
      <c r="B310" s="484"/>
      <c r="D310" s="1316"/>
      <c r="E310" s="1316"/>
      <c r="F310" s="1316"/>
      <c r="I310" s="490"/>
    </row>
    <row r="311" spans="1:9">
      <c r="A311" s="484"/>
      <c r="B311" s="484"/>
      <c r="D311" s="1316"/>
      <c r="E311" s="1316"/>
      <c r="F311" s="1316"/>
      <c r="I311" s="490"/>
    </row>
    <row r="312" spans="1:9">
      <c r="A312" s="484"/>
      <c r="B312" s="484"/>
      <c r="D312" s="494"/>
      <c r="E312" s="495"/>
      <c r="F312" s="495"/>
      <c r="I312" s="490"/>
    </row>
    <row r="313" spans="1:9" ht="13.75" customHeight="1">
      <c r="B313" s="485" t="s">
        <v>2669</v>
      </c>
      <c r="D313" s="1316" t="s">
        <v>1130</v>
      </c>
      <c r="E313" s="1316"/>
      <c r="F313" s="1316"/>
      <c r="I313" s="490"/>
    </row>
    <row r="314" spans="1:9">
      <c r="D314" s="1316"/>
      <c r="E314" s="1316"/>
      <c r="F314" s="1316"/>
      <c r="I314" s="490"/>
    </row>
    <row r="315" spans="1:9">
      <c r="A315" s="484"/>
      <c r="B315" s="484"/>
      <c r="D315" s="494"/>
      <c r="E315" s="495"/>
      <c r="F315" s="495"/>
      <c r="I315" s="490"/>
    </row>
    <row r="316" spans="1:9">
      <c r="B316" s="485" t="s">
        <v>2669</v>
      </c>
      <c r="D316" s="1305" t="s">
        <v>1131</v>
      </c>
      <c r="E316" s="1305"/>
      <c r="F316" s="1305"/>
      <c r="I316" s="490"/>
    </row>
    <row r="317" spans="1:9">
      <c r="E317" s="446"/>
      <c r="F317" s="446"/>
      <c r="I317" s="490"/>
    </row>
    <row r="318" spans="1:9">
      <c r="A318" s="484"/>
      <c r="B318" s="485" t="s">
        <v>2669</v>
      </c>
      <c r="D318" s="1307" t="s">
        <v>2244</v>
      </c>
      <c r="E318" s="1307"/>
      <c r="F318" s="1307"/>
      <c r="I318" s="490"/>
    </row>
    <row r="319" spans="1:9">
      <c r="A319" s="484"/>
      <c r="B319" s="484"/>
      <c r="D319" s="1307"/>
      <c r="E319" s="1307"/>
      <c r="F319" s="1307"/>
      <c r="I319" s="490"/>
    </row>
    <row r="320" spans="1:9">
      <c r="A320" s="484"/>
      <c r="B320" s="484"/>
      <c r="D320" s="1307"/>
      <c r="E320" s="1307"/>
      <c r="F320" s="1307"/>
      <c r="I320" s="490"/>
    </row>
    <row r="321" spans="1:9">
      <c r="A321" s="484"/>
      <c r="B321" s="484"/>
      <c r="D321" s="1307"/>
      <c r="E321" s="1307"/>
      <c r="F321" s="1307"/>
      <c r="I321" s="490"/>
    </row>
    <row r="322" spans="1:9">
      <c r="A322" s="484"/>
      <c r="B322" s="484"/>
      <c r="D322" s="1307"/>
      <c r="E322" s="1307"/>
      <c r="F322" s="1307"/>
      <c r="I322" s="490"/>
    </row>
    <row r="323" spans="1:9">
      <c r="A323" s="484"/>
      <c r="B323" s="484"/>
      <c r="D323" s="1307"/>
      <c r="E323" s="1307"/>
      <c r="F323" s="1307"/>
      <c r="I323" s="490"/>
    </row>
    <row r="324" spans="1:9">
      <c r="A324" s="484"/>
      <c r="B324" s="484"/>
      <c r="D324" s="1307"/>
      <c r="E324" s="1307"/>
      <c r="F324" s="1307"/>
      <c r="I324" s="490"/>
    </row>
    <row r="325" spans="1:9">
      <c r="A325" s="484"/>
      <c r="B325" s="484"/>
      <c r="D325" s="1307"/>
      <c r="E325" s="1307"/>
      <c r="F325" s="1307"/>
      <c r="I325" s="490"/>
    </row>
    <row r="326" spans="1:9">
      <c r="A326" s="484"/>
      <c r="B326" s="484"/>
      <c r="D326" s="1307"/>
      <c r="E326" s="1307"/>
      <c r="F326" s="1307"/>
      <c r="I326" s="490"/>
    </row>
    <row r="327" spans="1:9">
      <c r="A327" s="484"/>
      <c r="B327" s="484"/>
      <c r="D327" s="1307"/>
      <c r="E327" s="1307"/>
      <c r="F327" s="1307"/>
      <c r="I327" s="490"/>
    </row>
    <row r="328" spans="1:9">
      <c r="A328" s="484"/>
      <c r="B328" s="484"/>
      <c r="D328" s="1307"/>
      <c r="E328" s="1307"/>
      <c r="F328" s="1307"/>
      <c r="I328" s="490"/>
    </row>
    <row r="329" spans="1:9">
      <c r="A329" s="484"/>
      <c r="B329" s="484"/>
      <c r="D329" s="1307"/>
      <c r="E329" s="1307"/>
      <c r="F329" s="1307"/>
      <c r="I329" s="490"/>
    </row>
    <row r="330" spans="1:9">
      <c r="A330" s="484"/>
      <c r="B330" s="484"/>
      <c r="D330" s="1307"/>
      <c r="E330" s="1307"/>
      <c r="F330" s="1307"/>
      <c r="I330" s="490"/>
    </row>
    <row r="331" spans="1:9">
      <c r="A331" s="484"/>
      <c r="B331" s="484"/>
      <c r="D331" s="1307"/>
      <c r="E331" s="1307"/>
      <c r="F331" s="1307"/>
      <c r="I331" s="490"/>
    </row>
    <row r="332" spans="1:9">
      <c r="A332" s="484"/>
      <c r="B332" s="484"/>
      <c r="D332" s="1307"/>
      <c r="E332" s="1307"/>
      <c r="F332" s="1307"/>
      <c r="I332" s="490"/>
    </row>
    <row r="333" spans="1:9">
      <c r="D333" s="446"/>
      <c r="E333" s="446"/>
      <c r="F333" s="446"/>
      <c r="I333" s="490"/>
    </row>
    <row r="334" spans="1:9">
      <c r="A334" s="484"/>
      <c r="B334" s="485" t="s">
        <v>2669</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2669</v>
      </c>
      <c r="D344" s="1307" t="s">
        <v>1902</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5" t="s">
        <v>979</v>
      </c>
      <c r="E351" s="1335"/>
      <c r="F351" s="1335"/>
      <c r="G351" s="1027"/>
      <c r="H351" s="1027"/>
      <c r="I351" s="1156"/>
    </row>
    <row r="352" spans="1:9" ht="13.5" thickTop="1">
      <c r="D352" s="1334" t="s">
        <v>2245</v>
      </c>
      <c r="E352" s="1334"/>
      <c r="F352" s="1334"/>
      <c r="I352" s="490"/>
    </row>
    <row r="353" spans="1:9">
      <c r="D353" s="446"/>
      <c r="E353" s="446"/>
      <c r="F353" s="446"/>
      <c r="I353" s="490"/>
    </row>
    <row r="354" spans="1:9">
      <c r="A354" s="476"/>
      <c r="B354" s="476"/>
      <c r="C354" s="476"/>
      <c r="D354" s="447"/>
      <c r="E354" s="447"/>
      <c r="F354" s="446"/>
      <c r="I354" s="490"/>
    </row>
    <row r="355" spans="1:9">
      <c r="A355" s="484"/>
      <c r="B355" s="485" t="s">
        <v>2669</v>
      </c>
      <c r="C355" s="487"/>
      <c r="D355" s="1305" t="s">
        <v>1900</v>
      </c>
      <c r="E355" s="1305"/>
      <c r="F355" s="1305"/>
      <c r="I355" s="490"/>
    </row>
    <row r="356" spans="1:9" ht="12.75" customHeight="1">
      <c r="D356" s="1037"/>
      <c r="E356" s="96" t="s">
        <v>1899</v>
      </c>
      <c r="F356" s="1037"/>
      <c r="I356" s="490"/>
    </row>
    <row r="357" spans="1:9">
      <c r="D357" s="1307" t="s">
        <v>1239</v>
      </c>
      <c r="E357" s="1307"/>
      <c r="F357" s="1307"/>
      <c r="I357" s="490"/>
    </row>
    <row r="358" spans="1:9">
      <c r="D358" s="1307"/>
      <c r="E358" s="1307"/>
      <c r="F358" s="1307"/>
      <c r="I358" s="490"/>
    </row>
    <row r="359" spans="1:9">
      <c r="D359" s="1307"/>
      <c r="E359" s="1307"/>
      <c r="F359" s="1307"/>
      <c r="I359" s="490"/>
    </row>
    <row r="360" spans="1:9">
      <c r="A360" s="484"/>
      <c r="B360" s="485" t="s">
        <v>2669</v>
      </c>
      <c r="C360" s="476"/>
      <c r="D360" s="1324" t="s">
        <v>2056</v>
      </c>
      <c r="E360" s="1324"/>
      <c r="F360" s="1324"/>
      <c r="I360" s="480"/>
    </row>
    <row r="361" spans="1:9">
      <c r="A361" s="476"/>
      <c r="B361" s="476"/>
      <c r="C361" s="476"/>
      <c r="D361" s="447"/>
      <c r="E361" s="447"/>
      <c r="F361" s="446"/>
      <c r="I361" s="490"/>
    </row>
    <row r="362" spans="1:9">
      <c r="A362" s="476"/>
      <c r="B362" s="485" t="s">
        <v>2669</v>
      </c>
      <c r="C362" s="476"/>
      <c r="D362" s="1278" t="s">
        <v>2057</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5" customHeight="1">
      <c r="A375" s="476"/>
      <c r="B375" s="485" t="s">
        <v>2669</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2669</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2669</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2669</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2669</v>
      </c>
      <c r="D423" s="1278" t="s">
        <v>1881</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2669</v>
      </c>
      <c r="C429" s="476"/>
      <c r="D429" s="1278" t="s">
        <v>1240</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6" t="s">
        <v>2073</v>
      </c>
      <c r="E433" s="1278"/>
      <c r="F433" s="1278"/>
      <c r="I433" s="490"/>
    </row>
    <row r="434" spans="1:9">
      <c r="D434" s="446"/>
      <c r="E434" s="446"/>
      <c r="F434" s="446"/>
      <c r="I434" s="490"/>
    </row>
    <row r="435" spans="1:9">
      <c r="A435" s="484"/>
      <c r="B435" s="485" t="s">
        <v>2669</v>
      </c>
      <c r="C435" s="487"/>
      <c r="D435" s="1307" t="s">
        <v>2058</v>
      </c>
      <c r="E435" s="1307"/>
      <c r="F435" s="1307"/>
      <c r="I435" s="490"/>
    </row>
    <row r="436" spans="1:9">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5" customHeight="1">
      <c r="D465" s="1307"/>
      <c r="E465" s="1307"/>
      <c r="F465" s="1307"/>
      <c r="I465" s="490"/>
    </row>
    <row r="466" spans="1:9">
      <c r="D466" s="446"/>
      <c r="E466" s="446"/>
      <c r="F466" s="446"/>
      <c r="I466" s="490"/>
    </row>
    <row r="467" spans="1:9">
      <c r="A467" s="484"/>
      <c r="B467" s="485" t="s">
        <v>2669</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c r="B471" s="485" t="s">
        <v>2669</v>
      </c>
      <c r="C471" s="484"/>
      <c r="D471" s="1307" t="s">
        <v>1197</v>
      </c>
      <c r="E471" s="1307"/>
      <c r="F471" s="1307"/>
      <c r="I471" s="490"/>
    </row>
    <row r="472" spans="1:9">
      <c r="D472" s="1307"/>
      <c r="E472" s="1307"/>
      <c r="F472" s="1307"/>
      <c r="I472" s="490"/>
    </row>
    <row r="473" spans="1:9">
      <c r="D473" s="446"/>
      <c r="E473" s="446"/>
      <c r="F473" s="446"/>
      <c r="I473" s="490"/>
    </row>
    <row r="474" spans="1:9">
      <c r="B474" s="485" t="s">
        <v>2669</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2669</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2669</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2669</v>
      </c>
      <c r="C486" s="402"/>
      <c r="D486" s="1307"/>
      <c r="E486" s="1307"/>
      <c r="F486" s="1307"/>
      <c r="I486" s="490"/>
    </row>
    <row r="487" spans="1:9">
      <c r="A487" s="402"/>
      <c r="C487" s="402"/>
      <c r="D487" s="1307"/>
      <c r="E487" s="1307"/>
      <c r="F487" s="1307"/>
      <c r="I487" s="490"/>
    </row>
    <row r="488" spans="1:9">
      <c r="A488" s="402"/>
      <c r="B488" s="485" t="s">
        <v>2669</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2669</v>
      </c>
      <c r="D494" s="1305" t="s">
        <v>1140</v>
      </c>
      <c r="E494" s="1305"/>
      <c r="F494" s="1305"/>
      <c r="I494" s="490"/>
    </row>
    <row r="495" spans="1:9">
      <c r="A495" s="446"/>
      <c r="B495" s="446"/>
      <c r="I495" s="490"/>
    </row>
    <row r="496" spans="1:9">
      <c r="A496" s="1314" t="s">
        <v>1050</v>
      </c>
      <c r="B496" s="1314"/>
      <c r="C496" s="1314"/>
      <c r="D496" s="1314"/>
      <c r="E496" s="1314"/>
      <c r="F496" s="1314"/>
      <c r="G496" s="1314"/>
      <c r="H496" s="1028"/>
      <c r="I496" s="1153"/>
    </row>
    <row r="497" spans="1:9">
      <c r="A497" s="446"/>
      <c r="B497" s="446"/>
      <c r="I497" s="490"/>
    </row>
    <row r="498" spans="1:9">
      <c r="D498" s="1333" t="s">
        <v>883</v>
      </c>
      <c r="E498" s="1333"/>
      <c r="F498" s="1333"/>
      <c r="I498" s="490"/>
    </row>
    <row r="499" spans="1:9">
      <c r="A499" s="484"/>
      <c r="B499" s="484"/>
      <c r="D499" s="1324" t="s">
        <v>1141</v>
      </c>
      <c r="E499" s="1324"/>
      <c r="F499" s="1324"/>
      <c r="I499" s="490"/>
    </row>
    <row r="500" spans="1:9">
      <c r="A500" s="484"/>
      <c r="B500" s="484"/>
      <c r="D500" s="447"/>
      <c r="I500" s="490"/>
    </row>
    <row r="501" spans="1:9">
      <c r="A501" s="484"/>
      <c r="B501" s="485" t="s">
        <v>2669</v>
      </c>
      <c r="D501" s="1278" t="s">
        <v>1142</v>
      </c>
      <c r="E501" s="1278"/>
      <c r="F501" s="1278"/>
      <c r="I501" s="490"/>
    </row>
    <row r="502" spans="1:9">
      <c r="A502" s="484"/>
      <c r="B502" s="484"/>
      <c r="D502" s="1278"/>
      <c r="E502" s="1278"/>
      <c r="F502" s="1278"/>
      <c r="I502" s="490"/>
    </row>
    <row r="503" spans="1:9">
      <c r="A503" s="484"/>
      <c r="B503" s="484"/>
      <c r="D503" s="446"/>
      <c r="I503" s="490"/>
    </row>
    <row r="504" spans="1:9" ht="12.75" customHeight="1">
      <c r="B504" s="485" t="s">
        <v>2668</v>
      </c>
      <c r="D504" s="1319" t="s">
        <v>1273</v>
      </c>
      <c r="E504" s="1319"/>
      <c r="F504" s="1319"/>
      <c r="I504" s="490"/>
    </row>
    <row r="505" spans="1:9">
      <c r="A505" s="484"/>
      <c r="D505" s="1319"/>
      <c r="E505" s="1319"/>
      <c r="F505" s="1319"/>
      <c r="I505" s="490"/>
    </row>
    <row r="506" spans="1:9">
      <c r="A506" s="484"/>
      <c r="B506" s="484"/>
      <c r="D506" s="1319"/>
      <c r="E506" s="1319"/>
      <c r="F506" s="1319"/>
      <c r="I506" s="490"/>
    </row>
    <row r="507" spans="1:9">
      <c r="A507" s="484"/>
      <c r="B507" s="484"/>
      <c r="D507" s="1319"/>
      <c r="E507" s="1319"/>
      <c r="F507" s="1319"/>
      <c r="I507" s="490"/>
    </row>
    <row r="508" spans="1:9">
      <c r="A508" s="484"/>
      <c r="D508" s="520"/>
      <c r="E508" s="520"/>
      <c r="F508" s="520"/>
      <c r="I508" s="490"/>
    </row>
    <row r="509" spans="1:9">
      <c r="A509" s="484"/>
      <c r="B509" s="485" t="s">
        <v>2668</v>
      </c>
      <c r="D509" s="1305" t="s">
        <v>1143</v>
      </c>
      <c r="E509" s="1305"/>
      <c r="F509" s="1305"/>
      <c r="I509" s="490"/>
    </row>
    <row r="510" spans="1:9">
      <c r="A510" s="484"/>
      <c r="B510" s="484"/>
      <c r="D510" s="446"/>
      <c r="I510" s="490"/>
    </row>
    <row r="511" spans="1:9">
      <c r="A511" s="484"/>
      <c r="B511" s="485" t="s">
        <v>2668</v>
      </c>
      <c r="D511" s="1307" t="s">
        <v>1144</v>
      </c>
      <c r="E511" s="1307"/>
      <c r="F511" s="1307"/>
      <c r="I511" s="490"/>
    </row>
    <row r="512" spans="1:9">
      <c r="A512" s="484"/>
      <c r="D512" s="1307"/>
      <c r="E512" s="1307"/>
      <c r="F512" s="1307"/>
      <c r="I512" s="490"/>
    </row>
    <row r="513" spans="1:9">
      <c r="A513" s="490"/>
      <c r="B513" s="490"/>
      <c r="D513" s="447"/>
      <c r="I513" s="490"/>
    </row>
    <row r="514" spans="1:9">
      <c r="A514" s="490"/>
      <c r="B514" s="485" t="s">
        <v>2668</v>
      </c>
      <c r="D514" s="1305" t="s">
        <v>1145</v>
      </c>
      <c r="E514" s="1305"/>
      <c r="F514" s="1305"/>
      <c r="I514" s="490"/>
    </row>
    <row r="515" spans="1:9">
      <c r="D515" s="446"/>
      <c r="E515" s="446"/>
      <c r="F515" s="446"/>
      <c r="I515" s="490"/>
    </row>
    <row r="516" spans="1:9">
      <c r="B516" s="485" t="s">
        <v>2669</v>
      </c>
      <c r="D516" s="1307" t="s">
        <v>2279</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c r="A520" s="484"/>
      <c r="B520" s="484"/>
      <c r="D520" s="446"/>
      <c r="I520" s="490"/>
    </row>
    <row r="521" spans="1:9">
      <c r="A521" s="1314" t="s">
        <v>1051</v>
      </c>
      <c r="B521" s="1314"/>
      <c r="C521" s="1314"/>
      <c r="D521" s="1314"/>
      <c r="E521" s="1314"/>
      <c r="F521" s="1314"/>
      <c r="G521" s="1314"/>
      <c r="H521" s="1028"/>
      <c r="I521" s="1153"/>
    </row>
    <row r="522" spans="1:9" ht="12" customHeight="1">
      <c r="A522" s="484"/>
      <c r="B522" s="484"/>
      <c r="D522" s="446"/>
      <c r="I522" s="490"/>
    </row>
    <row r="523" spans="1:9">
      <c r="C523" s="482"/>
      <c r="D523" s="1315" t="s">
        <v>793</v>
      </c>
      <c r="E523" s="1315"/>
      <c r="F523" s="131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2668</v>
      </c>
      <c r="C527" s="483"/>
      <c r="D527" s="1278" t="s">
        <v>2059</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2668</v>
      </c>
      <c r="D530" s="386" t="s">
        <v>1903</v>
      </c>
      <c r="E530" s="385"/>
      <c r="F530" s="385"/>
      <c r="I530" s="490"/>
    </row>
    <row r="531" spans="1:9">
      <c r="A531" s="483"/>
      <c r="B531" s="483"/>
      <c r="C531" s="483"/>
      <c r="D531" s="385"/>
      <c r="E531" s="96" t="s">
        <v>1904</v>
      </c>
      <c r="I531" s="490"/>
    </row>
    <row r="532" spans="1:9">
      <c r="A532" s="483"/>
      <c r="B532" s="483"/>
      <c r="D532" s="1286" t="s">
        <v>2060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5" customHeight="1">
      <c r="A536" s="483"/>
      <c r="B536" s="485" t="s">
        <v>2669</v>
      </c>
      <c r="C536" s="483"/>
      <c r="D536" s="1307" t="s">
        <v>2061</v>
      </c>
      <c r="E536" s="1307"/>
      <c r="F536" s="1307"/>
      <c r="I536" s="490"/>
    </row>
    <row r="537" spans="1:9">
      <c r="A537" s="483"/>
      <c r="B537" s="483"/>
      <c r="C537" s="483"/>
      <c r="D537" s="1307"/>
      <c r="E537" s="1307"/>
      <c r="F537" s="1307"/>
      <c r="I537" s="490"/>
    </row>
    <row r="538" spans="1:9" ht="12" customHeight="1">
      <c r="A538" s="446"/>
      <c r="B538" s="446"/>
      <c r="C538" s="487"/>
      <c r="D538" s="446"/>
      <c r="F538" s="448"/>
      <c r="I538" s="490"/>
    </row>
    <row r="539" spans="1:9">
      <c r="A539" s="1314" t="s">
        <v>1052</v>
      </c>
      <c r="B539" s="1314"/>
      <c r="C539" s="1314"/>
      <c r="D539" s="1314"/>
      <c r="E539" s="1314"/>
      <c r="F539" s="1314"/>
      <c r="G539" s="1314"/>
      <c r="H539" s="1028"/>
      <c r="I539" s="1153"/>
    </row>
    <row r="540" spans="1:9">
      <c r="A540" s="446"/>
      <c r="B540" s="446"/>
      <c r="C540" s="487"/>
      <c r="F540" s="448"/>
      <c r="I540" s="490"/>
    </row>
    <row r="541" spans="1:9">
      <c r="B541" s="1309" t="s">
        <v>446</v>
      </c>
      <c r="C541" s="1309"/>
      <c r="D541" s="1309"/>
      <c r="E541" s="1309"/>
      <c r="F541" s="1309"/>
      <c r="I541" s="490"/>
    </row>
    <row r="542" spans="1:9">
      <c r="A542" s="446"/>
      <c r="B542" s="446"/>
      <c r="C542" s="487"/>
      <c r="D542" s="446"/>
      <c r="F542" s="446"/>
      <c r="I542" s="490"/>
    </row>
    <row r="543" spans="1:9">
      <c r="A543" s="1306" t="s">
        <v>1053</v>
      </c>
      <c r="B543" s="1306"/>
      <c r="C543" s="1306"/>
      <c r="D543" s="1306"/>
      <c r="E543" s="1306"/>
      <c r="F543" s="1306"/>
      <c r="G543" s="1306"/>
      <c r="H543" s="1028"/>
      <c r="I543" s="1153"/>
    </row>
    <row r="544" spans="1:9">
      <c r="A544" s="446"/>
      <c r="B544" s="446"/>
      <c r="C544" s="487"/>
      <c r="D544" s="446"/>
      <c r="F544" s="446"/>
      <c r="I544" s="490"/>
    </row>
    <row r="545" spans="1:9">
      <c r="C545" s="487"/>
      <c r="D545" s="1315" t="s">
        <v>683</v>
      </c>
      <c r="E545" s="1315"/>
      <c r="F545" s="1315"/>
      <c r="I545" s="490"/>
    </row>
    <row r="546" spans="1:9">
      <c r="C546" s="487"/>
      <c r="D546" s="1305" t="s">
        <v>1081</v>
      </c>
      <c r="E546" s="1305"/>
      <c r="F546" s="1305"/>
      <c r="I546" s="490"/>
    </row>
    <row r="547" spans="1:9">
      <c r="C547" s="487"/>
      <c r="D547" s="446"/>
      <c r="E547" s="446"/>
      <c r="F547" s="446"/>
      <c r="I547" s="490"/>
    </row>
    <row r="548" spans="1:9" ht="13.75" customHeight="1">
      <c r="A548" s="484"/>
      <c r="B548" s="485" t="s">
        <v>2668</v>
      </c>
      <c r="C548" s="487"/>
      <c r="D548" s="1305" t="s">
        <v>884</v>
      </c>
      <c r="E548" s="1305"/>
      <c r="F548" s="1305"/>
      <c r="I548" s="490"/>
    </row>
    <row r="549" spans="1:9" ht="13.75" customHeight="1">
      <c r="A549" s="487"/>
      <c r="B549" s="487"/>
      <c r="C549" s="487"/>
      <c r="D549" s="446"/>
      <c r="I549" s="490"/>
    </row>
    <row r="550" spans="1:9">
      <c r="A550" s="484"/>
      <c r="B550" s="485" t="s">
        <v>2668</v>
      </c>
      <c r="C550" s="487"/>
      <c r="D550" s="1307" t="s">
        <v>1082</v>
      </c>
      <c r="E550" s="1307"/>
      <c r="F550" s="1307"/>
      <c r="I550" s="490"/>
    </row>
    <row r="551" spans="1:9">
      <c r="A551" s="487"/>
      <c r="B551" s="487"/>
      <c r="C551" s="487"/>
      <c r="D551" s="1307"/>
      <c r="E551" s="1307"/>
      <c r="F551" s="1307"/>
      <c r="I551" s="490"/>
    </row>
    <row r="552" spans="1:9">
      <c r="A552" s="487"/>
      <c r="B552" s="487"/>
      <c r="C552" s="487"/>
      <c r="D552" s="446"/>
      <c r="E552" s="446"/>
      <c r="F552" s="446"/>
      <c r="I552" s="490"/>
    </row>
    <row r="553" spans="1:9">
      <c r="A553" s="484"/>
      <c r="B553" s="485" t="s">
        <v>2668</v>
      </c>
      <c r="C553" s="487"/>
      <c r="D553" s="1307" t="s">
        <v>1083</v>
      </c>
      <c r="E553" s="1307"/>
      <c r="F553" s="1307"/>
      <c r="I553" s="490"/>
    </row>
    <row r="554" spans="1:9">
      <c r="A554" s="487"/>
      <c r="B554" s="487"/>
      <c r="C554" s="487"/>
      <c r="D554" s="1307"/>
      <c r="E554" s="1307"/>
      <c r="F554" s="1307"/>
      <c r="I554" s="490"/>
    </row>
    <row r="555" spans="1:9">
      <c r="A555" s="487"/>
      <c r="B555" s="487"/>
      <c r="C555" s="487"/>
      <c r="D555" s="446"/>
      <c r="E555" s="446"/>
      <c r="F555" s="446"/>
      <c r="I555" s="490"/>
    </row>
    <row r="556" spans="1:9">
      <c r="A556" s="484"/>
      <c r="B556" s="485" t="s">
        <v>2668</v>
      </c>
      <c r="C556" s="487"/>
      <c r="D556" s="1307" t="s">
        <v>1084</v>
      </c>
      <c r="E556" s="1307"/>
      <c r="F556" s="1307"/>
      <c r="I556" s="490"/>
    </row>
    <row r="557" spans="1:9">
      <c r="A557" s="487"/>
      <c r="B557" s="487"/>
      <c r="C557" s="487"/>
      <c r="D557" s="1307"/>
      <c r="E557" s="1307"/>
      <c r="F557" s="1307"/>
      <c r="I557" s="490"/>
    </row>
    <row r="558" spans="1:9">
      <c r="A558" s="487"/>
      <c r="B558" s="487"/>
      <c r="C558" s="487"/>
      <c r="D558" s="446"/>
      <c r="E558" s="446"/>
      <c r="F558" s="446"/>
      <c r="I558" s="490"/>
    </row>
    <row r="559" spans="1:9">
      <c r="A559" s="484"/>
      <c r="B559" s="485" t="s">
        <v>2668</v>
      </c>
      <c r="C559" s="487"/>
      <c r="D559" s="1307" t="s">
        <v>1085</v>
      </c>
      <c r="E559" s="1307"/>
      <c r="F559" s="1307"/>
      <c r="I559" s="490"/>
    </row>
    <row r="560" spans="1:9">
      <c r="A560" s="487"/>
      <c r="B560" s="487"/>
      <c r="C560" s="487"/>
      <c r="D560" s="1307"/>
      <c r="E560" s="1307"/>
      <c r="F560" s="1307"/>
      <c r="I560" s="490"/>
    </row>
    <row r="561" spans="1:9">
      <c r="A561" s="487"/>
      <c r="B561" s="487"/>
      <c r="C561" s="487"/>
      <c r="D561" s="1307"/>
      <c r="E561" s="1307"/>
      <c r="F561" s="1307"/>
      <c r="I561" s="490"/>
    </row>
    <row r="562" spans="1:9">
      <c r="A562" s="487"/>
      <c r="B562" s="487"/>
      <c r="C562" s="487"/>
      <c r="D562" s="446"/>
      <c r="E562" s="446"/>
      <c r="F562" s="446"/>
      <c r="I562" s="490"/>
    </row>
    <row r="563" spans="1:9">
      <c r="A563" s="484"/>
      <c r="B563" s="485" t="s">
        <v>2669</v>
      </c>
      <c r="C563" s="487"/>
      <c r="D563" s="1307" t="s">
        <v>2246</v>
      </c>
      <c r="E563" s="1307"/>
      <c r="F563" s="1307"/>
      <c r="I563" s="490"/>
    </row>
    <row r="564" spans="1:9">
      <c r="A564" s="487"/>
      <c r="B564" s="487"/>
      <c r="C564" s="487"/>
      <c r="D564" s="1307"/>
      <c r="E564" s="1307"/>
      <c r="F564" s="1307"/>
      <c r="I564" s="490"/>
    </row>
    <row r="565" spans="1:9">
      <c r="A565" s="487"/>
      <c r="B565" s="487"/>
      <c r="C565" s="487"/>
      <c r="D565" s="446"/>
      <c r="E565" s="446"/>
      <c r="F565" s="446"/>
      <c r="I565" s="490"/>
    </row>
    <row r="566" spans="1:9">
      <c r="A566" s="484"/>
      <c r="B566" s="485" t="s">
        <v>2669</v>
      </c>
      <c r="C566" s="487"/>
      <c r="D566" s="1307" t="s">
        <v>1086</v>
      </c>
      <c r="E566" s="1307"/>
      <c r="F566" s="1307"/>
      <c r="I566" s="490"/>
    </row>
    <row r="567" spans="1:9">
      <c r="A567" s="487"/>
      <c r="B567" s="487"/>
      <c r="C567" s="487"/>
      <c r="D567" s="1307"/>
      <c r="E567" s="1307"/>
      <c r="F567" s="1307"/>
      <c r="I567" s="490"/>
    </row>
    <row r="568" spans="1:9">
      <c r="A568" s="487"/>
      <c r="B568" s="487"/>
      <c r="C568" s="487"/>
      <c r="D568" s="446"/>
      <c r="E568" s="446"/>
      <c r="F568" s="446"/>
      <c r="I568" s="490"/>
    </row>
    <row r="569" spans="1:9">
      <c r="A569" s="484"/>
      <c r="B569" s="485" t="s">
        <v>2668</v>
      </c>
      <c r="C569" s="487"/>
      <c r="D569" s="1305" t="s">
        <v>1087</v>
      </c>
      <c r="E569" s="1305"/>
      <c r="F569" s="1305"/>
      <c r="I569" s="490"/>
    </row>
    <row r="570" spans="1:9">
      <c r="A570" s="490"/>
      <c r="B570" s="490"/>
      <c r="C570" s="487"/>
      <c r="D570" s="1305" t="s">
        <v>1906</v>
      </c>
      <c r="E570" s="1305"/>
      <c r="F570" s="1305"/>
      <c r="I570" s="490"/>
    </row>
    <row r="571" spans="1:9">
      <c r="A571" s="490"/>
      <c r="B571" s="490"/>
      <c r="C571" s="487"/>
      <c r="E571" s="96" t="s">
        <v>1905</v>
      </c>
      <c r="F571" s="404"/>
      <c r="I571" s="490"/>
    </row>
    <row r="572" spans="1:9">
      <c r="A572" s="484"/>
      <c r="B572" s="484"/>
      <c r="C572" s="487"/>
      <c r="E572" s="446"/>
      <c r="F572" s="446"/>
      <c r="I572" s="490"/>
    </row>
    <row r="573" spans="1:9">
      <c r="A573" s="484"/>
      <c r="B573" s="485" t="s">
        <v>2668</v>
      </c>
      <c r="C573" s="487"/>
      <c r="D573" s="1305" t="s">
        <v>1088</v>
      </c>
      <c r="E573" s="1305"/>
      <c r="F573" s="1305"/>
      <c r="I573" s="490"/>
    </row>
    <row r="574" spans="1:9">
      <c r="C574" s="487"/>
      <c r="D574" s="1307" t="s">
        <v>1089</v>
      </c>
      <c r="E574" s="1307"/>
      <c r="F574" s="1307"/>
      <c r="I574" s="490"/>
    </row>
    <row r="575" spans="1:9">
      <c r="A575" s="487"/>
      <c r="B575" s="487"/>
      <c r="C575" s="487"/>
      <c r="D575" s="1307"/>
      <c r="E575" s="1307"/>
      <c r="F575" s="1307"/>
      <c r="I575" s="490"/>
    </row>
    <row r="576" spans="1:9">
      <c r="A576" s="487"/>
      <c r="B576" s="487"/>
      <c r="C576" s="487"/>
      <c r="D576" s="1307"/>
      <c r="E576" s="1307"/>
      <c r="F576" s="1307"/>
      <c r="I576" s="490"/>
    </row>
    <row r="577" spans="1:9">
      <c r="A577" s="487"/>
      <c r="B577" s="487"/>
      <c r="C577" s="487"/>
      <c r="D577" s="446"/>
      <c r="E577" s="446"/>
      <c r="F577" s="446"/>
      <c r="I577" s="490"/>
    </row>
    <row r="578" spans="1:9">
      <c r="A578" s="484"/>
      <c r="B578" s="485" t="s">
        <v>2668</v>
      </c>
      <c r="C578" s="487"/>
      <c r="D578" s="1307" t="s">
        <v>2062</v>
      </c>
      <c r="E578" s="1307"/>
      <c r="F578" s="1307"/>
      <c r="I578" s="490"/>
    </row>
    <row r="579" spans="1:9">
      <c r="A579" s="484"/>
      <c r="B579" s="484"/>
      <c r="C579" s="487"/>
      <c r="D579" s="1307"/>
      <c r="E579" s="1307"/>
      <c r="F579" s="1307"/>
      <c r="I579" s="490"/>
    </row>
    <row r="580" spans="1:9">
      <c r="A580" s="484"/>
      <c r="B580" s="484"/>
      <c r="C580" s="487"/>
      <c r="D580" s="1307"/>
      <c r="E580" s="1307"/>
      <c r="F580" s="1307"/>
      <c r="I580" s="490"/>
    </row>
    <row r="581" spans="1:9">
      <c r="A581" s="484"/>
      <c r="B581" s="484"/>
      <c r="C581" s="487"/>
      <c r="D581" s="1307"/>
      <c r="E581" s="1307"/>
      <c r="F581" s="1307"/>
      <c r="I581" s="490"/>
    </row>
    <row r="582" spans="1:9">
      <c r="A582" s="484"/>
      <c r="B582" s="484"/>
      <c r="C582" s="487"/>
      <c r="D582" s="446"/>
      <c r="E582" s="446"/>
      <c r="F582" s="446"/>
      <c r="I582" s="490"/>
    </row>
    <row r="583" spans="1:9">
      <c r="A583" s="1314" t="s">
        <v>1054</v>
      </c>
      <c r="B583" s="1314"/>
      <c r="C583" s="1314"/>
      <c r="D583" s="1314"/>
      <c r="E583" s="1314"/>
      <c r="F583" s="1314"/>
      <c r="G583" s="1314"/>
      <c r="H583" s="1028"/>
      <c r="I583" s="1153"/>
    </row>
    <row r="584" spans="1:9">
      <c r="A584" s="487"/>
      <c r="B584" s="487"/>
      <c r="C584" s="487"/>
      <c r="E584" s="446"/>
      <c r="F584" s="446"/>
      <c r="I584" s="490"/>
    </row>
    <row r="585" spans="1:9" ht="12.75" customHeight="1">
      <c r="C585" s="482"/>
      <c r="D585" s="1323" t="s">
        <v>210</v>
      </c>
      <c r="E585" s="1323"/>
      <c r="F585" s="1323"/>
      <c r="I585" s="490"/>
    </row>
    <row r="586" spans="1:9">
      <c r="A586" s="483"/>
      <c r="B586" s="483"/>
      <c r="C586" s="483"/>
      <c r="D586" s="1319" t="s">
        <v>1067</v>
      </c>
      <c r="E586" s="1319"/>
      <c r="F586" s="1319"/>
      <c r="I586" s="490"/>
    </row>
    <row r="587" spans="1:9">
      <c r="A587" s="402"/>
      <c r="B587" s="402"/>
      <c r="C587" s="483"/>
      <c r="D587" s="499"/>
      <c r="I587" s="490"/>
    </row>
    <row r="588" spans="1:9">
      <c r="A588" s="483"/>
      <c r="B588" s="485" t="s">
        <v>2668</v>
      </c>
      <c r="D588" s="1319" t="s">
        <v>888</v>
      </c>
      <c r="E588" s="1319"/>
      <c r="F588" s="1319"/>
      <c r="I588" s="490"/>
    </row>
    <row r="589" spans="1:9">
      <c r="A589" s="490"/>
      <c r="B589" s="490"/>
      <c r="D589" s="476"/>
      <c r="I589" s="490"/>
    </row>
    <row r="590" spans="1:9">
      <c r="A590" s="490"/>
      <c r="B590" s="485" t="s">
        <v>2668</v>
      </c>
      <c r="D590" s="1319" t="s">
        <v>2063</v>
      </c>
      <c r="E590" s="1319"/>
      <c r="F590" s="1319"/>
      <c r="I590" s="490"/>
    </row>
    <row r="591" spans="1:9">
      <c r="A591" s="490"/>
      <c r="B591" s="490"/>
      <c r="D591" s="1319"/>
      <c r="E591" s="1319"/>
      <c r="F591" s="1319"/>
      <c r="I591" s="490"/>
    </row>
    <row r="592" spans="1:9">
      <c r="A592" s="490"/>
      <c r="B592" s="490"/>
      <c r="D592" s="1319"/>
      <c r="E592" s="1319"/>
      <c r="F592" s="1319"/>
      <c r="I592" s="490"/>
    </row>
    <row r="593" spans="1:9">
      <c r="A593" s="490"/>
      <c r="B593" s="490"/>
      <c r="D593" s="1319"/>
      <c r="E593" s="1319"/>
      <c r="F593" s="1319"/>
      <c r="I593" s="490"/>
    </row>
    <row r="594" spans="1:9">
      <c r="A594" s="490"/>
      <c r="B594" s="485" t="s">
        <v>2669</v>
      </c>
      <c r="D594" s="1319" t="s">
        <v>1068</v>
      </c>
      <c r="E594" s="1319"/>
      <c r="F594" s="1319"/>
      <c r="I594" s="490"/>
    </row>
    <row r="595" spans="1:9">
      <c r="A595" s="490"/>
      <c r="B595" s="490"/>
      <c r="D595" s="1319"/>
      <c r="E595" s="1319"/>
      <c r="F595" s="1319"/>
      <c r="I595" s="490"/>
    </row>
    <row r="596" spans="1:9">
      <c r="A596" s="490"/>
      <c r="B596" s="490"/>
      <c r="D596" s="1319"/>
      <c r="E596" s="1319"/>
      <c r="F596" s="1319"/>
      <c r="I596" s="490"/>
    </row>
    <row r="597" spans="1:9">
      <c r="A597" s="490"/>
      <c r="B597" s="490"/>
      <c r="D597" s="1319"/>
      <c r="E597" s="1319"/>
      <c r="F597" s="1319"/>
      <c r="I597" s="490"/>
    </row>
    <row r="598" spans="1:9">
      <c r="A598" s="490"/>
      <c r="B598" s="490"/>
      <c r="D598" s="440"/>
      <c r="E598" s="440"/>
      <c r="F598" s="440"/>
      <c r="I598" s="490"/>
    </row>
    <row r="599" spans="1:9">
      <c r="A599" s="490"/>
      <c r="B599" s="485" t="s">
        <v>2668</v>
      </c>
      <c r="D599" s="1319" t="s">
        <v>2064</v>
      </c>
      <c r="E599" s="1319"/>
      <c r="F599" s="1319"/>
      <c r="I599" s="490"/>
    </row>
    <row r="600" spans="1:9">
      <c r="A600" s="490"/>
      <c r="B600" s="490"/>
      <c r="D600" s="1319"/>
      <c r="E600" s="1319"/>
      <c r="F600" s="1319"/>
      <c r="I600" s="490"/>
    </row>
    <row r="601" spans="1:9">
      <c r="A601" s="490"/>
      <c r="B601" s="490"/>
      <c r="D601" s="499"/>
      <c r="I601" s="490"/>
    </row>
    <row r="602" spans="1:9">
      <c r="A602" s="490"/>
      <c r="B602" s="485" t="s">
        <v>2669</v>
      </c>
      <c r="D602" s="1319" t="s">
        <v>1069</v>
      </c>
      <c r="E602" s="1319"/>
      <c r="F602" s="1319"/>
      <c r="I602" s="490"/>
    </row>
    <row r="603" spans="1:9">
      <c r="A603" s="490"/>
      <c r="B603" s="490"/>
      <c r="D603" s="1319"/>
      <c r="E603" s="1319"/>
      <c r="F603" s="1319"/>
      <c r="I603" s="490"/>
    </row>
    <row r="604" spans="1:9">
      <c r="A604" s="484"/>
      <c r="B604" s="484"/>
      <c r="D604" s="499"/>
      <c r="I604" s="490"/>
    </row>
    <row r="605" spans="1:9">
      <c r="A605" s="1314" t="s">
        <v>1055</v>
      </c>
      <c r="B605" s="1314"/>
      <c r="C605" s="1314"/>
      <c r="D605" s="1314"/>
      <c r="E605" s="1314"/>
      <c r="F605" s="1314"/>
      <c r="G605" s="1314"/>
      <c r="H605" s="1028"/>
      <c r="I605" s="1153"/>
    </row>
    <row r="606" spans="1:9">
      <c r="I606" s="490"/>
    </row>
    <row r="607" spans="1:9">
      <c r="D607" s="1315" t="s">
        <v>1107</v>
      </c>
      <c r="E607" s="1315"/>
      <c r="F607" s="1315"/>
      <c r="I607" s="490"/>
    </row>
    <row r="608" spans="1:9">
      <c r="D608" s="1287" t="s">
        <v>1108</v>
      </c>
      <c r="E608" s="1287"/>
      <c r="F608" s="1287"/>
      <c r="I608" s="490"/>
    </row>
    <row r="609" spans="1:9">
      <c r="D609" s="444"/>
      <c r="I609" s="490"/>
    </row>
    <row r="610" spans="1:9" ht="14.25" customHeight="1">
      <c r="A610" s="484"/>
      <c r="B610" s="485" t="s">
        <v>2668</v>
      </c>
      <c r="D610" s="1320" t="s">
        <v>1907</v>
      </c>
      <c r="E610" s="1320"/>
      <c r="F610" s="1320"/>
      <c r="I610" s="490"/>
    </row>
    <row r="611" spans="1:9">
      <c r="D611" s="1320"/>
      <c r="E611" s="1320"/>
      <c r="F611" s="1320"/>
      <c r="I611" s="490"/>
    </row>
    <row r="612" spans="1:9">
      <c r="D612" s="385"/>
      <c r="E612" s="1036" t="s">
        <v>1908</v>
      </c>
      <c r="F612" s="385"/>
      <c r="I612" s="490"/>
    </row>
    <row r="613" spans="1:9">
      <c r="I613" s="490"/>
    </row>
    <row r="614" spans="1:9">
      <c r="A614" s="1314" t="s">
        <v>1056</v>
      </c>
      <c r="B614" s="1314"/>
      <c r="C614" s="1314"/>
      <c r="D614" s="1314"/>
      <c r="E614" s="1314"/>
      <c r="F614" s="1314"/>
      <c r="G614" s="1314"/>
      <c r="H614" s="1028"/>
      <c r="I614" s="1153"/>
    </row>
    <row r="615" spans="1:9">
      <c r="A615" s="446"/>
      <c r="B615" s="446"/>
      <c r="I615" s="490"/>
    </row>
    <row r="616" spans="1:9">
      <c r="A616" s="482"/>
      <c r="B616" s="482"/>
      <c r="C616" s="482"/>
      <c r="D616" s="1304" t="s">
        <v>1109</v>
      </c>
      <c r="E616" s="1304"/>
      <c r="F616" s="1304"/>
      <c r="I616" s="490"/>
    </row>
    <row r="617" spans="1:9">
      <c r="A617" s="482"/>
      <c r="B617" s="482"/>
      <c r="C617" s="482"/>
      <c r="D617" s="1304"/>
      <c r="E617" s="1304"/>
      <c r="F617" s="1304"/>
      <c r="I617" s="490"/>
    </row>
    <row r="618" spans="1:9">
      <c r="C618" s="483"/>
      <c r="D618" s="1287" t="s">
        <v>1110</v>
      </c>
      <c r="E618" s="1287"/>
      <c r="F618" s="1287"/>
      <c r="I618" s="490"/>
    </row>
    <row r="619" spans="1:9">
      <c r="C619" s="483"/>
      <c r="D619" s="444"/>
      <c r="E619" s="444"/>
      <c r="F619" s="444"/>
      <c r="I619" s="490"/>
    </row>
    <row r="620" spans="1:9" ht="12.75" customHeight="1">
      <c r="A620" s="490"/>
      <c r="B620" s="485" t="s">
        <v>2668</v>
      </c>
      <c r="D620" s="1313" t="s">
        <v>1111</v>
      </c>
      <c r="E620" s="1313"/>
      <c r="F620" s="1313"/>
      <c r="I620" s="490"/>
    </row>
    <row r="621" spans="1:9">
      <c r="D621" s="1313"/>
      <c r="E621" s="1313"/>
      <c r="F621" s="1313"/>
      <c r="I621" s="490"/>
    </row>
    <row r="622" spans="1:9">
      <c r="I622" s="490"/>
    </row>
    <row r="623" spans="1:9">
      <c r="B623" s="485" t="s">
        <v>2668</v>
      </c>
      <c r="D623" s="1313" t="s">
        <v>1112</v>
      </c>
      <c r="E623" s="1313"/>
      <c r="F623" s="1313"/>
      <c r="I623" s="490"/>
    </row>
    <row r="624" spans="1:9">
      <c r="C624" s="500"/>
      <c r="D624" s="1313"/>
      <c r="E624" s="1313"/>
      <c r="F624" s="1313"/>
      <c r="I624" s="490"/>
    </row>
    <row r="625" spans="1:9">
      <c r="C625" s="500"/>
      <c r="I625" s="490"/>
    </row>
    <row r="626" spans="1:9">
      <c r="B626" s="485" t="s">
        <v>2669</v>
      </c>
      <c r="C626" s="500"/>
      <c r="D626" s="1313" t="s">
        <v>1113</v>
      </c>
      <c r="E626" s="1313"/>
      <c r="F626" s="1313"/>
      <c r="I626" s="490"/>
    </row>
    <row r="627" spans="1:9">
      <c r="C627" s="500"/>
      <c r="D627" s="1313"/>
      <c r="E627" s="1313"/>
      <c r="F627" s="1313"/>
      <c r="I627" s="500"/>
    </row>
    <row r="628" spans="1:9">
      <c r="C628" s="500"/>
      <c r="I628" s="490"/>
    </row>
    <row r="629" spans="1:9">
      <c r="A629" s="1314" t="s">
        <v>1057</v>
      </c>
      <c r="B629" s="1314"/>
      <c r="C629" s="1314"/>
      <c r="D629" s="1314"/>
      <c r="E629" s="1314"/>
      <c r="F629" s="1314"/>
      <c r="G629" s="1314"/>
      <c r="H629" s="1028"/>
      <c r="I629" s="1153"/>
    </row>
    <row r="630" spans="1:9">
      <c r="A630" s="482"/>
      <c r="B630" s="482"/>
      <c r="C630" s="482"/>
      <c r="I630" s="490"/>
    </row>
    <row r="631" spans="1:9">
      <c r="C631" s="490"/>
      <c r="D631" s="1315" t="s">
        <v>1114</v>
      </c>
      <c r="E631" s="1315"/>
      <c r="F631" s="1315"/>
      <c r="I631" s="490"/>
    </row>
    <row r="632" spans="1:9">
      <c r="A632" s="490"/>
      <c r="B632" s="490"/>
      <c r="D632" s="404"/>
      <c r="I632" s="490"/>
    </row>
    <row r="633" spans="1:9" ht="14.25" customHeight="1">
      <c r="A633" s="484"/>
      <c r="B633" s="485" t="s">
        <v>2668</v>
      </c>
      <c r="D633" s="1320" t="s">
        <v>2065</v>
      </c>
      <c r="E633" s="1320"/>
      <c r="F633" s="1320"/>
      <c r="I633" s="490"/>
    </row>
    <row r="634" spans="1:9">
      <c r="D634" s="1320"/>
      <c r="E634" s="1320"/>
      <c r="F634" s="1320"/>
      <c r="I634" s="490"/>
    </row>
    <row r="635" spans="1:9">
      <c r="D635" s="385"/>
      <c r="E635" s="1036" t="s">
        <v>1910</v>
      </c>
      <c r="F635" s="385"/>
      <c r="I635" s="490"/>
    </row>
    <row r="636" spans="1:9">
      <c r="D636" s="1307" t="s">
        <v>1909</v>
      </c>
      <c r="E636" s="1307"/>
      <c r="F636" s="1307"/>
      <c r="I636" s="490"/>
    </row>
    <row r="637" spans="1:9">
      <c r="D637" s="1307"/>
      <c r="E637" s="1307"/>
      <c r="F637" s="1307"/>
      <c r="I637" s="490"/>
    </row>
    <row r="638" spans="1:9">
      <c r="D638" s="1307"/>
      <c r="E638" s="1307"/>
      <c r="F638" s="1307"/>
      <c r="I638" s="490"/>
    </row>
    <row r="639" spans="1:9">
      <c r="D639" s="445"/>
      <c r="E639" s="445"/>
      <c r="F639" s="445"/>
      <c r="I639" s="490"/>
    </row>
    <row r="640" spans="1:9">
      <c r="A640" s="484"/>
      <c r="B640" s="485" t="s">
        <v>2669</v>
      </c>
      <c r="D640" s="1307" t="s">
        <v>1115</v>
      </c>
      <c r="E640" s="1307"/>
      <c r="F640" s="1307"/>
      <c r="I640" s="490"/>
    </row>
    <row r="641" spans="1:9">
      <c r="A641" s="487"/>
      <c r="B641" s="487"/>
      <c r="C641" s="487"/>
      <c r="D641" s="1307"/>
      <c r="E641" s="1307"/>
      <c r="F641" s="1307"/>
      <c r="I641" s="490"/>
    </row>
    <row r="642" spans="1:9">
      <c r="A642" s="487"/>
      <c r="B642" s="487"/>
      <c r="C642" s="487"/>
      <c r="D642" s="446"/>
      <c r="E642" s="446"/>
      <c r="F642" s="446"/>
      <c r="I642" s="490"/>
    </row>
    <row r="643" spans="1:9">
      <c r="A643" s="484"/>
      <c r="B643" s="485" t="s">
        <v>2669</v>
      </c>
      <c r="C643" s="487"/>
      <c r="D643" s="1307" t="s">
        <v>1225</v>
      </c>
      <c r="E643" s="1307"/>
      <c r="F643" s="1307"/>
      <c r="I643" s="490"/>
    </row>
    <row r="644" spans="1:9">
      <c r="A644" s="484"/>
      <c r="B644" s="484"/>
      <c r="C644" s="487"/>
      <c r="D644" s="1307"/>
      <c r="E644" s="1307"/>
      <c r="F644" s="1307"/>
      <c r="I644" s="490"/>
    </row>
    <row r="645" spans="1:9">
      <c r="A645" s="484"/>
      <c r="B645" s="484"/>
      <c r="C645" s="487"/>
      <c r="D645" s="1307"/>
      <c r="E645" s="1307"/>
      <c r="F645" s="1307"/>
      <c r="I645" s="490"/>
    </row>
    <row r="646" spans="1:9">
      <c r="A646" s="487"/>
      <c r="B646" s="485" t="s">
        <v>2669</v>
      </c>
      <c r="C646" s="487"/>
      <c r="D646" s="1305" t="s">
        <v>1116</v>
      </c>
      <c r="E646" s="1305"/>
      <c r="F646" s="1305"/>
      <c r="I646" s="490"/>
    </row>
    <row r="647" spans="1:9">
      <c r="A647" s="487"/>
      <c r="B647" s="487"/>
      <c r="C647" s="487"/>
      <c r="D647" s="446"/>
      <c r="E647" s="446"/>
      <c r="F647" s="446"/>
      <c r="I647" s="490"/>
    </row>
    <row r="648" spans="1:9">
      <c r="A648" s="1314" t="s">
        <v>1058</v>
      </c>
      <c r="B648" s="1314"/>
      <c r="C648" s="1314"/>
      <c r="D648" s="1314"/>
      <c r="E648" s="1314"/>
      <c r="F648" s="1314"/>
      <c r="G648" s="1314"/>
      <c r="H648" s="1028"/>
      <c r="I648" s="1153"/>
    </row>
    <row r="649" spans="1:9">
      <c r="A649" s="446"/>
      <c r="B649" s="446"/>
      <c r="C649" s="487"/>
      <c r="D649" s="446"/>
      <c r="E649" s="446"/>
      <c r="F649" s="446"/>
      <c r="I649" s="490"/>
    </row>
    <row r="650" spans="1:9">
      <c r="C650" s="482"/>
      <c r="D650" s="1315" t="s">
        <v>1146</v>
      </c>
      <c r="E650" s="1315"/>
      <c r="F650" s="1315"/>
      <c r="I650" s="490"/>
    </row>
    <row r="651" spans="1:9">
      <c r="A651" s="483"/>
      <c r="B651" s="483"/>
      <c r="C651" s="483"/>
      <c r="D651" s="1305" t="s">
        <v>1147</v>
      </c>
      <c r="E651" s="1305"/>
      <c r="F651" s="1305"/>
      <c r="I651" s="490"/>
    </row>
    <row r="652" spans="1:9">
      <c r="A652" s="483"/>
      <c r="B652" s="483"/>
      <c r="C652" s="483"/>
      <c r="D652" s="446"/>
      <c r="E652" s="446"/>
      <c r="F652" s="446"/>
      <c r="I652" s="490"/>
    </row>
    <row r="653" spans="1:9" ht="12.75" customHeight="1">
      <c r="B653" s="485" t="s">
        <v>2669</v>
      </c>
      <c r="C653" s="487"/>
      <c r="D653" s="1307" t="s">
        <v>1281</v>
      </c>
      <c r="E653" s="1307"/>
      <c r="F653" s="1307"/>
      <c r="I653" s="490"/>
    </row>
    <row r="654" spans="1:9">
      <c r="D654" s="1307"/>
      <c r="E654" s="1307"/>
      <c r="F654" s="1307"/>
      <c r="I654" s="490"/>
    </row>
    <row r="655" spans="1:9">
      <c r="D655" s="1307"/>
      <c r="E655" s="1307"/>
      <c r="F655" s="1307"/>
      <c r="I655" s="490"/>
    </row>
    <row r="656" spans="1:9">
      <c r="D656" s="1307"/>
      <c r="E656" s="1307"/>
      <c r="F656" s="1307"/>
      <c r="I656" s="490"/>
    </row>
    <row r="657" spans="1:9" ht="14.5" customHeight="1">
      <c r="A657" s="484"/>
      <c r="B657" s="484"/>
      <c r="C657" s="487"/>
      <c r="D657" s="385"/>
      <c r="E657" s="385"/>
      <c r="F657" s="385"/>
      <c r="I657" s="490"/>
    </row>
    <row r="658" spans="1:9" ht="12.75" customHeight="1">
      <c r="A658" s="483"/>
      <c r="B658" s="485" t="s">
        <v>2668</v>
      </c>
      <c r="C658" s="487"/>
      <c r="D658" s="1307" t="s">
        <v>1283</v>
      </c>
      <c r="E658" s="1307"/>
      <c r="F658" s="1307"/>
      <c r="I658" s="490"/>
    </row>
    <row r="659" spans="1:9">
      <c r="A659" s="483"/>
      <c r="B659" s="484"/>
      <c r="C659" s="487"/>
      <c r="D659" s="1307"/>
      <c r="E659" s="1307"/>
      <c r="F659" s="1307"/>
      <c r="I659" s="490"/>
    </row>
    <row r="660" spans="1:9">
      <c r="A660" s="483"/>
      <c r="B660" s="484"/>
      <c r="C660" s="487"/>
      <c r="D660" s="1307"/>
      <c r="E660" s="1307"/>
      <c r="F660" s="1307"/>
      <c r="I660" s="490"/>
    </row>
    <row r="661" spans="1:9">
      <c r="A661" s="483"/>
      <c r="B661" s="484"/>
      <c r="C661" s="487"/>
      <c r="D661" s="1307"/>
      <c r="E661" s="1307"/>
      <c r="F661" s="1307"/>
      <c r="I661" s="490"/>
    </row>
    <row r="662" spans="1:9">
      <c r="A662" s="483"/>
      <c r="B662" s="484"/>
      <c r="C662" s="487"/>
      <c r="D662" s="1307"/>
      <c r="E662" s="1307"/>
      <c r="F662" s="1307"/>
      <c r="I662" s="490"/>
    </row>
    <row r="663" spans="1:9" ht="14.25" customHeight="1">
      <c r="A663" s="483"/>
      <c r="B663" s="484"/>
      <c r="C663" s="487"/>
      <c r="F663" s="386"/>
      <c r="I663" s="490"/>
    </row>
    <row r="664" spans="1:9" ht="12.75" customHeight="1">
      <c r="A664" s="483"/>
      <c r="B664" s="485" t="s">
        <v>2669</v>
      </c>
      <c r="C664" s="487"/>
      <c r="D664" s="1307" t="s">
        <v>1282</v>
      </c>
      <c r="E664" s="1307"/>
      <c r="F664" s="1307"/>
      <c r="I664" s="490"/>
    </row>
    <row r="665" spans="1:9">
      <c r="A665" s="483"/>
      <c r="B665" s="484"/>
      <c r="C665" s="487"/>
      <c r="D665" s="1307"/>
      <c r="E665" s="1307"/>
      <c r="F665" s="1307"/>
      <c r="I665" s="490"/>
    </row>
    <row r="666" spans="1:9">
      <c r="A666" s="484"/>
      <c r="B666" s="484"/>
      <c r="C666" s="487"/>
      <c r="D666" s="1307"/>
      <c r="E666" s="1307"/>
      <c r="F666" s="1307"/>
      <c r="I666" s="490"/>
    </row>
    <row r="667" spans="1:9">
      <c r="A667" s="484"/>
      <c r="B667" s="484"/>
      <c r="C667" s="487"/>
      <c r="D667" s="1307"/>
      <c r="E667" s="1307"/>
      <c r="F667" s="1307"/>
      <c r="I667" s="490"/>
    </row>
    <row r="668" spans="1:9">
      <c r="A668" s="484"/>
      <c r="B668" s="484"/>
      <c r="C668" s="487"/>
      <c r="D668" s="445"/>
      <c r="E668" s="445"/>
      <c r="F668" s="445"/>
      <c r="I668" s="490"/>
    </row>
    <row r="669" spans="1:9" ht="12.75" customHeight="1">
      <c r="A669" s="483"/>
      <c r="B669" s="485" t="s">
        <v>2669</v>
      </c>
      <c r="C669" s="487"/>
      <c r="D669" s="1307" t="s">
        <v>2066</v>
      </c>
      <c r="E669" s="1307"/>
      <c r="F669" s="1307"/>
      <c r="I669" s="490"/>
    </row>
    <row r="670" spans="1:9" ht="12.75" customHeight="1">
      <c r="A670" s="483"/>
      <c r="B670" s="484"/>
      <c r="C670" s="487"/>
      <c r="D670" s="1307"/>
      <c r="E670" s="1307"/>
      <c r="F670" s="1307"/>
      <c r="I670" s="490"/>
    </row>
    <row r="671" spans="1:9" ht="12.75" customHeight="1">
      <c r="A671" s="483"/>
      <c r="B671" s="484"/>
      <c r="C671" s="487"/>
      <c r="D671" s="1307"/>
      <c r="E671" s="1307"/>
      <c r="F671" s="1307"/>
      <c r="I671" s="490"/>
    </row>
    <row r="672" spans="1:9" ht="12.75" customHeight="1">
      <c r="A672" s="483"/>
      <c r="B672" s="484"/>
      <c r="C672" s="487"/>
      <c r="D672" s="1307"/>
      <c r="E672" s="1307"/>
      <c r="F672" s="1307"/>
      <c r="I672" s="490"/>
    </row>
    <row r="673" spans="1:11" ht="12.75" customHeight="1">
      <c r="A673" s="483"/>
      <c r="B673" s="484"/>
      <c r="C673" s="487"/>
      <c r="D673" s="1307"/>
      <c r="E673" s="1307"/>
      <c r="F673" s="1307"/>
      <c r="I673" s="490"/>
    </row>
    <row r="674" spans="1:11" ht="12.75" customHeight="1">
      <c r="A674" s="483"/>
      <c r="B674" s="484"/>
      <c r="C674" s="487"/>
      <c r="D674" s="1307"/>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c r="A678" s="487"/>
      <c r="B678" s="487"/>
      <c r="C678" s="487"/>
      <c r="D678" s="446"/>
      <c r="E678" s="446"/>
      <c r="F678" s="446"/>
      <c r="I678" s="490"/>
    </row>
    <row r="679" spans="1:11">
      <c r="A679" s="1314" t="s">
        <v>1059</v>
      </c>
      <c r="B679" s="1314"/>
      <c r="C679" s="1314"/>
      <c r="D679" s="1314"/>
      <c r="E679" s="1314"/>
      <c r="F679" s="1314"/>
      <c r="G679" s="1314"/>
      <c r="H679" s="1030"/>
      <c r="I679" s="1157"/>
      <c r="J679" s="501"/>
      <c r="K679" s="501"/>
    </row>
    <row r="680" spans="1:11">
      <c r="A680" s="448"/>
      <c r="B680" s="448"/>
      <c r="C680" s="448"/>
      <c r="D680" s="448"/>
      <c r="E680" s="448"/>
      <c r="F680" s="448"/>
      <c r="G680" s="448"/>
      <c r="H680" s="501"/>
      <c r="I680" s="483"/>
      <c r="J680" s="501"/>
      <c r="K680" s="501"/>
    </row>
    <row r="681" spans="1:11">
      <c r="C681" s="482"/>
      <c r="D681" s="1315" t="s">
        <v>99</v>
      </c>
      <c r="E681" s="1315"/>
      <c r="F681" s="1315"/>
      <c r="H681" s="501"/>
      <c r="I681" s="483"/>
      <c r="J681" s="501"/>
      <c r="K681" s="501"/>
    </row>
    <row r="682" spans="1:11">
      <c r="A682" s="482"/>
      <c r="B682" s="482"/>
      <c r="C682" s="482"/>
      <c r="D682" s="1315" t="s">
        <v>123</v>
      </c>
      <c r="E682" s="1315"/>
      <c r="F682" s="1315"/>
      <c r="H682" s="501"/>
      <c r="I682" s="483"/>
      <c r="J682" s="501"/>
      <c r="K682" s="501"/>
    </row>
    <row r="683" spans="1:11">
      <c r="A683" s="483"/>
      <c r="B683" s="483"/>
      <c r="C683" s="483"/>
      <c r="D683" s="1305" t="s">
        <v>1076</v>
      </c>
      <c r="E683" s="1305"/>
      <c r="F683" s="1305"/>
      <c r="H683" s="501"/>
      <c r="I683" s="483"/>
      <c r="J683" s="501"/>
      <c r="K683" s="501"/>
    </row>
    <row r="684" spans="1:11">
      <c r="A684" s="483"/>
      <c r="B684" s="483"/>
      <c r="C684" s="483"/>
      <c r="H684" s="501"/>
      <c r="I684" s="483"/>
      <c r="J684" s="501"/>
      <c r="K684" s="501"/>
    </row>
    <row r="685" spans="1:11">
      <c r="A685" s="484"/>
      <c r="B685" s="485" t="s">
        <v>307</v>
      </c>
      <c r="C685" s="483"/>
      <c r="D685" s="1305" t="s">
        <v>885</v>
      </c>
      <c r="E685" s="1305"/>
      <c r="F685" s="1305"/>
      <c r="H685" s="501"/>
      <c r="I685" s="483"/>
      <c r="J685" s="501"/>
      <c r="K685" s="501"/>
    </row>
    <row r="686" spans="1:11">
      <c r="A686" s="483"/>
      <c r="B686" s="483"/>
      <c r="C686" s="483"/>
      <c r="D686" s="1305" t="s">
        <v>894</v>
      </c>
      <c r="E686" s="1305"/>
      <c r="F686" s="130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2669</v>
      </c>
      <c r="C690" s="483"/>
      <c r="D690" s="1307" t="s">
        <v>2067</v>
      </c>
      <c r="E690" s="1307"/>
      <c r="F690" s="1307"/>
      <c r="H690" s="501"/>
      <c r="I690" s="483"/>
      <c r="J690" s="501"/>
      <c r="K690" s="501"/>
    </row>
    <row r="691" spans="1:11">
      <c r="A691" s="490"/>
      <c r="B691" s="490"/>
      <c r="C691" s="483"/>
      <c r="D691" s="1307"/>
      <c r="E691" s="1307"/>
      <c r="F691" s="1307"/>
      <c r="H691" s="501"/>
      <c r="I691" s="483"/>
      <c r="J691" s="501"/>
      <c r="K691" s="501"/>
    </row>
    <row r="692" spans="1:11">
      <c r="A692" s="483"/>
      <c r="B692" s="483"/>
      <c r="C692" s="483"/>
      <c r="D692" s="1307"/>
      <c r="E692" s="1307"/>
      <c r="F692" s="1307"/>
      <c r="H692" s="501"/>
      <c r="I692" s="483"/>
      <c r="J692" s="501"/>
      <c r="K692" s="501"/>
    </row>
    <row r="693" spans="1:11">
      <c r="A693" s="483"/>
      <c r="B693" s="483"/>
      <c r="C693" s="483"/>
      <c r="H693" s="501"/>
      <c r="J693" s="501"/>
      <c r="K693" s="501"/>
    </row>
    <row r="694" spans="1:11">
      <c r="A694" s="484"/>
      <c r="B694" s="485" t="s">
        <v>2668</v>
      </c>
      <c r="C694" s="483"/>
      <c r="D694" s="1305" t="s">
        <v>917</v>
      </c>
      <c r="E694" s="1305"/>
      <c r="F694" s="1305"/>
      <c r="H694" s="501"/>
      <c r="I694" s="483"/>
      <c r="J694" s="501"/>
      <c r="K694" s="501"/>
    </row>
    <row r="695" spans="1:11">
      <c r="A695" s="484"/>
      <c r="B695" s="484"/>
      <c r="C695" s="483"/>
      <c r="D695" s="1305" t="s">
        <v>894</v>
      </c>
      <c r="E695" s="1305"/>
      <c r="F695" s="130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2668</v>
      </c>
      <c r="C698" s="483"/>
      <c r="D698" s="1305" t="s">
        <v>2468</v>
      </c>
      <c r="E698" s="1305"/>
      <c r="F698" s="1305"/>
      <c r="H698" s="501"/>
      <c r="I698" s="483"/>
      <c r="J698" s="501"/>
      <c r="K698" s="501"/>
    </row>
    <row r="699" spans="1:11">
      <c r="A699" s="484"/>
      <c r="B699" s="484"/>
      <c r="C699" s="483"/>
      <c r="D699" s="1305" t="s">
        <v>894</v>
      </c>
      <c r="E699" s="1305"/>
      <c r="F699" s="130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2668</v>
      </c>
      <c r="C702" s="483"/>
      <c r="D702" s="1307" t="s">
        <v>2243</v>
      </c>
      <c r="E702" s="1307"/>
      <c r="F702" s="1307"/>
      <c r="H702" s="501"/>
      <c r="I702" s="483"/>
      <c r="J702" s="501"/>
      <c r="K702" s="501"/>
    </row>
    <row r="703" spans="1:11">
      <c r="A703" s="483"/>
      <c r="B703" s="483"/>
      <c r="C703" s="483"/>
      <c r="D703" s="1307"/>
      <c r="E703" s="1307"/>
      <c r="F703" s="1307"/>
      <c r="H703" s="501"/>
      <c r="I703" s="483"/>
      <c r="J703" s="501"/>
      <c r="K703" s="501"/>
    </row>
    <row r="704" spans="1:11">
      <c r="A704" s="483"/>
      <c r="B704" s="483"/>
      <c r="C704" s="483"/>
      <c r="D704" s="1307"/>
      <c r="E704" s="1307"/>
      <c r="F704" s="1307"/>
      <c r="H704" s="501"/>
      <c r="I704" s="483"/>
      <c r="J704" s="501"/>
      <c r="K704" s="501"/>
    </row>
    <row r="705" spans="1:11">
      <c r="A705" s="483"/>
      <c r="B705" s="483"/>
      <c r="C705" s="483"/>
      <c r="D705" s="1307"/>
      <c r="E705" s="1307"/>
      <c r="F705" s="1307"/>
      <c r="H705" s="501"/>
      <c r="I705" s="483"/>
      <c r="J705" s="501"/>
      <c r="K705" s="501"/>
    </row>
    <row r="706" spans="1:11">
      <c r="A706" s="483"/>
      <c r="B706" s="483"/>
      <c r="C706" s="483"/>
      <c r="D706" s="1307"/>
      <c r="E706" s="1307"/>
      <c r="F706" s="1307"/>
      <c r="H706" s="501"/>
      <c r="I706" s="483"/>
      <c r="J706" s="501"/>
      <c r="K706" s="501"/>
    </row>
    <row r="707" spans="1:11">
      <c r="A707" s="483"/>
      <c r="B707" s="483"/>
      <c r="C707" s="483"/>
      <c r="D707" s="1307"/>
      <c r="E707" s="1307"/>
      <c r="F707" s="1307"/>
      <c r="H707" s="501"/>
      <c r="I707" s="483"/>
      <c r="J707" s="501"/>
      <c r="K707" s="501"/>
    </row>
    <row r="708" spans="1:11">
      <c r="A708" s="483"/>
      <c r="B708" s="483"/>
      <c r="C708" s="483"/>
      <c r="D708" s="445"/>
      <c r="E708" s="445"/>
      <c r="F708" s="445"/>
      <c r="H708" s="501"/>
      <c r="I708" s="483"/>
      <c r="J708" s="501"/>
      <c r="K708" s="501"/>
    </row>
    <row r="709" spans="1:11">
      <c r="A709" s="483"/>
      <c r="B709" s="485" t="s">
        <v>2669</v>
      </c>
      <c r="C709" s="483"/>
      <c r="D709" s="1307" t="s">
        <v>1201</v>
      </c>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445"/>
      <c r="E711" s="445"/>
      <c r="F711" s="445"/>
      <c r="H711" s="501"/>
      <c r="I711" s="483"/>
      <c r="J711" s="501"/>
      <c r="K711" s="501"/>
    </row>
    <row r="712" spans="1:11">
      <c r="A712" s="484"/>
      <c r="B712" s="485" t="s">
        <v>2669</v>
      </c>
      <c r="C712" s="483"/>
      <c r="D712" s="1307" t="s">
        <v>1077</v>
      </c>
      <c r="E712" s="1307"/>
      <c r="F712" s="1307"/>
      <c r="H712" s="501"/>
      <c r="I712" s="483"/>
      <c r="J712" s="501"/>
      <c r="K712" s="501"/>
    </row>
    <row r="713" spans="1:11">
      <c r="A713" s="483"/>
      <c r="B713" s="483"/>
      <c r="C713" s="483"/>
      <c r="D713" s="1307"/>
      <c r="E713" s="1307"/>
      <c r="F713" s="1307"/>
      <c r="H713" s="501"/>
      <c r="I713" s="483"/>
      <c r="J713" s="501"/>
      <c r="K713" s="501"/>
    </row>
    <row r="714" spans="1:11">
      <c r="A714" s="483"/>
      <c r="B714" s="483"/>
      <c r="C714" s="483"/>
      <c r="D714" s="1307"/>
      <c r="E714" s="1307"/>
      <c r="F714" s="1307"/>
      <c r="H714" s="501"/>
      <c r="I714" s="483"/>
      <c r="J714" s="501"/>
      <c r="K714" s="501"/>
    </row>
    <row r="715" spans="1:11" ht="15" customHeight="1">
      <c r="A715" s="483"/>
      <c r="B715" s="483"/>
      <c r="C715" s="483"/>
      <c r="D715" s="1307"/>
      <c r="E715" s="1307"/>
      <c r="F715" s="1307"/>
      <c r="H715" s="501"/>
      <c r="I715" s="483"/>
      <c r="J715" s="501"/>
      <c r="K715" s="501"/>
    </row>
    <row r="716" spans="1:11" ht="15" customHeight="1">
      <c r="A716" s="483"/>
      <c r="B716" s="483"/>
      <c r="C716" s="483"/>
      <c r="D716" s="1307"/>
      <c r="E716" s="1307"/>
      <c r="F716" s="1307"/>
      <c r="H716" s="501"/>
      <c r="I716" s="483"/>
      <c r="J716" s="501"/>
      <c r="K716" s="501"/>
    </row>
    <row r="717" spans="1:11">
      <c r="A717" s="483"/>
      <c r="B717" s="483"/>
      <c r="C717" s="483"/>
      <c r="D717" s="1307"/>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c r="A725" s="483"/>
      <c r="B725" s="485" t="s">
        <v>2669</v>
      </c>
      <c r="C725" s="483"/>
      <c r="D725" s="1307" t="s">
        <v>2461</v>
      </c>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445"/>
      <c r="E728" s="445"/>
      <c r="F728" s="445"/>
      <c r="H728" s="501"/>
      <c r="I728" s="483"/>
      <c r="J728" s="501"/>
      <c r="K728" s="501"/>
    </row>
    <row r="729" spans="1:11">
      <c r="A729" s="483"/>
      <c r="B729" s="485" t="s">
        <v>2669</v>
      </c>
      <c r="C729" s="483"/>
      <c r="D729" s="1307" t="s">
        <v>2460</v>
      </c>
      <c r="E729" s="1307"/>
      <c r="F729" s="1307"/>
      <c r="H729" s="501"/>
      <c r="I729" s="483"/>
      <c r="J729" s="501"/>
      <c r="K729" s="501"/>
    </row>
    <row r="730" spans="1:11">
      <c r="A730" s="483"/>
      <c r="B730" s="483"/>
      <c r="C730" s="483"/>
      <c r="D730" s="1307"/>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H732" s="501"/>
      <c r="I732" s="483"/>
      <c r="J732" s="501"/>
      <c r="K732" s="501"/>
    </row>
    <row r="733" spans="1:11">
      <c r="A733" s="483"/>
      <c r="B733" s="485" t="s">
        <v>2669</v>
      </c>
      <c r="C733" s="483"/>
      <c r="D733" s="1307" t="s">
        <v>2459</v>
      </c>
      <c r="E733" s="1307"/>
      <c r="F733" s="1307"/>
      <c r="H733" s="501"/>
      <c r="I733" s="483"/>
      <c r="J733" s="501"/>
      <c r="K733" s="501"/>
    </row>
    <row r="734" spans="1:11">
      <c r="A734" s="483"/>
      <c r="B734" s="483"/>
      <c r="C734" s="483"/>
      <c r="D734" s="1307"/>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4"/>
      <c r="B738" s="485" t="s">
        <v>2669</v>
      </c>
      <c r="C738" s="483"/>
      <c r="D738" s="1307" t="s">
        <v>1078</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D742" s="1307"/>
      <c r="E742" s="1307"/>
      <c r="F742" s="1307"/>
      <c r="H742" s="501"/>
      <c r="I742" s="483"/>
      <c r="J742" s="501"/>
      <c r="K742" s="501"/>
    </row>
    <row r="743" spans="1:11">
      <c r="A743" s="483"/>
      <c r="B743" s="483"/>
      <c r="C743" s="483"/>
      <c r="D743" s="492"/>
      <c r="H743" s="501"/>
      <c r="I743" s="483"/>
      <c r="J743" s="501"/>
      <c r="K743" s="501"/>
    </row>
    <row r="744" spans="1:11">
      <c r="A744" s="484"/>
      <c r="B744" s="485" t="s">
        <v>2669</v>
      </c>
      <c r="C744" s="483"/>
      <c r="D744" s="1307" t="s">
        <v>2145</v>
      </c>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1307"/>
      <c r="E748" s="1307"/>
      <c r="F748" s="1307"/>
      <c r="H748" s="501"/>
      <c r="I748" s="483"/>
      <c r="J748" s="501"/>
      <c r="K748" s="501"/>
    </row>
    <row r="749" spans="1:11">
      <c r="A749" s="483"/>
      <c r="B749" s="483"/>
      <c r="C749" s="483"/>
      <c r="D749" s="1307"/>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8" t="s">
        <v>2074</v>
      </c>
      <c r="E751" s="1308"/>
      <c r="F751" s="1308"/>
      <c r="H751" s="501"/>
      <c r="I751" s="483"/>
      <c r="J751" s="501"/>
      <c r="K751" s="501"/>
    </row>
    <row r="752" spans="1:11">
      <c r="A752" s="483"/>
      <c r="B752" s="483"/>
      <c r="C752" s="483"/>
      <c r="D752" s="341"/>
      <c r="H752" s="501"/>
      <c r="I752" s="483"/>
      <c r="J752" s="501"/>
      <c r="K752" s="501"/>
    </row>
    <row r="753" spans="1:11">
      <c r="A753" s="1306" t="s">
        <v>1060</v>
      </c>
      <c r="B753" s="1306"/>
      <c r="C753" s="1306"/>
      <c r="D753" s="1306"/>
      <c r="E753" s="1306"/>
      <c r="F753" s="1306"/>
      <c r="G753" s="1306"/>
      <c r="H753" s="1030"/>
      <c r="I753" s="1157"/>
      <c r="J753" s="501"/>
      <c r="K753" s="501"/>
    </row>
    <row r="754" spans="1:11">
      <c r="A754" s="483"/>
      <c r="B754" s="483"/>
      <c r="C754" s="483"/>
      <c r="D754" s="492"/>
      <c r="G754" s="501"/>
      <c r="H754" s="501"/>
      <c r="I754" s="483"/>
      <c r="J754" s="501"/>
      <c r="K754" s="501"/>
    </row>
    <row r="755" spans="1:11" ht="13.75" customHeight="1">
      <c r="C755" s="483"/>
      <c r="D755" s="1323" t="s">
        <v>1070</v>
      </c>
      <c r="E755" s="1323"/>
      <c r="F755" s="1323"/>
      <c r="G755" s="501"/>
      <c r="H755" s="501"/>
      <c r="I755" s="483"/>
      <c r="J755" s="501"/>
      <c r="K755" s="501"/>
    </row>
    <row r="756" spans="1:11">
      <c r="A756" s="483"/>
      <c r="B756" s="483"/>
      <c r="C756" s="483"/>
      <c r="D756" s="1309" t="s">
        <v>1071</v>
      </c>
      <c r="E756" s="1309"/>
      <c r="F756" s="1309"/>
      <c r="G756" s="501"/>
      <c r="H756" s="501"/>
      <c r="I756" s="483"/>
      <c r="J756" s="501"/>
      <c r="K756" s="501"/>
    </row>
    <row r="757" spans="1:11">
      <c r="A757" s="483"/>
      <c r="B757" s="483"/>
      <c r="C757" s="483"/>
      <c r="G757" s="501"/>
      <c r="H757" s="501"/>
      <c r="I757" s="483"/>
      <c r="J757" s="501"/>
      <c r="K757" s="501"/>
    </row>
    <row r="758" spans="1:11">
      <c r="A758" s="484"/>
      <c r="B758" s="485" t="s">
        <v>2668</v>
      </c>
      <c r="D758" s="1307" t="s">
        <v>1072</v>
      </c>
      <c r="E758" s="1307"/>
      <c r="F758" s="1307"/>
      <c r="G758" s="501"/>
      <c r="H758" s="501"/>
      <c r="I758" s="483"/>
      <c r="J758" s="501"/>
      <c r="K758" s="501"/>
    </row>
    <row r="759" spans="1:11" ht="10.5" customHeight="1">
      <c r="D759" s="1307"/>
      <c r="E759" s="1307"/>
      <c r="F759" s="1307"/>
      <c r="G759" s="501"/>
      <c r="H759" s="501"/>
      <c r="I759" s="483"/>
      <c r="J759" s="501"/>
      <c r="K759" s="501"/>
    </row>
    <row r="760" spans="1:11">
      <c r="D760" s="1307"/>
      <c r="E760" s="1307"/>
      <c r="F760" s="1307"/>
      <c r="G760" s="501"/>
      <c r="H760" s="501"/>
      <c r="I760" s="483"/>
      <c r="J760" s="501"/>
      <c r="K760" s="501"/>
    </row>
    <row r="761" spans="1:11">
      <c r="D761" s="1307"/>
      <c r="E761" s="1307"/>
      <c r="F761" s="1307"/>
      <c r="G761" s="501"/>
      <c r="H761" s="501"/>
      <c r="I761" s="483"/>
      <c r="J761" s="501"/>
      <c r="K761" s="501"/>
    </row>
    <row r="762" spans="1:11">
      <c r="D762" s="1307"/>
      <c r="E762" s="1307"/>
      <c r="F762" s="1307"/>
      <c r="G762" s="501"/>
      <c r="H762" s="501"/>
      <c r="I762" s="483"/>
      <c r="J762" s="501"/>
      <c r="K762" s="501"/>
    </row>
    <row r="763" spans="1:11" ht="15.5" customHeight="1">
      <c r="D763" s="1307"/>
      <c r="E763" s="1307"/>
      <c r="F763" s="1307"/>
      <c r="G763" s="501"/>
      <c r="H763" s="501"/>
      <c r="I763" s="483"/>
      <c r="J763" s="501"/>
      <c r="K763" s="501"/>
    </row>
    <row r="764" spans="1:11">
      <c r="D764" s="499"/>
      <c r="E764" s="446"/>
      <c r="F764" s="446"/>
      <c r="G764" s="501"/>
      <c r="H764" s="501"/>
      <c r="I764" s="483"/>
      <c r="J764" s="501"/>
      <c r="K764" s="501"/>
    </row>
    <row r="765" spans="1:11" s="505" customFormat="1">
      <c r="A765" s="503"/>
      <c r="B765" s="485" t="s">
        <v>2669</v>
      </c>
      <c r="C765" s="504"/>
      <c r="D765" s="1307" t="s">
        <v>1241</v>
      </c>
      <c r="E765" s="1307"/>
      <c r="F765" s="1307"/>
      <c r="I765" s="1158"/>
    </row>
    <row r="766" spans="1:11" s="505" customFormat="1">
      <c r="A766" s="504"/>
      <c r="B766" s="504"/>
      <c r="C766" s="504"/>
      <c r="D766" s="1307"/>
      <c r="E766" s="1307"/>
      <c r="F766" s="1307"/>
      <c r="I766" s="1158"/>
    </row>
    <row r="767" spans="1:11" s="505" customFormat="1">
      <c r="A767" s="504"/>
      <c r="B767" s="504"/>
      <c r="C767" s="504"/>
      <c r="D767" s="1307"/>
      <c r="E767" s="1307"/>
      <c r="F767" s="1307"/>
      <c r="I767" s="1158"/>
    </row>
    <row r="768" spans="1:11" s="505" customFormat="1">
      <c r="A768" s="504"/>
      <c r="B768" s="504"/>
      <c r="C768" s="504"/>
      <c r="D768" s="1307"/>
      <c r="E768" s="1307"/>
      <c r="F768" s="1307"/>
      <c r="I768" s="1158"/>
    </row>
    <row r="769" spans="1:11" s="505" customFormat="1">
      <c r="A769" s="504"/>
      <c r="B769" s="504"/>
      <c r="C769" s="504"/>
      <c r="D769" s="499"/>
      <c r="I769" s="1158"/>
    </row>
    <row r="770" spans="1:11" s="505" customFormat="1">
      <c r="A770" s="484"/>
      <c r="B770" s="485" t="s">
        <v>2668</v>
      </c>
      <c r="C770" s="504"/>
      <c r="D770" s="1313" t="s">
        <v>1242</v>
      </c>
      <c r="E770" s="1313"/>
      <c r="F770" s="1313"/>
      <c r="I770" s="1158"/>
    </row>
    <row r="771" spans="1:11" s="505" customFormat="1">
      <c r="A771" s="504"/>
      <c r="B771" s="504"/>
      <c r="C771" s="504"/>
      <c r="D771" s="1313"/>
      <c r="E771" s="1313"/>
      <c r="F771" s="1313"/>
      <c r="I771" s="1158"/>
    </row>
    <row r="772" spans="1:11" s="505" customFormat="1">
      <c r="A772" s="504"/>
      <c r="B772" s="504"/>
      <c r="C772" s="504"/>
      <c r="D772" s="1313"/>
      <c r="E772" s="1313"/>
      <c r="F772" s="1313"/>
      <c r="I772" s="1158"/>
    </row>
    <row r="773" spans="1:11">
      <c r="D773" s="499"/>
      <c r="E773" s="446"/>
      <c r="F773" s="446"/>
      <c r="G773" s="501"/>
      <c r="H773" s="501"/>
      <c r="I773" s="483"/>
      <c r="J773" s="501"/>
      <c r="K773" s="501"/>
    </row>
    <row r="774" spans="1:11">
      <c r="A774" s="484"/>
      <c r="B774" s="485" t="s">
        <v>2669</v>
      </c>
      <c r="D774" s="1307" t="s">
        <v>1198</v>
      </c>
      <c r="E774" s="1307"/>
      <c r="F774" s="1307"/>
      <c r="G774" s="501"/>
      <c r="H774" s="501"/>
      <c r="I774" s="483"/>
      <c r="J774" s="501"/>
      <c r="K774" s="501"/>
    </row>
    <row r="775" spans="1:11">
      <c r="D775" s="1307"/>
      <c r="E775" s="1307"/>
      <c r="F775" s="1307"/>
      <c r="G775" s="501"/>
      <c r="H775" s="501"/>
      <c r="I775" s="483"/>
      <c r="J775" s="501"/>
      <c r="K775" s="501"/>
    </row>
    <row r="776" spans="1:11">
      <c r="D776" s="445"/>
      <c r="E776" s="445"/>
      <c r="F776" s="445"/>
      <c r="G776" s="501"/>
      <c r="H776" s="501"/>
      <c r="I776" s="483"/>
      <c r="J776" s="501"/>
      <c r="K776" s="501"/>
    </row>
    <row r="777" spans="1:11">
      <c r="B777" s="485" t="s">
        <v>2669</v>
      </c>
      <c r="D777" s="1307" t="s">
        <v>1215</v>
      </c>
      <c r="E777" s="1307"/>
      <c r="F777" s="1307"/>
      <c r="G777" s="501"/>
      <c r="H777" s="501"/>
      <c r="I777" s="483"/>
      <c r="J777" s="501"/>
      <c r="K777" s="501"/>
    </row>
    <row r="778" spans="1:11">
      <c r="D778" s="1307"/>
      <c r="E778" s="1307"/>
      <c r="F778" s="1307"/>
      <c r="G778" s="501"/>
      <c r="H778" s="501"/>
      <c r="I778" s="483"/>
      <c r="J778" s="501"/>
      <c r="K778" s="501"/>
    </row>
    <row r="779" spans="1:11">
      <c r="D779" s="1307"/>
      <c r="E779" s="1307"/>
      <c r="F779" s="1307"/>
      <c r="G779" s="501"/>
      <c r="H779" s="501"/>
      <c r="I779" s="483"/>
      <c r="J779" s="501"/>
      <c r="K779" s="501"/>
    </row>
    <row r="780" spans="1:11">
      <c r="D780" s="445"/>
      <c r="E780" s="445"/>
      <c r="F780" s="445"/>
      <c r="G780" s="501"/>
      <c r="H780" s="501"/>
      <c r="I780" s="483"/>
      <c r="J780" s="501"/>
      <c r="K780" s="501"/>
    </row>
    <row r="781" spans="1:11">
      <c r="A781" s="1322" t="s">
        <v>1801</v>
      </c>
      <c r="B781" s="1322"/>
      <c r="C781" s="1322"/>
      <c r="D781" s="1322"/>
      <c r="E781" s="1322"/>
      <c r="F781" s="1322"/>
      <c r="G781" s="1322"/>
      <c r="H781" s="1028"/>
      <c r="I781" s="1153"/>
    </row>
    <row r="782" spans="1:11">
      <c r="A782" s="57"/>
      <c r="B782" s="57"/>
      <c r="C782" s="354"/>
      <c r="D782" s="3"/>
      <c r="E782" s="3"/>
      <c r="F782" s="3"/>
      <c r="G782" s="3"/>
      <c r="I782" s="490"/>
    </row>
    <row r="783" spans="1:11">
      <c r="A783" s="57"/>
      <c r="B783" s="57"/>
      <c r="C783" s="354"/>
      <c r="D783" s="1321" t="s">
        <v>1854</v>
      </c>
      <c r="E783" s="1321"/>
      <c r="F783" s="1321"/>
      <c r="G783" s="3"/>
      <c r="I783" s="490"/>
    </row>
    <row r="784" spans="1:11">
      <c r="A784" s="57"/>
      <c r="B784" s="57"/>
      <c r="C784" s="354"/>
      <c r="D784" s="1324" t="s">
        <v>1755</v>
      </c>
      <c r="E784" s="1324"/>
      <c r="F784" s="1324"/>
      <c r="G784" s="3"/>
      <c r="I784" s="490"/>
    </row>
    <row r="785" spans="1:9">
      <c r="A785" s="57"/>
      <c r="B785" s="57"/>
      <c r="C785" s="354"/>
      <c r="D785" s="447"/>
      <c r="E785" s="447"/>
      <c r="F785" s="447"/>
      <c r="G785" s="3"/>
      <c r="I785" s="490"/>
    </row>
    <row r="786" spans="1:9">
      <c r="A786" s="57"/>
      <c r="B786" s="485" t="s">
        <v>2668</v>
      </c>
      <c r="C786" s="354"/>
      <c r="D786" s="1300" t="s">
        <v>1756</v>
      </c>
      <c r="E786" s="1300"/>
      <c r="F786" s="1300"/>
      <c r="G786" s="3"/>
      <c r="I786" s="483"/>
    </row>
    <row r="787" spans="1:9">
      <c r="A787" s="57"/>
      <c r="B787" s="57"/>
      <c r="C787" s="354"/>
      <c r="D787" s="1300"/>
      <c r="E787" s="1300"/>
      <c r="F787" s="1300"/>
      <c r="G787" s="3"/>
      <c r="I787" s="490"/>
    </row>
    <row r="788" spans="1:9">
      <c r="A788" s="174"/>
      <c r="B788" s="174"/>
      <c r="C788" s="174"/>
      <c r="D788" s="1300"/>
      <c r="E788" s="1300"/>
      <c r="F788" s="1300"/>
      <c r="G788" s="118"/>
      <c r="I788" s="490"/>
    </row>
    <row r="789" spans="1:9">
      <c r="A789" s="354"/>
      <c r="B789" s="354"/>
      <c r="C789" s="354"/>
      <c r="D789" s="173"/>
      <c r="E789" s="3"/>
      <c r="F789" s="3"/>
      <c r="G789" s="3"/>
      <c r="I789" s="490"/>
    </row>
    <row r="790" spans="1:9">
      <c r="A790" s="172"/>
      <c r="B790" s="485" t="s">
        <v>2669</v>
      </c>
      <c r="C790" s="172"/>
      <c r="D790" s="1300" t="s">
        <v>1757</v>
      </c>
      <c r="E790" s="1300"/>
      <c r="F790" s="1300"/>
      <c r="G790" s="3"/>
      <c r="I790" s="483"/>
    </row>
    <row r="791" spans="1:9">
      <c r="A791" s="172"/>
      <c r="B791" s="172"/>
      <c r="C791" s="172"/>
      <c r="D791" s="1300"/>
      <c r="E791" s="1300"/>
      <c r="F791" s="1300"/>
      <c r="G791" s="3"/>
      <c r="I791" s="490"/>
    </row>
    <row r="792" spans="1:9">
      <c r="A792" s="172"/>
      <c r="B792" s="172"/>
      <c r="C792" s="172"/>
      <c r="D792" s="1300"/>
      <c r="E792" s="1300"/>
      <c r="F792" s="1300"/>
      <c r="G792" s="3"/>
      <c r="I792" s="490"/>
    </row>
    <row r="793" spans="1:9">
      <c r="A793" s="174"/>
      <c r="B793" s="174"/>
      <c r="C793" s="174"/>
      <c r="D793" s="3"/>
      <c r="E793" s="988"/>
      <c r="F793" s="988"/>
      <c r="G793" s="988"/>
      <c r="I793" s="490"/>
    </row>
    <row r="794" spans="1:9">
      <c r="A794" s="175"/>
      <c r="B794" s="485" t="s">
        <v>2669</v>
      </c>
      <c r="C794" s="989"/>
      <c r="D794" s="1300" t="s">
        <v>1758</v>
      </c>
      <c r="E794" s="1300"/>
      <c r="F794" s="1300"/>
      <c r="G794" s="988"/>
      <c r="I794" s="483"/>
    </row>
    <row r="795" spans="1:9">
      <c r="A795" s="175"/>
      <c r="B795" s="175"/>
      <c r="C795" s="989"/>
      <c r="D795" s="1300"/>
      <c r="E795" s="1300"/>
      <c r="F795" s="1300"/>
      <c r="G795" s="988"/>
      <c r="I795" s="490"/>
    </row>
    <row r="796" spans="1:9">
      <c r="A796" s="175"/>
      <c r="B796" s="175"/>
      <c r="C796" s="989"/>
      <c r="D796" s="1300"/>
      <c r="E796" s="1300"/>
      <c r="F796" s="1300"/>
      <c r="G796" s="988"/>
      <c r="I796" s="490"/>
    </row>
    <row r="797" spans="1:9">
      <c r="A797" s="175"/>
      <c r="B797" s="175"/>
      <c r="C797" s="989"/>
      <c r="D797" s="118"/>
      <c r="E797" s="3"/>
      <c r="F797" s="3"/>
      <c r="G797" s="988"/>
      <c r="I797" s="490"/>
    </row>
    <row r="798" spans="1:9">
      <c r="A798" s="175"/>
      <c r="B798" s="485" t="s">
        <v>2669</v>
      </c>
      <c r="C798" s="989"/>
      <c r="D798" s="1300" t="s">
        <v>1759</v>
      </c>
      <c r="E798" s="1300"/>
      <c r="F798" s="1300"/>
      <c r="G798" s="988"/>
      <c r="I798" s="483"/>
    </row>
    <row r="799" spans="1:9">
      <c r="A799" s="175"/>
      <c r="B799" s="175"/>
      <c r="C799" s="989"/>
      <c r="D799" s="1300"/>
      <c r="E799" s="1300"/>
      <c r="F799" s="1300"/>
      <c r="G799" s="988"/>
      <c r="I799" s="490"/>
    </row>
    <row r="800" spans="1:9">
      <c r="A800" s="175"/>
      <c r="B800" s="175"/>
      <c r="C800" s="989"/>
      <c r="D800" s="1300"/>
      <c r="E800" s="1300"/>
      <c r="F800" s="1300"/>
      <c r="G800" s="988"/>
      <c r="I800" s="490"/>
    </row>
    <row r="801" spans="1:9">
      <c r="A801" s="175"/>
      <c r="B801" s="175"/>
      <c r="C801" s="989"/>
      <c r="D801" s="1300"/>
      <c r="E801" s="1300"/>
      <c r="F801" s="1300"/>
      <c r="G801" s="988"/>
      <c r="I801" s="490"/>
    </row>
    <row r="802" spans="1:9">
      <c r="A802" s="175"/>
      <c r="B802" s="175"/>
      <c r="C802" s="989"/>
      <c r="D802" s="1300"/>
      <c r="E802" s="1300"/>
      <c r="F802" s="1300"/>
      <c r="G802" s="988"/>
      <c r="I802" s="490"/>
    </row>
    <row r="803" spans="1:9">
      <c r="A803" s="175"/>
      <c r="B803" s="175"/>
      <c r="C803" s="989"/>
      <c r="D803" s="1300"/>
      <c r="E803" s="1300"/>
      <c r="F803" s="1300"/>
      <c r="G803" s="988"/>
      <c r="I803" s="490"/>
    </row>
    <row r="804" spans="1:9">
      <c r="A804" s="175"/>
      <c r="B804" s="175"/>
      <c r="C804" s="989"/>
      <c r="D804" s="1300" t="s">
        <v>1802</v>
      </c>
      <c r="E804" s="1300"/>
      <c r="F804" s="1300"/>
      <c r="G804" s="988"/>
      <c r="I804" s="490"/>
    </row>
    <row r="805" spans="1:9">
      <c r="A805" s="175"/>
      <c r="B805" s="175"/>
      <c r="C805" s="989"/>
      <c r="D805" s="1300"/>
      <c r="E805" s="1300"/>
      <c r="F805" s="1300"/>
      <c r="G805" s="988"/>
      <c r="I805" s="490"/>
    </row>
    <row r="806" spans="1:9">
      <c r="A806" s="175"/>
      <c r="B806" s="175"/>
      <c r="C806" s="989"/>
      <c r="D806" s="1300"/>
      <c r="E806" s="1300"/>
      <c r="F806" s="1300"/>
      <c r="G806" s="988"/>
      <c r="I806" s="490"/>
    </row>
    <row r="807" spans="1:9">
      <c r="A807" s="175"/>
      <c r="B807" s="354"/>
      <c r="C807" s="989"/>
      <c r="D807" s="990"/>
      <c r="E807" s="990"/>
      <c r="F807" s="990"/>
      <c r="G807" s="988"/>
      <c r="I807" s="490"/>
    </row>
    <row r="808" spans="1:9">
      <c r="A808" s="175"/>
      <c r="B808" s="485" t="s">
        <v>2669</v>
      </c>
      <c r="C808" s="989"/>
      <c r="D808" s="1300" t="s">
        <v>1760</v>
      </c>
      <c r="E808" s="1300"/>
      <c r="F808" s="1300"/>
      <c r="G808" s="988"/>
      <c r="I808" s="483"/>
    </row>
    <row r="809" spans="1:9">
      <c r="A809" s="175"/>
      <c r="B809" s="175"/>
      <c r="C809" s="989"/>
      <c r="D809" s="1300"/>
      <c r="E809" s="1300"/>
      <c r="F809" s="1300"/>
      <c r="G809" s="988"/>
      <c r="I809" s="490"/>
    </row>
    <row r="810" spans="1:9">
      <c r="A810" s="175"/>
      <c r="B810" s="175"/>
      <c r="C810" s="989"/>
      <c r="D810" s="1300"/>
      <c r="E810" s="1300"/>
      <c r="F810" s="1300"/>
      <c r="G810" s="988"/>
      <c r="I810" s="490"/>
    </row>
    <row r="811" spans="1:9">
      <c r="A811" s="175"/>
      <c r="B811" s="175"/>
      <c r="C811" s="989"/>
      <c r="D811" s="1300"/>
      <c r="E811" s="1300"/>
      <c r="F811" s="1300"/>
      <c r="G811" s="988"/>
      <c r="I811" s="490"/>
    </row>
    <row r="812" spans="1:9">
      <c r="A812" s="175"/>
      <c r="B812" s="175"/>
      <c r="C812" s="989"/>
      <c r="D812" s="1300"/>
      <c r="E812" s="1300"/>
      <c r="F812" s="1300"/>
      <c r="G812" s="988"/>
      <c r="I812" s="490"/>
    </row>
    <row r="813" spans="1:9">
      <c r="A813" s="175"/>
      <c r="B813" s="175"/>
      <c r="C813" s="989"/>
      <c r="D813" s="1300"/>
      <c r="E813" s="1300"/>
      <c r="F813" s="1300"/>
      <c r="G813" s="988"/>
      <c r="I813" s="490"/>
    </row>
    <row r="814" spans="1:9">
      <c r="A814" s="175"/>
      <c r="B814" s="175"/>
      <c r="C814" s="989"/>
      <c r="D814" s="982"/>
      <c r="E814" s="982"/>
      <c r="F814" s="982"/>
      <c r="G814" s="988"/>
      <c r="I814" s="490"/>
    </row>
    <row r="815" spans="1:9">
      <c r="A815" s="175"/>
      <c r="B815" s="485" t="s">
        <v>2669</v>
      </c>
      <c r="C815" s="989"/>
      <c r="D815" s="1300" t="s">
        <v>1761</v>
      </c>
      <c r="E815" s="1300"/>
      <c r="F815" s="1300"/>
      <c r="G815" s="988"/>
      <c r="I815" s="483"/>
    </row>
    <row r="816" spans="1:9">
      <c r="A816" s="175"/>
      <c r="B816" s="175"/>
      <c r="C816" s="989"/>
      <c r="D816" s="1300"/>
      <c r="E816" s="1300"/>
      <c r="F816" s="1300"/>
      <c r="G816" s="988"/>
      <c r="I816" s="490"/>
    </row>
    <row r="817" spans="1:9">
      <c r="A817" s="175"/>
      <c r="B817" s="175"/>
      <c r="C817" s="989"/>
      <c r="D817" s="1300"/>
      <c r="E817" s="1300"/>
      <c r="F817" s="1300"/>
      <c r="G817" s="988"/>
      <c r="I817" s="490"/>
    </row>
    <row r="818" spans="1:9">
      <c r="A818" s="175"/>
      <c r="B818" s="175"/>
      <c r="C818" s="989"/>
      <c r="D818" s="1300"/>
      <c r="E818" s="1300"/>
      <c r="F818" s="1300"/>
      <c r="G818" s="988"/>
      <c r="I818" s="490"/>
    </row>
    <row r="819" spans="1:9">
      <c r="A819" s="175"/>
      <c r="B819" s="175"/>
      <c r="C819" s="989"/>
      <c r="D819" s="1300"/>
      <c r="E819" s="1300"/>
      <c r="F819" s="1300"/>
      <c r="G819" s="988"/>
      <c r="I819" s="490"/>
    </row>
    <row r="820" spans="1:9">
      <c r="A820" s="175"/>
      <c r="B820" s="175"/>
      <c r="C820" s="989"/>
      <c r="D820" s="1300"/>
      <c r="E820" s="1300"/>
      <c r="F820" s="1300"/>
      <c r="G820" s="988"/>
      <c r="I820" s="490"/>
    </row>
    <row r="821" spans="1:9">
      <c r="A821" s="175"/>
      <c r="B821" s="175"/>
      <c r="C821" s="989"/>
      <c r="D821" s="982"/>
      <c r="E821" s="982"/>
      <c r="F821" s="982"/>
      <c r="G821" s="988"/>
      <c r="I821" s="490"/>
    </row>
    <row r="822" spans="1:9">
      <c r="A822" s="175"/>
      <c r="B822" s="485" t="s">
        <v>2669</v>
      </c>
      <c r="C822" s="989"/>
      <c r="D822" s="1295" t="s">
        <v>1762</v>
      </c>
      <c r="E822" s="1295"/>
      <c r="F822" s="1295"/>
      <c r="G822" s="988"/>
      <c r="I822" s="483"/>
    </row>
    <row r="823" spans="1:9">
      <c r="A823" s="175"/>
      <c r="B823" s="175"/>
      <c r="C823" s="989"/>
      <c r="D823" s="1295"/>
      <c r="E823" s="1295"/>
      <c r="F823" s="1295"/>
      <c r="G823" s="988"/>
      <c r="I823" s="490"/>
    </row>
    <row r="824" spans="1:9">
      <c r="A824" s="13"/>
      <c r="B824" s="13"/>
      <c r="C824" s="989"/>
      <c r="D824" s="1295"/>
      <c r="E824" s="1295"/>
      <c r="F824" s="1295"/>
      <c r="G824" s="988"/>
      <c r="I824" s="490"/>
    </row>
    <row r="825" spans="1:9">
      <c r="A825" s="175"/>
      <c r="B825" s="13"/>
      <c r="C825" s="989"/>
      <c r="D825" s="1295"/>
      <c r="E825" s="1295"/>
      <c r="F825" s="1295"/>
      <c r="G825" s="988"/>
      <c r="I825" s="490"/>
    </row>
    <row r="826" spans="1:9" ht="12.75" customHeight="1">
      <c r="A826" s="175"/>
      <c r="B826" s="13"/>
      <c r="C826" s="989"/>
      <c r="D826" s="1295"/>
      <c r="E826" s="1295"/>
      <c r="F826" s="1295"/>
      <c r="G826" s="988"/>
      <c r="I826" s="490"/>
    </row>
    <row r="827" spans="1:9" ht="12.75" customHeight="1">
      <c r="A827" s="175"/>
      <c r="B827" s="13"/>
      <c r="C827" s="989"/>
      <c r="D827" s="1295"/>
      <c r="E827" s="1295"/>
      <c r="F827" s="1295"/>
      <c r="G827" s="988"/>
      <c r="I827" s="490"/>
    </row>
    <row r="828" spans="1:9" ht="12.75" customHeight="1">
      <c r="A828" s="13"/>
      <c r="B828" s="13"/>
      <c r="C828" s="989"/>
      <c r="D828" s="988"/>
      <c r="E828" s="3"/>
      <c r="F828" s="3"/>
      <c r="G828" s="988"/>
      <c r="I828" s="490"/>
    </row>
    <row r="829" spans="1:9" ht="12.75" customHeight="1">
      <c r="A829" s="1291" t="s">
        <v>1763</v>
      </c>
      <c r="B829" s="1291"/>
      <c r="C829" s="1291"/>
      <c r="D829" s="1291"/>
      <c r="E829" s="1291"/>
      <c r="F829" s="1291"/>
      <c r="G829" s="1291"/>
      <c r="H829" s="1028"/>
      <c r="I829" s="1153"/>
    </row>
    <row r="830" spans="1:9" ht="12.75" customHeight="1">
      <c r="A830" s="172"/>
      <c r="B830" s="172"/>
      <c r="C830" s="989"/>
      <c r="D830" s="988"/>
      <c r="E830" s="988"/>
      <c r="F830" s="988"/>
      <c r="G830" s="988"/>
      <c r="I830" s="490"/>
    </row>
    <row r="831" spans="1:9" ht="12.75" customHeight="1">
      <c r="A831" s="175"/>
      <c r="B831" s="175"/>
      <c r="C831" s="354"/>
      <c r="D831" s="1311" t="s">
        <v>1803</v>
      </c>
      <c r="E831" s="1311"/>
      <c r="F831" s="1311"/>
      <c r="G831" s="3"/>
      <c r="I831" s="490"/>
    </row>
    <row r="832" spans="1:9" ht="14.25" customHeight="1">
      <c r="A832" s="175"/>
      <c r="B832" s="175"/>
      <c r="C832" s="354"/>
      <c r="D832" s="1268" t="s">
        <v>1764</v>
      </c>
      <c r="E832" s="1268"/>
      <c r="F832" s="1268"/>
      <c r="G832" s="3"/>
      <c r="I832" s="490"/>
    </row>
    <row r="833" spans="1:9" ht="12.75" customHeight="1">
      <c r="A833" s="175"/>
      <c r="B833" s="175"/>
      <c r="C833" s="354"/>
      <c r="D833" s="441"/>
      <c r="E833" s="441"/>
      <c r="F833" s="441"/>
      <c r="G833" s="3"/>
      <c r="I833" s="490"/>
    </row>
    <row r="834" spans="1:9" ht="12.75" customHeight="1">
      <c r="A834" s="354"/>
      <c r="B834" s="485" t="s">
        <v>2668</v>
      </c>
      <c r="C834" s="989"/>
      <c r="D834" s="1268" t="s">
        <v>1765</v>
      </c>
      <c r="E834" s="1268"/>
      <c r="F834" s="1268"/>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2" t="s">
        <v>2075</v>
      </c>
      <c r="E837" s="1312"/>
      <c r="F837" s="1312"/>
      <c r="G837" s="3"/>
      <c r="I837" s="490"/>
    </row>
    <row r="838" spans="1:9" ht="12.75" hidden="1" customHeight="1">
      <c r="A838" s="13"/>
      <c r="B838" s="13"/>
      <c r="C838" s="989"/>
      <c r="D838" s="1312"/>
      <c r="E838" s="1312"/>
      <c r="F838" s="1312"/>
      <c r="G838" s="3"/>
      <c r="I838" s="490"/>
    </row>
    <row r="839" spans="1:9" ht="12.75" hidden="1" customHeight="1">
      <c r="A839" s="13"/>
      <c r="B839" s="13"/>
      <c r="C839" s="989"/>
      <c r="D839" s="1312"/>
      <c r="E839" s="1312"/>
      <c r="F839" s="1312"/>
      <c r="G839" s="3"/>
      <c r="I839" s="490"/>
    </row>
    <row r="840" spans="1:9" ht="12.75" hidden="1" customHeight="1">
      <c r="A840" s="13"/>
      <c r="B840" s="13"/>
      <c r="C840" s="989"/>
      <c r="D840" s="1312"/>
      <c r="E840" s="1312"/>
      <c r="F840" s="1312"/>
      <c r="G840" s="3"/>
      <c r="I840" s="490"/>
    </row>
    <row r="841" spans="1:9" ht="12.75" hidden="1" customHeight="1">
      <c r="A841" s="13"/>
      <c r="B841" s="13"/>
      <c r="C841" s="989"/>
      <c r="D841" s="1312"/>
      <c r="E841" s="1312"/>
      <c r="F841" s="1312"/>
      <c r="G841" s="3"/>
      <c r="I841" s="490"/>
    </row>
    <row r="842" spans="1:9" ht="12.75" hidden="1" customHeight="1">
      <c r="A842" s="13"/>
      <c r="B842" s="13"/>
      <c r="C842" s="989"/>
      <c r="D842" s="1312"/>
      <c r="E842" s="1312"/>
      <c r="F842" s="1312"/>
      <c r="G842" s="3"/>
      <c r="I842" s="490"/>
    </row>
    <row r="843" spans="1:9" ht="12.75" hidden="1" customHeight="1">
      <c r="A843" s="13"/>
      <c r="B843" s="13"/>
      <c r="C843" s="989"/>
      <c r="D843" s="1312"/>
      <c r="E843" s="1312"/>
      <c r="F843" s="1312"/>
      <c r="G843" s="3"/>
      <c r="I843" s="490"/>
    </row>
    <row r="844" spans="1:9" ht="12.75" hidden="1" customHeight="1">
      <c r="A844" s="13"/>
      <c r="B844" s="13"/>
      <c r="C844" s="989"/>
      <c r="D844" s="1312"/>
      <c r="E844" s="1312"/>
      <c r="F844" s="1312"/>
      <c r="G844" s="3"/>
      <c r="I844" s="490"/>
    </row>
    <row r="845" spans="1:9" ht="12.75" hidden="1" customHeight="1">
      <c r="A845" s="13"/>
      <c r="B845" s="13"/>
      <c r="C845" s="989"/>
      <c r="D845" s="1312"/>
      <c r="E845" s="1312"/>
      <c r="F845" s="1312"/>
      <c r="G845" s="3"/>
      <c r="I845" s="490"/>
    </row>
    <row r="846" spans="1:9" ht="12.75" hidden="1" customHeight="1">
      <c r="A846" s="13"/>
      <c r="B846" s="13"/>
      <c r="C846" s="989"/>
      <c r="D846" s="1312"/>
      <c r="E846" s="1312"/>
      <c r="F846" s="1312"/>
      <c r="G846" s="3"/>
      <c r="I846" s="490"/>
    </row>
    <row r="847" spans="1:9" ht="12.75" hidden="1" customHeight="1">
      <c r="A847" s="13"/>
      <c r="B847" s="13"/>
      <c r="C847" s="989"/>
      <c r="D847" s="991"/>
      <c r="E847" s="3"/>
      <c r="F847" s="3"/>
      <c r="G847" s="3"/>
      <c r="I847" s="490"/>
    </row>
    <row r="848" spans="1:9" ht="12.75" customHeight="1">
      <c r="A848" s="175"/>
      <c r="B848" s="485" t="s">
        <v>2668</v>
      </c>
      <c r="C848" s="989"/>
      <c r="D848" s="1268" t="s">
        <v>1766</v>
      </c>
      <c r="E848" s="1268"/>
      <c r="F848" s="1268"/>
      <c r="G848" s="3"/>
      <c r="I848" s="490" t="s">
        <v>1882</v>
      </c>
    </row>
    <row r="849" spans="1:9" ht="12.75" customHeight="1">
      <c r="A849" s="175"/>
      <c r="B849" s="175"/>
      <c r="C849" s="989"/>
      <c r="D849" s="1268"/>
      <c r="E849" s="1268"/>
      <c r="F849" s="1268"/>
      <c r="G849" s="3"/>
      <c r="I849" s="490"/>
    </row>
    <row r="850" spans="1:9" ht="12.75" customHeight="1">
      <c r="A850" s="175"/>
      <c r="B850" s="175"/>
      <c r="C850" s="989"/>
      <c r="D850" s="1268"/>
      <c r="E850" s="1268"/>
      <c r="F850" s="1268"/>
      <c r="G850" s="3"/>
      <c r="I850" s="490"/>
    </row>
    <row r="851" spans="1:9" ht="12.75" customHeight="1">
      <c r="A851" s="175"/>
      <c r="B851" s="175"/>
      <c r="C851" s="989"/>
      <c r="D851" s="118"/>
      <c r="E851" s="3"/>
      <c r="F851" s="3"/>
      <c r="G851" s="3"/>
      <c r="I851" s="490"/>
    </row>
    <row r="852" spans="1:9" ht="12.75" customHeight="1">
      <c r="A852" s="992"/>
      <c r="B852" s="485" t="s">
        <v>2669</v>
      </c>
      <c r="C852" s="989"/>
      <c r="D852" s="1311" t="s">
        <v>1767</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68" t="s">
        <v>2068</v>
      </c>
      <c r="E854" s="1268"/>
      <c r="F854" s="1268"/>
      <c r="G854" s="3"/>
      <c r="I854" s="490"/>
    </row>
    <row r="855" spans="1:9" ht="12.75" customHeight="1">
      <c r="A855" s="175"/>
      <c r="B855" s="175"/>
      <c r="C855" s="989"/>
      <c r="D855" s="1268"/>
      <c r="E855" s="1268"/>
      <c r="F855" s="1268"/>
      <c r="G855" s="3"/>
      <c r="I855" s="490"/>
    </row>
    <row r="856" spans="1:9" ht="12.75" customHeight="1">
      <c r="A856" s="175"/>
      <c r="B856" s="175"/>
      <c r="C856" s="989"/>
      <c r="D856" s="1268"/>
      <c r="E856" s="1268"/>
      <c r="F856" s="1268"/>
      <c r="G856" s="3"/>
      <c r="I856" s="490"/>
    </row>
    <row r="857" spans="1:9" ht="12.75" customHeight="1">
      <c r="A857" s="175"/>
      <c r="B857" s="175"/>
      <c r="C857" s="989"/>
      <c r="D857" s="1268"/>
      <c r="E857" s="1268"/>
      <c r="F857" s="1268"/>
      <c r="G857" s="3"/>
      <c r="I857" s="490"/>
    </row>
    <row r="858" spans="1:9" ht="12.75" customHeight="1">
      <c r="A858" s="175"/>
      <c r="B858" s="175"/>
      <c r="C858" s="989"/>
      <c r="D858" s="1268"/>
      <c r="E858" s="1268"/>
      <c r="F858" s="1268"/>
      <c r="G858" s="3"/>
      <c r="I858" s="490"/>
    </row>
    <row r="859" spans="1:9" ht="12.75" customHeight="1">
      <c r="A859" s="175"/>
      <c r="B859" s="175"/>
      <c r="C859" s="989"/>
      <c r="D859" s="1268"/>
      <c r="E859" s="1268"/>
      <c r="F859" s="1268"/>
      <c r="G859" s="3"/>
      <c r="I859" s="490"/>
    </row>
    <row r="860" spans="1:9" ht="12.75" customHeight="1">
      <c r="A860" s="175"/>
      <c r="B860" s="175"/>
      <c r="C860" s="989"/>
      <c r="D860" s="118"/>
      <c r="E860" s="3"/>
      <c r="F860" s="3"/>
      <c r="G860" s="3"/>
      <c r="I860" s="490"/>
    </row>
    <row r="861" spans="1:9" ht="12.75" customHeight="1">
      <c r="A861" s="175"/>
      <c r="B861" s="485" t="s">
        <v>2669</v>
      </c>
      <c r="C861" s="989"/>
      <c r="D861" s="1268" t="s">
        <v>1768</v>
      </c>
      <c r="E861" s="1268"/>
      <c r="F861" s="1268"/>
      <c r="G861" s="3"/>
      <c r="I861" s="490" t="s">
        <v>1880</v>
      </c>
    </row>
    <row r="862" spans="1:9" ht="12.75" customHeight="1">
      <c r="A862" s="175"/>
      <c r="B862" s="175"/>
      <c r="C862" s="989"/>
      <c r="D862" s="1268" t="s">
        <v>1769</v>
      </c>
      <c r="E862" s="1268"/>
      <c r="F862" s="1268"/>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2669</v>
      </c>
      <c r="C865" s="989"/>
      <c r="D865" s="1268" t="s">
        <v>1770</v>
      </c>
      <c r="E865" s="1268"/>
      <c r="F865" s="1268"/>
      <c r="G865" s="3"/>
      <c r="I865" s="490" t="s">
        <v>1883</v>
      </c>
    </row>
    <row r="866" spans="1:9" ht="12.75" customHeight="1">
      <c r="A866" s="175"/>
      <c r="B866" s="175"/>
      <c r="C866" s="989"/>
      <c r="D866" s="1268"/>
      <c r="E866" s="1268"/>
      <c r="F866" s="1268"/>
      <c r="G866" s="3"/>
      <c r="I866" s="490"/>
    </row>
    <row r="867" spans="1:9" ht="12.75" customHeight="1">
      <c r="A867" s="175"/>
      <c r="B867" s="175"/>
      <c r="C867" s="989"/>
      <c r="D867" s="1268"/>
      <c r="E867" s="1268"/>
      <c r="F867" s="1268"/>
      <c r="G867" s="3"/>
      <c r="I867" s="490"/>
    </row>
    <row r="868" spans="1:9" ht="12.75" customHeight="1">
      <c r="A868" s="175"/>
      <c r="B868" s="175"/>
      <c r="C868" s="989"/>
      <c r="D868" s="1268"/>
      <c r="E868" s="1268"/>
      <c r="F868" s="1268"/>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01" t="s">
        <v>1804</v>
      </c>
      <c r="E872" s="1301"/>
      <c r="F872" s="1301"/>
      <c r="G872" s="988"/>
      <c r="I872" s="490"/>
    </row>
    <row r="873" spans="1:9" ht="12.75" customHeight="1">
      <c r="A873" s="354"/>
      <c r="B873" s="354"/>
      <c r="C873" s="174"/>
      <c r="D873" s="1310" t="s">
        <v>1772</v>
      </c>
      <c r="E873" s="1310"/>
      <c r="F873" s="1310"/>
      <c r="G873" s="988"/>
      <c r="I873" s="490"/>
    </row>
    <row r="874" spans="1:9" ht="12.75" customHeight="1">
      <c r="A874" s="354"/>
      <c r="B874" s="354"/>
      <c r="C874" s="174"/>
      <c r="D874" s="995"/>
      <c r="E874" s="995"/>
      <c r="F874" s="995"/>
      <c r="G874" s="988"/>
      <c r="I874" s="490"/>
    </row>
    <row r="875" spans="1:9" ht="12.75" customHeight="1">
      <c r="A875" s="175"/>
      <c r="B875" s="485" t="s">
        <v>2668</v>
      </c>
      <c r="C875" s="354"/>
      <c r="D875" s="1294" t="s">
        <v>1773</v>
      </c>
      <c r="E875" s="1294"/>
      <c r="F875" s="1294"/>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2668</v>
      </c>
      <c r="C878" s="354"/>
      <c r="D878" s="1268" t="s">
        <v>1774</v>
      </c>
      <c r="E878" s="1317"/>
      <c r="F878" s="1317"/>
      <c r="G878" s="3"/>
      <c r="I878" s="490" t="s">
        <v>1883</v>
      </c>
    </row>
    <row r="879" spans="1:9" ht="12.75" customHeight="1">
      <c r="A879" s="354"/>
      <c r="B879" s="354"/>
      <c r="C879" s="354"/>
      <c r="D879" s="1317"/>
      <c r="E879" s="1317"/>
      <c r="F879" s="1317"/>
      <c r="G879" s="3"/>
      <c r="I879" s="490"/>
    </row>
    <row r="880" spans="1:9" ht="12.75" customHeight="1">
      <c r="A880" s="354"/>
      <c r="B880" s="354"/>
      <c r="C880" s="354"/>
      <c r="D880" s="118"/>
      <c r="E880" s="3"/>
      <c r="F880" s="3"/>
      <c r="G880" s="3"/>
      <c r="I880" s="490"/>
    </row>
    <row r="881" spans="1:9" ht="12.75" customHeight="1">
      <c r="A881" s="354"/>
      <c r="B881" s="485" t="s">
        <v>2669</v>
      </c>
      <c r="C881" s="354"/>
      <c r="D881" s="1318" t="s">
        <v>1775</v>
      </c>
      <c r="E881" s="1318"/>
      <c r="F881" s="1318"/>
      <c r="G881" s="988"/>
      <c r="I881" s="490"/>
    </row>
    <row r="882" spans="1:9" ht="12.75" customHeight="1">
      <c r="A882" s="354"/>
      <c r="B882" s="996"/>
      <c r="C882" s="354"/>
      <c r="D882" s="1318"/>
      <c r="E882" s="1318"/>
      <c r="F882" s="1318"/>
      <c r="G882" s="988"/>
      <c r="I882" s="490"/>
    </row>
    <row r="883" spans="1:9" ht="12.75" customHeight="1">
      <c r="A883" s="175"/>
      <c r="B883"/>
      <c r="C883" s="354"/>
      <c r="D883" s="1268" t="s">
        <v>2068</v>
      </c>
      <c r="E883" s="1268"/>
      <c r="F883" s="1268"/>
      <c r="G883" s="988"/>
      <c r="I883" s="490"/>
    </row>
    <row r="884" spans="1:9" ht="12.75" customHeight="1">
      <c r="A884" s="175"/>
      <c r="B884" s="175"/>
      <c r="C884" s="354"/>
      <c r="D884" s="1268"/>
      <c r="E884" s="1268"/>
      <c r="F884" s="1268"/>
      <c r="G884" s="988"/>
      <c r="I884" s="490"/>
    </row>
    <row r="885" spans="1:9" ht="12.75" customHeight="1">
      <c r="A885" s="175"/>
      <c r="B885" s="175"/>
      <c r="C885" s="354"/>
      <c r="D885" s="1268"/>
      <c r="E885" s="1268"/>
      <c r="F885" s="1268"/>
      <c r="G885" s="988"/>
      <c r="I885" s="490"/>
    </row>
    <row r="886" spans="1:9" ht="12.75" customHeight="1">
      <c r="A886" s="175"/>
      <c r="B886" s="175"/>
      <c r="C886" s="354"/>
      <c r="D886" s="1268"/>
      <c r="E886" s="1268"/>
      <c r="F886" s="1268"/>
      <c r="G886" s="988"/>
      <c r="I886" s="490"/>
    </row>
    <row r="887" spans="1:9" ht="12.75" customHeight="1">
      <c r="A887" s="175"/>
      <c r="B887" s="175"/>
      <c r="C887" s="354"/>
      <c r="D887" s="1268"/>
      <c r="E887" s="1268"/>
      <c r="F887" s="1268"/>
      <c r="G887" s="988"/>
      <c r="I887" s="490"/>
    </row>
    <row r="888" spans="1:9" ht="12.75" customHeight="1">
      <c r="A888" s="175"/>
      <c r="B888" s="175"/>
      <c r="C888" s="354"/>
      <c r="D888" s="1268"/>
      <c r="E888" s="1268"/>
      <c r="F888" s="1268"/>
      <c r="G888" s="988"/>
      <c r="I888" s="490"/>
    </row>
    <row r="889" spans="1:9" ht="12.75" customHeight="1">
      <c r="A889" s="175"/>
      <c r="B889" s="175"/>
      <c r="C889" s="354"/>
      <c r="D889" s="118"/>
      <c r="E889" s="988"/>
      <c r="F889" s="988"/>
      <c r="G889" s="988"/>
      <c r="I889" s="490"/>
    </row>
    <row r="890" spans="1:9" ht="12.75" customHeight="1">
      <c r="A890" s="175"/>
      <c r="B890" s="485" t="s">
        <v>2669</v>
      </c>
      <c r="C890" s="354"/>
      <c r="D890" s="1293" t="s">
        <v>1768</v>
      </c>
      <c r="E890" s="1293"/>
      <c r="F890" s="1293"/>
      <c r="G890" s="988"/>
      <c r="I890" s="490"/>
    </row>
    <row r="891" spans="1:9" ht="12.75" customHeight="1">
      <c r="A891" s="175"/>
      <c r="B891" s="175"/>
      <c r="C891" s="354"/>
      <c r="D891" s="1293" t="s">
        <v>1769</v>
      </c>
      <c r="E891" s="1293"/>
      <c r="F891" s="129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2669</v>
      </c>
      <c r="C894" s="354"/>
      <c r="D894" s="1268" t="s">
        <v>1770</v>
      </c>
      <c r="E894" s="1268"/>
      <c r="F894" s="1268"/>
      <c r="G894" s="988"/>
      <c r="I894" s="490"/>
    </row>
    <row r="895" spans="1:9" ht="12.75" customHeight="1">
      <c r="A895" s="175"/>
      <c r="B895" s="175"/>
      <c r="C895" s="354"/>
      <c r="D895" s="1268"/>
      <c r="E895" s="1268"/>
      <c r="F895" s="1268"/>
      <c r="G895" s="988"/>
      <c r="I895" s="490"/>
    </row>
    <row r="896" spans="1:9" ht="12.75" customHeight="1">
      <c r="A896" s="175"/>
      <c r="B896" s="175"/>
      <c r="C896" s="354"/>
      <c r="D896" s="1268"/>
      <c r="E896" s="1268"/>
      <c r="F896" s="1268"/>
      <c r="G896" s="988"/>
      <c r="I896" s="490"/>
    </row>
    <row r="897" spans="1:9" ht="12.75" customHeight="1">
      <c r="A897" s="175"/>
      <c r="B897" s="175"/>
      <c r="C897" s="354"/>
      <c r="D897" s="1268"/>
      <c r="E897" s="1268"/>
      <c r="F897" s="1268"/>
      <c r="G897" s="988"/>
      <c r="I897" s="490"/>
    </row>
    <row r="898" spans="1:9" ht="12.75" customHeight="1">
      <c r="A898" s="118"/>
      <c r="B898" s="118"/>
      <c r="C898" s="989"/>
      <c r="D898" s="988"/>
      <c r="E898" s="988"/>
      <c r="F898" s="988"/>
      <c r="G898" s="988"/>
      <c r="I898" s="490"/>
    </row>
    <row r="899" spans="1:9" ht="12.75" customHeight="1">
      <c r="A899" s="1291" t="s">
        <v>1805</v>
      </c>
      <c r="B899" s="1291"/>
      <c r="C899" s="1291"/>
      <c r="D899" s="1291"/>
      <c r="E899" s="1291"/>
      <c r="F899" s="1291"/>
      <c r="G899" s="1291"/>
      <c r="H899" s="1028"/>
      <c r="I899" s="1153"/>
    </row>
    <row r="900" spans="1:9" ht="12.75" customHeight="1">
      <c r="A900" s="57"/>
      <c r="B900" s="57"/>
      <c r="C900" s="57"/>
      <c r="D900" s="57"/>
      <c r="E900" s="57"/>
      <c r="F900" s="57"/>
      <c r="G900" s="57"/>
      <c r="I900" s="490"/>
    </row>
    <row r="901" spans="1:9" ht="12.75" customHeight="1">
      <c r="A901" s="57"/>
      <c r="B901" s="57"/>
      <c r="C901" s="57"/>
      <c r="D901" s="1289" t="s">
        <v>1811</v>
      </c>
      <c r="E901" s="1289"/>
      <c r="F901" s="1289"/>
      <c r="G901" s="57"/>
      <c r="I901" s="490"/>
    </row>
    <row r="902" spans="1:9" ht="12.75" customHeight="1">
      <c r="A902" s="57"/>
      <c r="B902" s="57"/>
      <c r="C902" s="57"/>
      <c r="D902" s="981"/>
      <c r="E902" s="981"/>
      <c r="F902" s="981"/>
      <c r="G902" s="57"/>
      <c r="I902" s="490"/>
    </row>
    <row r="903" spans="1:9" ht="12.75" customHeight="1">
      <c r="A903" s="57"/>
      <c r="B903" s="485" t="s">
        <v>2668</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9" t="s">
        <v>1806</v>
      </c>
      <c r="E905" s="1289"/>
      <c r="F905" s="1289"/>
      <c r="G905" s="988"/>
      <c r="I905" s="490"/>
    </row>
    <row r="906" spans="1:9" ht="12.75" customHeight="1">
      <c r="A906" s="172"/>
      <c r="B906" s="172"/>
      <c r="C906" s="172"/>
      <c r="D906" s="1294" t="s">
        <v>1776</v>
      </c>
      <c r="E906" s="1294"/>
      <c r="F906" s="1294"/>
      <c r="G906" s="988"/>
      <c r="I906" s="490"/>
    </row>
    <row r="907" spans="1:9" ht="12.75" customHeight="1">
      <c r="A907" s="989"/>
      <c r="B907" s="989"/>
      <c r="C907" s="989"/>
      <c r="D907" s="2"/>
      <c r="E907" s="988"/>
      <c r="F907" s="988"/>
      <c r="G907" s="988"/>
      <c r="I907" s="490"/>
    </row>
    <row r="908" spans="1:9" ht="12.75" customHeight="1">
      <c r="A908" s="175"/>
      <c r="B908" s="485" t="s">
        <v>2668</v>
      </c>
      <c r="C908" s="354"/>
      <c r="D908" s="1268" t="s">
        <v>1780</v>
      </c>
      <c r="E908" s="1268"/>
      <c r="F908" s="1268"/>
      <c r="G908" s="3"/>
      <c r="I908" s="490"/>
    </row>
    <row r="909" spans="1:9" ht="12.75" customHeight="1">
      <c r="A909" s="354"/>
      <c r="B909" s="354"/>
      <c r="C909" s="354"/>
      <c r="D909" s="1268"/>
      <c r="E909" s="1268"/>
      <c r="F909" s="1268"/>
      <c r="G909" s="3"/>
      <c r="I909" s="490"/>
    </row>
    <row r="910" spans="1:9" ht="12.75" customHeight="1">
      <c r="A910" s="172"/>
      <c r="B910" s="172"/>
      <c r="C910" s="172"/>
      <c r="D910" s="1268" t="s">
        <v>1779</v>
      </c>
      <c r="E910" s="1268"/>
      <c r="F910" s="1268"/>
      <c r="G910" s="988"/>
      <c r="I910" s="490"/>
    </row>
    <row r="911" spans="1:9" ht="12.75" customHeight="1">
      <c r="A911" s="172"/>
      <c r="B911" s="172"/>
      <c r="C911" s="172"/>
      <c r="D911" s="1268"/>
      <c r="E911" s="1268"/>
      <c r="F911" s="1268"/>
      <c r="G911" s="988"/>
      <c r="I911" s="490"/>
    </row>
    <row r="912" spans="1:9" ht="12.75" customHeight="1">
      <c r="A912" s="172"/>
      <c r="B912" s="172"/>
      <c r="C912" s="172"/>
      <c r="D912" s="3"/>
      <c r="E912" s="3"/>
      <c r="F912" s="988"/>
      <c r="G912" s="988"/>
      <c r="I912" s="490"/>
    </row>
    <row r="913" spans="1:9" ht="12.75" customHeight="1">
      <c r="A913" s="175"/>
      <c r="B913" s="485" t="s">
        <v>2668</v>
      </c>
      <c r="C913" s="174"/>
      <c r="D913" s="1279" t="s">
        <v>1777</v>
      </c>
      <c r="E913" s="1279"/>
      <c r="F913" s="1279"/>
      <c r="G913" s="988"/>
      <c r="I913" s="490"/>
    </row>
    <row r="914" spans="1:9" ht="12.75" customHeight="1">
      <c r="A914" s="175"/>
      <c r="B914" s="175"/>
      <c r="C914" s="174"/>
      <c r="D914" s="1279"/>
      <c r="E914" s="1279"/>
      <c r="F914" s="1279"/>
      <c r="G914" s="988"/>
      <c r="I914" s="490"/>
    </row>
    <row r="915" spans="1:9" ht="12.75" customHeight="1">
      <c r="A915" s="175"/>
      <c r="B915" s="175"/>
      <c r="C915" s="174"/>
      <c r="D915" s="1279"/>
      <c r="E915" s="1279"/>
      <c r="F915" s="1279"/>
      <c r="G915" s="988"/>
      <c r="I915" s="490"/>
    </row>
    <row r="916" spans="1:9" ht="12.75" customHeight="1">
      <c r="A916" s="175"/>
      <c r="B916" s="175"/>
      <c r="C916" s="174"/>
      <c r="D916" s="1279"/>
      <c r="E916" s="1279"/>
      <c r="F916" s="1279"/>
      <c r="G916" s="988"/>
      <c r="I916" s="490"/>
    </row>
    <row r="917" spans="1:9" ht="12.75" customHeight="1">
      <c r="A917" s="175"/>
      <c r="B917" s="175"/>
      <c r="C917" s="174"/>
      <c r="D917" s="1279"/>
      <c r="E917" s="1279"/>
      <c r="F917" s="1279"/>
      <c r="G917" s="988"/>
      <c r="I917" s="490"/>
    </row>
    <row r="918" spans="1:9" ht="12.75" customHeight="1">
      <c r="A918" s="174"/>
      <c r="B918" s="174"/>
      <c r="C918" s="174"/>
      <c r="D918" s="1279"/>
      <c r="E918" s="1279"/>
      <c r="F918" s="1279"/>
      <c r="G918" s="988"/>
      <c r="I918" s="490"/>
    </row>
    <row r="919" spans="1:9" ht="12.75" customHeight="1">
      <c r="A919" s="174"/>
      <c r="B919" s="174"/>
      <c r="C919" s="174"/>
      <c r="D919" s="1279"/>
      <c r="E919" s="1279"/>
      <c r="F919" s="1279"/>
      <c r="G919" s="988"/>
      <c r="I919" s="490"/>
    </row>
    <row r="920" spans="1:9" ht="12.75" customHeight="1">
      <c r="A920" s="174"/>
      <c r="B920" s="174"/>
      <c r="C920" s="174"/>
      <c r="D920" s="1279"/>
      <c r="E920" s="1279"/>
      <c r="F920" s="1279"/>
      <c r="G920" s="988"/>
      <c r="I920" s="490"/>
    </row>
    <row r="921" spans="1:9" ht="12.75" customHeight="1">
      <c r="A921" s="174"/>
      <c r="B921" s="174"/>
      <c r="C921" s="174"/>
      <c r="D921" s="335"/>
      <c r="E921" s="335"/>
      <c r="F921" s="335"/>
      <c r="G921" s="988"/>
      <c r="I921" s="490"/>
    </row>
    <row r="922" spans="1:9" ht="12.75" customHeight="1">
      <c r="A922" s="989"/>
      <c r="B922" s="485" t="s">
        <v>2669</v>
      </c>
      <c r="C922" s="989"/>
      <c r="D922" s="1268" t="s">
        <v>1781</v>
      </c>
      <c r="E922" s="1268"/>
      <c r="F922" s="1268"/>
      <c r="G922" s="988"/>
      <c r="I922" s="490"/>
    </row>
    <row r="923" spans="1:9" ht="12.75" customHeight="1">
      <c r="A923" s="989"/>
      <c r="B923" s="989"/>
      <c r="C923" s="989"/>
      <c r="D923" s="1268"/>
      <c r="E923" s="1268"/>
      <c r="F923" s="1268"/>
      <c r="G923" s="988"/>
      <c r="I923" s="490"/>
    </row>
    <row r="924" spans="1:9" ht="12.75" customHeight="1">
      <c r="A924" s="989"/>
      <c r="B924" s="989"/>
      <c r="C924" s="989"/>
      <c r="D924" s="988"/>
      <c r="E924" s="988"/>
      <c r="F924" s="988"/>
      <c r="G924" s="988"/>
      <c r="I924" s="490"/>
    </row>
    <row r="925" spans="1:9" ht="12.75" customHeight="1">
      <c r="A925" s="989"/>
      <c r="B925" s="485" t="s">
        <v>2669</v>
      </c>
      <c r="C925" s="989"/>
      <c r="D925" s="1295" t="s">
        <v>1782</v>
      </c>
      <c r="E925" s="1295"/>
      <c r="F925" s="1295"/>
      <c r="G925" s="988"/>
      <c r="I925" s="490"/>
    </row>
    <row r="926" spans="1:9" ht="12.75" customHeight="1">
      <c r="A926" s="989"/>
      <c r="B926" s="989"/>
      <c r="C926" s="989"/>
      <c r="D926" s="1295"/>
      <c r="E926" s="1295"/>
      <c r="F926" s="1295"/>
      <c r="G926" s="988"/>
      <c r="I926" s="490"/>
    </row>
    <row r="927" spans="1:9" ht="12.75" customHeight="1">
      <c r="A927" s="989"/>
      <c r="B927" s="989"/>
      <c r="C927" s="989"/>
      <c r="D927" s="1295"/>
      <c r="E927" s="1295"/>
      <c r="F927" s="1295"/>
      <c r="G927" s="988"/>
      <c r="I927" s="490"/>
    </row>
    <row r="928" spans="1:9" ht="12.75" customHeight="1">
      <c r="A928" s="989"/>
      <c r="B928" s="989"/>
      <c r="C928" s="989"/>
      <c r="D928" s="1295"/>
      <c r="E928" s="1295"/>
      <c r="F928" s="1295"/>
      <c r="G928" s="988"/>
      <c r="I928" s="490"/>
    </row>
    <row r="929" spans="1:9" ht="12.75" customHeight="1">
      <c r="A929" s="989"/>
      <c r="B929" s="989"/>
      <c r="C929" s="989"/>
      <c r="D929" s="118"/>
      <c r="E929" s="988"/>
      <c r="F929" s="988"/>
      <c r="G929" s="988"/>
      <c r="I929" s="490"/>
    </row>
    <row r="930" spans="1:9" ht="12.75" customHeight="1">
      <c r="A930" s="989"/>
      <c r="B930" s="485" t="s">
        <v>2669</v>
      </c>
      <c r="C930" s="989"/>
      <c r="D930" s="1294" t="s">
        <v>2069</v>
      </c>
      <c r="E930" s="1294"/>
      <c r="F930" s="1294"/>
      <c r="G930" s="988"/>
      <c r="I930" s="490"/>
    </row>
    <row r="931" spans="1:9" ht="12.75" customHeight="1">
      <c r="A931" s="989"/>
      <c r="B931" s="989"/>
      <c r="C931" s="989"/>
      <c r="D931" s="118"/>
      <c r="E931" s="988"/>
      <c r="F931" s="988"/>
      <c r="G931" s="988"/>
      <c r="I931" s="490"/>
    </row>
    <row r="932" spans="1:9" ht="12.75" customHeight="1">
      <c r="A932" s="989"/>
      <c r="B932" s="485" t="s">
        <v>2669</v>
      </c>
      <c r="C932" s="989"/>
      <c r="D932" s="1294" t="s">
        <v>2070</v>
      </c>
      <c r="E932" s="1294"/>
      <c r="F932" s="1294"/>
      <c r="G932" s="988"/>
      <c r="I932" s="490"/>
    </row>
    <row r="933" spans="1:9" ht="12.75" customHeight="1">
      <c r="A933" s="174"/>
      <c r="B933" s="174"/>
      <c r="C933" s="174"/>
      <c r="D933" s="2"/>
      <c r="E933" s="3"/>
      <c r="F933" s="988"/>
      <c r="G933" s="988"/>
      <c r="I933" s="490"/>
    </row>
    <row r="934" spans="1:9" ht="12.75" customHeight="1">
      <c r="A934" s="997"/>
      <c r="B934" s="485" t="s">
        <v>2668</v>
      </c>
      <c r="C934" s="998"/>
      <c r="D934" s="1279" t="s">
        <v>1778</v>
      </c>
      <c r="E934" s="1279"/>
      <c r="F934" s="1279"/>
      <c r="G934" s="999"/>
      <c r="I934" s="490"/>
    </row>
    <row r="935" spans="1:9" ht="12.75" customHeight="1">
      <c r="A935" s="997"/>
      <c r="B935" s="997"/>
      <c r="C935" s="998"/>
      <c r="D935" s="1279"/>
      <c r="E935" s="1279"/>
      <c r="F935" s="1279"/>
      <c r="G935" s="999"/>
      <c r="I935" s="490"/>
    </row>
    <row r="936" spans="1:9" ht="12.75" customHeight="1">
      <c r="A936" s="997"/>
      <c r="B936" s="997"/>
      <c r="C936" s="998"/>
      <c r="D936" s="1279"/>
      <c r="E936" s="1279"/>
      <c r="F936" s="1279"/>
      <c r="G936" s="999"/>
      <c r="I936" s="490"/>
    </row>
    <row r="937" spans="1:9" ht="12.75" customHeight="1">
      <c r="A937" s="997"/>
      <c r="B937" s="997"/>
      <c r="C937" s="998"/>
      <c r="D937" s="1279"/>
      <c r="E937" s="1279"/>
      <c r="F937" s="1279"/>
      <c r="G937" s="999"/>
      <c r="I937" s="490"/>
    </row>
    <row r="938" spans="1:9" ht="12.75" customHeight="1">
      <c r="A938" s="997"/>
      <c r="B938" s="997"/>
      <c r="C938" s="998"/>
      <c r="D938" s="1279"/>
      <c r="E938" s="1279"/>
      <c r="F938" s="1279"/>
      <c r="G938" s="999"/>
      <c r="I938" s="490"/>
    </row>
    <row r="939" spans="1:9" ht="12.75" customHeight="1">
      <c r="A939" s="997"/>
      <c r="B939" s="997"/>
      <c r="C939" s="998"/>
      <c r="D939" s="1279"/>
      <c r="E939" s="1279"/>
      <c r="F939" s="1279"/>
      <c r="G939" s="999"/>
      <c r="I939" s="490"/>
    </row>
    <row r="940" spans="1:9" ht="12.75" customHeight="1">
      <c r="A940" s="997"/>
      <c r="B940" s="997"/>
      <c r="C940" s="998"/>
      <c r="D940" s="1279"/>
      <c r="E940" s="1279"/>
      <c r="F940" s="1279"/>
      <c r="G940" s="999"/>
      <c r="I940" s="490"/>
    </row>
    <row r="941" spans="1:9" ht="12.75" customHeight="1">
      <c r="A941" s="997"/>
      <c r="B941" s="997"/>
      <c r="C941" s="998"/>
      <c r="D941" s="1279"/>
      <c r="E941" s="1279"/>
      <c r="F941" s="1279"/>
      <c r="G941" s="999"/>
      <c r="I941" s="490"/>
    </row>
    <row r="942" spans="1:9" ht="12.75" customHeight="1">
      <c r="A942" s="997"/>
      <c r="B942" s="997"/>
      <c r="C942" s="998"/>
      <c r="D942" s="1279"/>
      <c r="E942" s="1279"/>
      <c r="F942" s="1279"/>
      <c r="G942" s="999"/>
      <c r="I942" s="490"/>
    </row>
    <row r="943" spans="1:9" ht="12.75" customHeight="1">
      <c r="A943" s="174"/>
      <c r="B943" s="174"/>
      <c r="C943" s="174"/>
      <c r="D943" s="2"/>
      <c r="E943" s="3"/>
      <c r="F943" s="988"/>
      <c r="G943" s="988"/>
      <c r="I943" s="490"/>
    </row>
    <row r="944" spans="1:9" ht="12.75" customHeight="1">
      <c r="A944" s="175"/>
      <c r="B944" s="485" t="s">
        <v>2668</v>
      </c>
      <c r="C944" s="174"/>
      <c r="D944" s="1303" t="s">
        <v>1886</v>
      </c>
      <c r="E944" s="1303"/>
      <c r="F944" s="1303"/>
      <c r="G944" s="988"/>
      <c r="I944" s="490"/>
    </row>
    <row r="945" spans="1:9" ht="12.75" customHeight="1">
      <c r="A945" s="175"/>
      <c r="B945" s="175"/>
      <c r="C945" s="174"/>
      <c r="D945" s="1303"/>
      <c r="E945" s="1303"/>
      <c r="F945" s="1303"/>
      <c r="G945" s="988"/>
      <c r="I945" s="490"/>
    </row>
    <row r="946" spans="1:9" ht="12.75" customHeight="1">
      <c r="A946" s="175"/>
      <c r="B946" s="175"/>
      <c r="C946" s="174"/>
      <c r="D946" s="1303"/>
      <c r="E946" s="1303"/>
      <c r="F946" s="1303"/>
      <c r="G946" s="988"/>
      <c r="I946" s="490"/>
    </row>
    <row r="947" spans="1:9" ht="12.75" customHeight="1">
      <c r="A947" s="175"/>
      <c r="B947" s="175"/>
      <c r="C947" s="174"/>
      <c r="D947" s="1303"/>
      <c r="E947" s="1303"/>
      <c r="F947" s="1303"/>
      <c r="G947" s="988"/>
      <c r="I947" s="490"/>
    </row>
    <row r="948" spans="1:9" ht="12.75" customHeight="1">
      <c r="A948" s="175"/>
      <c r="B948" s="175"/>
      <c r="C948" s="174"/>
      <c r="D948" s="1303"/>
      <c r="E948" s="1303"/>
      <c r="F948" s="1303"/>
      <c r="G948" s="988"/>
      <c r="I948" s="490"/>
    </row>
    <row r="949" spans="1:9" ht="12.75" customHeight="1">
      <c r="A949" s="175"/>
      <c r="B949" s="175"/>
      <c r="C949" s="174"/>
      <c r="D949" s="1303"/>
      <c r="E949" s="1303"/>
      <c r="F949" s="1303"/>
      <c r="G949" s="988"/>
      <c r="I949" s="490"/>
    </row>
    <row r="950" spans="1:9" ht="12.75" customHeight="1">
      <c r="A950" s="175"/>
      <c r="B950" s="175"/>
      <c r="C950" s="174"/>
      <c r="D950" s="1303"/>
      <c r="E950" s="1303"/>
      <c r="F950" s="1303"/>
      <c r="G950" s="988"/>
      <c r="I950" s="490"/>
    </row>
    <row r="951" spans="1:9" ht="12.75" customHeight="1">
      <c r="A951" s="175"/>
      <c r="B951" s="175"/>
      <c r="C951" s="174"/>
      <c r="D951" s="1026"/>
      <c r="E951" s="1026"/>
      <c r="F951" s="1026"/>
      <c r="G951" s="988"/>
      <c r="I951" s="490"/>
    </row>
    <row r="952" spans="1:9" ht="12.75" customHeight="1">
      <c r="A952" s="175"/>
      <c r="B952" s="485" t="s">
        <v>2668</v>
      </c>
      <c r="C952" s="174"/>
      <c r="D952" s="1278" t="s">
        <v>2137</v>
      </c>
      <c r="E952" s="1278"/>
      <c r="F952" s="1278"/>
      <c r="G952" s="988"/>
      <c r="I952" s="490"/>
    </row>
    <row r="953" spans="1:9" ht="12.75" customHeight="1">
      <c r="A953" s="175"/>
      <c r="B953" s="175"/>
      <c r="C953" s="174"/>
      <c r="D953" s="1278"/>
      <c r="E953" s="1278"/>
      <c r="F953" s="1278"/>
      <c r="G953" s="988"/>
      <c r="I953" s="490"/>
    </row>
    <row r="954" spans="1:9" ht="12.75" customHeight="1">
      <c r="A954" s="175"/>
      <c r="B954" s="175"/>
      <c r="C954" s="174"/>
      <c r="D954" s="1278"/>
      <c r="E954" s="1278"/>
      <c r="F954" s="1278"/>
      <c r="G954" s="988"/>
      <c r="I954" s="490"/>
    </row>
    <row r="955" spans="1:9" ht="12.75" customHeight="1">
      <c r="A955" s="175"/>
      <c r="B955" s="175"/>
      <c r="C955" s="174"/>
      <c r="D955" s="1278"/>
      <c r="E955" s="1278"/>
      <c r="F955" s="1278"/>
      <c r="G955" s="988"/>
      <c r="I955" s="490"/>
    </row>
    <row r="956" spans="1:9" ht="12.75" customHeight="1">
      <c r="A956" s="175"/>
      <c r="B956" s="175"/>
      <c r="C956" s="174"/>
      <c r="D956" s="1278"/>
      <c r="E956" s="1278"/>
      <c r="F956" s="1278"/>
      <c r="G956" s="988"/>
      <c r="I956" s="490"/>
    </row>
    <row r="957" spans="1:9" ht="12.75" customHeight="1">
      <c r="A957" s="175"/>
      <c r="B957" s="175"/>
      <c r="C957" s="174"/>
      <c r="D957" s="1278"/>
      <c r="E957" s="1278"/>
      <c r="F957" s="1278"/>
      <c r="G957" s="988"/>
      <c r="I957" s="490"/>
    </row>
    <row r="958" spans="1:9" ht="12.75" customHeight="1">
      <c r="A958" s="175"/>
      <c r="B958" s="175"/>
      <c r="C958" s="174"/>
      <c r="D958" s="1026"/>
      <c r="E958" s="1026"/>
      <c r="F958" s="1026"/>
      <c r="G958" s="988"/>
      <c r="I958" s="490"/>
    </row>
    <row r="959" spans="1:9" ht="12.75" customHeight="1">
      <c r="A959" s="989"/>
      <c r="B959" s="485" t="s">
        <v>2669</v>
      </c>
      <c r="C959" s="989"/>
      <c r="D959" s="1295" t="s">
        <v>1783</v>
      </c>
      <c r="E959" s="1295"/>
      <c r="F959" s="1295"/>
      <c r="G959" s="988"/>
      <c r="I959" s="490"/>
    </row>
    <row r="960" spans="1:9" ht="12.75" customHeight="1">
      <c r="A960" s="989"/>
      <c r="B960" s="989"/>
      <c r="C960" s="989"/>
      <c r="D960" s="1295"/>
      <c r="E960" s="1295"/>
      <c r="F960" s="1295"/>
      <c r="G960" s="988"/>
      <c r="I960" s="490"/>
    </row>
    <row r="961" spans="1:9" ht="12.75" customHeight="1">
      <c r="A961" s="989"/>
      <c r="B961" s="989"/>
      <c r="C961" s="989"/>
      <c r="D961" s="1295"/>
      <c r="E961" s="1295"/>
      <c r="F961" s="1295"/>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2669</v>
      </c>
      <c r="C964" s="174"/>
      <c r="D964" s="1279" t="s">
        <v>1885</v>
      </c>
      <c r="E964" s="1279"/>
      <c r="F964" s="1279"/>
      <c r="G964" s="988"/>
      <c r="I964" s="490"/>
    </row>
    <row r="965" spans="1:9" ht="12.75" customHeight="1">
      <c r="A965" s="175"/>
      <c r="B965" s="175"/>
      <c r="C965" s="174"/>
      <c r="D965" s="1279"/>
      <c r="E965" s="1279"/>
      <c r="F965" s="1279"/>
      <c r="G965" s="988"/>
      <c r="I965" s="490"/>
    </row>
    <row r="966" spans="1:9" ht="12.75" customHeight="1">
      <c r="A966" s="175"/>
      <c r="B966" s="175"/>
      <c r="C966" s="174"/>
      <c r="D966" s="1279"/>
      <c r="E966" s="1279"/>
      <c r="F966" s="1279"/>
      <c r="G966" s="988"/>
      <c r="I966" s="490"/>
    </row>
    <row r="967" spans="1:9" ht="12.75" customHeight="1">
      <c r="A967" s="175"/>
      <c r="B967" s="175"/>
      <c r="C967" s="174"/>
      <c r="D967" s="1279"/>
      <c r="E967" s="1279"/>
      <c r="F967" s="1279"/>
      <c r="G967" s="988"/>
      <c r="I967" s="490"/>
    </row>
    <row r="968" spans="1:9" ht="12.75" customHeight="1">
      <c r="A968" s="989"/>
      <c r="B968" s="989"/>
      <c r="C968" s="989"/>
      <c r="D968" s="980"/>
      <c r="E968" s="980"/>
      <c r="F968" s="980"/>
      <c r="G968" s="980"/>
      <c r="I968" s="490"/>
    </row>
    <row r="969" spans="1:9" ht="12.75" customHeight="1">
      <c r="A969" s="354"/>
      <c r="B969" s="354"/>
      <c r="C969" s="354"/>
      <c r="D969" s="1301" t="s">
        <v>1784</v>
      </c>
      <c r="E969" s="1301"/>
      <c r="F969" s="1301"/>
      <c r="G969" s="3"/>
      <c r="I969" s="490"/>
    </row>
    <row r="970" spans="1:9" ht="12.75" customHeight="1">
      <c r="A970" s="175"/>
      <c r="B970" s="485" t="s">
        <v>2669</v>
      </c>
      <c r="C970" s="354"/>
      <c r="D970" s="1294" t="s">
        <v>1807</v>
      </c>
      <c r="E970" s="1294"/>
      <c r="F970" s="1294"/>
      <c r="G970" s="3"/>
      <c r="I970" s="490"/>
    </row>
    <row r="971" spans="1:9" ht="12.75" customHeight="1">
      <c r="A971" s="354"/>
      <c r="B971" s="354"/>
      <c r="C971" s="354"/>
      <c r="D971" s="3"/>
      <c r="E971" s="3"/>
      <c r="F971" s="3"/>
      <c r="G971" s="3"/>
      <c r="I971" s="490"/>
    </row>
    <row r="972" spans="1:9" ht="12.75" customHeight="1">
      <c r="A972" s="354"/>
      <c r="B972" s="354"/>
      <c r="C972" s="354"/>
      <c r="D972" s="1301" t="s">
        <v>1785</v>
      </c>
      <c r="E972" s="1301"/>
      <c r="F972" s="1301"/>
      <c r="G972"/>
      <c r="I972" s="490"/>
    </row>
    <row r="973" spans="1:9" ht="12.75" customHeight="1">
      <c r="A973" s="175"/>
      <c r="B973" s="485" t="s">
        <v>2668</v>
      </c>
      <c r="C973" s="354"/>
      <c r="D973" s="1268" t="s">
        <v>2071</v>
      </c>
      <c r="E973" s="1268"/>
      <c r="F973" s="1268"/>
      <c r="G973"/>
      <c r="I973" s="490"/>
    </row>
    <row r="974" spans="1:9" ht="12.75" customHeight="1">
      <c r="A974" s="175"/>
      <c r="B974" s="175"/>
      <c r="C974" s="354"/>
      <c r="D974" s="1268"/>
      <c r="E974" s="1268"/>
      <c r="F974" s="1268"/>
      <c r="G974"/>
      <c r="I974" s="490"/>
    </row>
    <row r="975" spans="1:9" ht="12.75" customHeight="1">
      <c r="A975" s="175"/>
      <c r="B975" s="175"/>
      <c r="C975" s="354"/>
      <c r="D975" s="1268"/>
      <c r="E975" s="1268"/>
      <c r="F975" s="1268"/>
      <c r="G975"/>
      <c r="I975" s="490"/>
    </row>
    <row r="976" spans="1:9" ht="12.75" customHeight="1">
      <c r="A976" s="175"/>
      <c r="B976" s="175"/>
      <c r="C976" s="354"/>
      <c r="D976" s="1268"/>
      <c r="E976" s="1268"/>
      <c r="F976" s="1268"/>
      <c r="G976"/>
      <c r="I976" s="490"/>
    </row>
    <row r="977" spans="1:9" ht="12.75" customHeight="1">
      <c r="A977" s="175"/>
      <c r="B977" s="175"/>
      <c r="C977" s="354"/>
      <c r="D977" s="1268"/>
      <c r="E977" s="1268"/>
      <c r="F977" s="1268"/>
      <c r="G977"/>
      <c r="I977" s="490"/>
    </row>
    <row r="978" spans="1:9" ht="12.75" customHeight="1">
      <c r="A978" s="175"/>
      <c r="B978" s="175"/>
      <c r="C978" s="354"/>
      <c r="D978" s="1268"/>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s="3"/>
      <c r="I987" s="490"/>
    </row>
    <row r="988" spans="1:9" ht="12.75" customHeight="1">
      <c r="A988" s="354"/>
      <c r="B988" s="354"/>
      <c r="C988" s="354"/>
      <c r="D988" s="3"/>
      <c r="E988" s="3"/>
      <c r="F988" s="3"/>
      <c r="G988" s="3"/>
      <c r="I988" s="490"/>
    </row>
    <row r="989" spans="1:9" ht="12.75" customHeight="1">
      <c r="A989" s="1291" t="s">
        <v>1786</v>
      </c>
      <c r="B989" s="1291"/>
      <c r="C989" s="1291"/>
      <c r="D989" s="1291"/>
      <c r="E989" s="1291"/>
      <c r="F989" s="1291"/>
      <c r="G989" s="1291"/>
      <c r="H989" s="1028"/>
      <c r="I989" s="1153"/>
    </row>
    <row r="990" spans="1:9" ht="12.75" customHeight="1">
      <c r="A990" s="118"/>
      <c r="B990" s="118"/>
      <c r="C990" s="354"/>
      <c r="D990" s="3"/>
      <c r="E990" s="3"/>
      <c r="F990" s="3"/>
      <c r="G990" s="3"/>
      <c r="I990" s="490"/>
    </row>
    <row r="991" spans="1:9" ht="12.75" customHeight="1">
      <c r="A991" s="354"/>
      <c r="B991" s="354"/>
      <c r="C991" s="989"/>
      <c r="D991" s="1301" t="s">
        <v>1808</v>
      </c>
      <c r="E991" s="1301"/>
      <c r="F991" s="1301"/>
      <c r="G991" s="3"/>
      <c r="I991" s="490"/>
    </row>
    <row r="992" spans="1:9" ht="12.75" customHeight="1">
      <c r="A992" s="172"/>
      <c r="B992" s="172"/>
      <c r="C992" s="172"/>
      <c r="D992" s="1294" t="s">
        <v>1787</v>
      </c>
      <c r="E992" s="1294"/>
      <c r="F992" s="1294"/>
      <c r="G992" s="3"/>
      <c r="I992" s="490"/>
    </row>
    <row r="993" spans="1:9" ht="12.75" customHeight="1">
      <c r="A993" s="172"/>
      <c r="B993" s="172"/>
      <c r="C993" s="172"/>
      <c r="D993" s="3"/>
      <c r="E993" s="3"/>
      <c r="F993" s="988"/>
      <c r="G993"/>
      <c r="I993" s="490"/>
    </row>
    <row r="994" spans="1:9" ht="12.75" customHeight="1">
      <c r="A994" s="354"/>
      <c r="B994" s="485" t="s">
        <v>2668</v>
      </c>
      <c r="C994" s="354"/>
      <c r="D994" s="1302" t="s">
        <v>1915</v>
      </c>
      <c r="E994" s="1302"/>
      <c r="F994" s="1302"/>
      <c r="G994"/>
      <c r="I994" s="490"/>
    </row>
    <row r="995" spans="1:9" ht="12.75" customHeight="1">
      <c r="A995" s="354"/>
      <c r="B995" s="354"/>
      <c r="C995" s="354"/>
      <c r="D995" s="1302"/>
      <c r="E995" s="1302"/>
      <c r="F995" s="1302"/>
      <c r="G995"/>
      <c r="I995" s="490"/>
    </row>
    <row r="996" spans="1:9" ht="12.75" customHeight="1">
      <c r="A996" s="354"/>
      <c r="B996" s="354"/>
      <c r="C996" s="354"/>
      <c r="D996" s="1038"/>
      <c r="E996" s="1036" t="s">
        <v>1916</v>
      </c>
      <c r="F996" s="1038"/>
      <c r="G996"/>
      <c r="I996" s="490"/>
    </row>
    <row r="997" spans="1:9" ht="12.75" customHeight="1">
      <c r="A997" s="354"/>
      <c r="B997" s="354"/>
      <c r="C997" s="354"/>
      <c r="D997" s="1273" t="s">
        <v>1914</v>
      </c>
      <c r="E997" s="1273"/>
      <c r="F997" s="1273"/>
      <c r="G997"/>
      <c r="I997" s="490"/>
    </row>
    <row r="998" spans="1:9" ht="12.75" customHeight="1">
      <c r="A998" s="354"/>
      <c r="B998" s="354"/>
      <c r="C998" s="354"/>
      <c r="D998" s="1273"/>
      <c r="E998" s="1273"/>
      <c r="F998" s="1273"/>
      <c r="G998"/>
      <c r="I998" s="490"/>
    </row>
    <row r="999" spans="1:9" ht="12.75" customHeight="1">
      <c r="A999" s="174"/>
      <c r="B999" s="174"/>
      <c r="C999" s="174"/>
      <c r="D999" s="1273"/>
      <c r="E999" s="1273"/>
      <c r="F999" s="1273"/>
      <c r="G999"/>
      <c r="I999" s="490"/>
    </row>
    <row r="1000" spans="1:9" ht="12.75" customHeight="1">
      <c r="A1000" s="174"/>
      <c r="B1000" s="174"/>
      <c r="C1000" s="174"/>
      <c r="D1000" s="1273"/>
      <c r="E1000" s="1273"/>
      <c r="F1000" s="1273"/>
      <c r="G1000"/>
      <c r="I1000" s="490"/>
    </row>
    <row r="1001" spans="1:9" ht="12.75" customHeight="1">
      <c r="A1001" s="174"/>
      <c r="B1001" s="174"/>
      <c r="C1001" s="174"/>
      <c r="D1001" s="335"/>
      <c r="E1001" s="335"/>
      <c r="F1001" s="335"/>
      <c r="G1001"/>
      <c r="I1001" s="490"/>
    </row>
    <row r="1002" spans="1:9" ht="12.75" customHeight="1">
      <c r="A1002" s="174"/>
      <c r="B1002" s="485" t="s">
        <v>2669</v>
      </c>
      <c r="C1002" s="174"/>
      <c r="D1002" s="1268" t="s">
        <v>1788</v>
      </c>
      <c r="E1002" s="1268"/>
      <c r="F1002" s="1268"/>
      <c r="G1002"/>
      <c r="I1002" s="490"/>
    </row>
    <row r="1003" spans="1:9" ht="12.75" customHeight="1">
      <c r="A1003" s="174"/>
      <c r="B1003" s="174"/>
      <c r="C1003" s="174"/>
      <c r="D1003" s="1268"/>
      <c r="E1003" s="1268"/>
      <c r="F1003" s="1268"/>
      <c r="G1003"/>
      <c r="I1003" s="490"/>
    </row>
    <row r="1004" spans="1:9" ht="12.75" customHeight="1">
      <c r="A1004" s="174"/>
      <c r="B1004" s="174"/>
      <c r="C1004" s="174"/>
      <c r="D1004" s="1268"/>
      <c r="E1004" s="1268"/>
      <c r="F1004" s="1268"/>
      <c r="G1004"/>
      <c r="I1004" s="490"/>
    </row>
    <row r="1005" spans="1:9" ht="12.75" customHeight="1">
      <c r="A1005" s="174"/>
      <c r="B1005" s="174"/>
      <c r="C1005" s="174"/>
      <c r="D1005" s="1268"/>
      <c r="E1005" s="1268"/>
      <c r="F1005" s="1268"/>
      <c r="G1005"/>
      <c r="I1005" s="490"/>
    </row>
    <row r="1006" spans="1:9" ht="12.75" customHeight="1">
      <c r="A1006" s="174"/>
      <c r="B1006" s="174"/>
      <c r="C1006" s="174"/>
      <c r="D1006" s="441"/>
      <c r="E1006" s="441"/>
      <c r="F1006" s="441"/>
      <c r="G1006"/>
      <c r="I1006" s="490"/>
    </row>
    <row r="1007" spans="1:9" ht="12.75" customHeight="1">
      <c r="A1007" s="174"/>
      <c r="B1007" s="485" t="s">
        <v>2669</v>
      </c>
      <c r="C1007" s="174"/>
      <c r="D1007" s="1268" t="s">
        <v>2229</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441"/>
      <c r="E1009" s="441"/>
      <c r="F1009" s="441"/>
      <c r="G1009"/>
      <c r="I1009" s="490"/>
    </row>
    <row r="1010" spans="1:9" ht="12.75" customHeight="1">
      <c r="A1010" s="175"/>
      <c r="B1010" s="485" t="s">
        <v>2669</v>
      </c>
      <c r="C1010" s="354"/>
      <c r="D1010" s="1294" t="s">
        <v>1789</v>
      </c>
      <c r="E1010" s="1294"/>
      <c r="F1010" s="1294"/>
      <c r="G1010"/>
      <c r="I1010" s="490"/>
    </row>
    <row r="1011" spans="1:9" ht="12.75" customHeight="1">
      <c r="A1011" s="354"/>
      <c r="B1011" s="354"/>
      <c r="C1011" s="354"/>
      <c r="D1011" s="3"/>
      <c r="E1011" s="3"/>
      <c r="F1011" s="3"/>
      <c r="G1011"/>
      <c r="I1011" s="490"/>
    </row>
    <row r="1012" spans="1:9" ht="12.75" customHeight="1">
      <c r="A1012" s="175"/>
      <c r="B1012" s="485" t="s">
        <v>2669</v>
      </c>
      <c r="C1012" s="354"/>
      <c r="D1012" s="1294" t="s">
        <v>1790</v>
      </c>
      <c r="E1012" s="1294"/>
      <c r="F1012" s="1294"/>
      <c r="G1012"/>
      <c r="I1012" s="490"/>
    </row>
    <row r="1013" spans="1:9" ht="12.75" customHeight="1">
      <c r="A1013" s="354"/>
      <c r="B1013" s="354"/>
      <c r="C1013" s="354"/>
      <c r="D1013" s="118"/>
      <c r="E1013" s="3"/>
      <c r="F1013" s="3"/>
      <c r="G1013"/>
      <c r="I1013" s="490"/>
    </row>
    <row r="1014" spans="1:9" ht="12.75" customHeight="1">
      <c r="A1014" s="175"/>
      <c r="B1014" s="485" t="s">
        <v>2668</v>
      </c>
      <c r="C1014" s="354"/>
      <c r="D1014" s="1294" t="s">
        <v>1791</v>
      </c>
      <c r="E1014" s="1294"/>
      <c r="F1014" s="1294"/>
      <c r="G1014"/>
      <c r="I1014" s="490"/>
    </row>
    <row r="1015" spans="1:9" ht="12.75" customHeight="1">
      <c r="A1015" s="354"/>
      <c r="B1015" s="354"/>
      <c r="C1015" s="354"/>
      <c r="D1015" s="118"/>
      <c r="E1015" s="3"/>
      <c r="F1015" s="3"/>
      <c r="G1015"/>
      <c r="I1015" s="490"/>
    </row>
    <row r="1016" spans="1:9" ht="12.75" customHeight="1">
      <c r="A1016" s="175"/>
      <c r="B1016" s="485" t="s">
        <v>2668</v>
      </c>
      <c r="C1016" s="354"/>
      <c r="D1016" s="1268" t="s">
        <v>1792</v>
      </c>
      <c r="E1016" s="1268"/>
      <c r="F1016" s="1268"/>
      <c r="G1016"/>
      <c r="I1016" s="490"/>
    </row>
    <row r="1017" spans="1:9" ht="12.75" customHeight="1">
      <c r="A1017" s="175"/>
      <c r="B1017" s="175"/>
      <c r="C1017" s="354"/>
      <c r="D1017" s="1268"/>
      <c r="E1017" s="1268"/>
      <c r="F1017" s="1268"/>
      <c r="G1017"/>
      <c r="I1017" s="490"/>
    </row>
    <row r="1018" spans="1:9" ht="12.75" customHeight="1">
      <c r="A1018" s="175"/>
      <c r="B1018" s="175"/>
      <c r="C1018" s="354"/>
      <c r="D1018" s="118"/>
      <c r="E1018" s="3"/>
      <c r="F1018" s="3"/>
      <c r="G1018" s="3"/>
      <c r="I1018" s="490"/>
    </row>
    <row r="1019" spans="1:9" ht="12.75" customHeight="1">
      <c r="A1019" s="254"/>
      <c r="B1019" s="485" t="s">
        <v>2669</v>
      </c>
      <c r="C1019" s="1000"/>
      <c r="D1019" s="1300" t="s">
        <v>1793</v>
      </c>
      <c r="E1019" s="1300"/>
      <c r="F1019" s="1300"/>
      <c r="G1019" s="1001"/>
      <c r="I1019" s="490"/>
    </row>
    <row r="1020" spans="1:9" ht="12.75" customHeight="1">
      <c r="A1020" s="1000"/>
      <c r="B1020" s="1000"/>
      <c r="C1020" s="1000"/>
      <c r="D1020" s="1300"/>
      <c r="E1020" s="1300"/>
      <c r="F1020" s="1300"/>
      <c r="G1020" s="1001"/>
      <c r="I1020" s="490"/>
    </row>
    <row r="1021" spans="1:9" ht="12.75" customHeight="1">
      <c r="A1021" s="1000"/>
      <c r="B1021" s="1000"/>
      <c r="C1021" s="1000"/>
      <c r="D1021" s="984"/>
      <c r="E1021" s="1001"/>
      <c r="F1021" s="1001"/>
      <c r="G1021" s="1001"/>
      <c r="I1021" s="490"/>
    </row>
    <row r="1022" spans="1:9" ht="12.75" customHeight="1">
      <c r="A1022" s="254"/>
      <c r="B1022" s="485" t="s">
        <v>2669</v>
      </c>
      <c r="C1022" s="1000"/>
      <c r="D1022" s="1290" t="s">
        <v>1794</v>
      </c>
      <c r="E1022" s="1290"/>
      <c r="F1022" s="1290"/>
      <c r="G1022" s="1001"/>
      <c r="I1022" s="490"/>
    </row>
    <row r="1023" spans="1:9" ht="12.75" customHeight="1">
      <c r="A1023" s="1000"/>
      <c r="B1023" s="1000"/>
      <c r="C1023" s="1000"/>
      <c r="D1023" s="984"/>
      <c r="E1023" s="1001"/>
      <c r="F1023" s="1001"/>
      <c r="G1023" s="1001"/>
      <c r="I1023" s="490"/>
    </row>
    <row r="1024" spans="1:9" ht="12.75" customHeight="1">
      <c r="A1024" s="175"/>
      <c r="B1024" s="485" t="s">
        <v>2669</v>
      </c>
      <c r="C1024" s="354"/>
      <c r="D1024" s="1294" t="s">
        <v>1795</v>
      </c>
      <c r="E1024" s="1294"/>
      <c r="F1024" s="1294"/>
      <c r="G1024" s="3"/>
      <c r="I1024" s="490"/>
    </row>
    <row r="1025" spans="1:9" ht="12.75" customHeight="1">
      <c r="A1025" s="175"/>
      <c r="B1025" s="175"/>
      <c r="C1025" s="354"/>
      <c r="D1025" s="118"/>
      <c r="E1025" s="3"/>
      <c r="F1025" s="3"/>
      <c r="G1025" s="3"/>
      <c r="I1025" s="490"/>
    </row>
    <row r="1026" spans="1:9" ht="12.75" customHeight="1">
      <c r="A1026" s="175"/>
      <c r="B1026" s="485" t="s">
        <v>2669</v>
      </c>
      <c r="C1026" s="354"/>
      <c r="D1026" s="1268" t="s">
        <v>1796</v>
      </c>
      <c r="E1026" s="1268"/>
      <c r="F1026" s="1268"/>
      <c r="G1026" s="3"/>
      <c r="I1026" s="490"/>
    </row>
    <row r="1027" spans="1:9" ht="12.75" customHeight="1">
      <c r="A1027" s="175"/>
      <c r="B1027" s="175"/>
      <c r="C1027" s="354"/>
      <c r="D1027" s="1268"/>
      <c r="E1027" s="1268"/>
      <c r="F1027" s="1268"/>
      <c r="G1027" s="3"/>
      <c r="I1027" s="490"/>
    </row>
    <row r="1028" spans="1:9" ht="12.75" customHeight="1">
      <c r="A1028" s="354"/>
      <c r="B1028" s="354"/>
      <c r="C1028" s="354"/>
      <c r="D1028" s="3"/>
      <c r="E1028" s="3"/>
      <c r="F1028" s="3"/>
      <c r="G1028" s="3"/>
      <c r="I1028" s="490"/>
    </row>
    <row r="1029" spans="1:9" ht="12.75" customHeight="1">
      <c r="A1029" s="1291" t="s">
        <v>1797</v>
      </c>
      <c r="B1029" s="1291"/>
      <c r="C1029" s="1291"/>
      <c r="D1029" s="1291"/>
      <c r="E1029" s="1291"/>
      <c r="F1029" s="1291"/>
      <c r="G1029" s="1291"/>
      <c r="H1029" s="1028"/>
      <c r="I1029" s="1153"/>
    </row>
    <row r="1030" spans="1:9" ht="12.75" customHeight="1">
      <c r="A1030" s="354"/>
      <c r="B1030" s="354"/>
      <c r="C1030" s="354"/>
      <c r="D1030" s="3"/>
      <c r="E1030" s="3"/>
      <c r="F1030" s="3"/>
      <c r="G1030" s="3"/>
      <c r="I1030" s="490"/>
    </row>
    <row r="1031" spans="1:9" ht="12.75" customHeight="1">
      <c r="A1031" s="354"/>
      <c r="B1031" s="354"/>
      <c r="C1031" s="354"/>
      <c r="D1031" s="1289" t="s">
        <v>1798</v>
      </c>
      <c r="E1031" s="1289"/>
      <c r="F1031" s="1289"/>
      <c r="G1031" s="3"/>
      <c r="I1031" s="490"/>
    </row>
    <row r="1032" spans="1:9" ht="12.75" customHeight="1">
      <c r="A1032" s="354"/>
      <c r="B1032" s="354"/>
      <c r="C1032" s="354"/>
      <c r="D1032" s="1290" t="s">
        <v>1799</v>
      </c>
      <c r="E1032" s="1290"/>
      <c r="F1032" s="1290"/>
      <c r="G1032" s="3"/>
      <c r="I1032" s="490"/>
    </row>
    <row r="1033" spans="1:9" ht="12.75" customHeight="1">
      <c r="A1033" s="172"/>
      <c r="B1033" s="172"/>
      <c r="C1033" s="172"/>
      <c r="D1033" s="3"/>
      <c r="E1033" s="3"/>
      <c r="F1033" s="3"/>
      <c r="G1033" s="3"/>
      <c r="I1033" s="490"/>
    </row>
    <row r="1034" spans="1:9" ht="12.75" customHeight="1">
      <c r="A1034" s="175"/>
      <c r="B1034" s="175"/>
      <c r="C1034" s="174"/>
      <c r="D1034" s="1289" t="s">
        <v>1813</v>
      </c>
      <c r="E1034" s="1289"/>
      <c r="F1034" s="1289"/>
      <c r="G1034" s="3"/>
      <c r="I1034" s="490"/>
    </row>
    <row r="1035" spans="1:9" ht="12.75" customHeight="1">
      <c r="A1035" s="354"/>
      <c r="B1035" s="485" t="s">
        <v>2668</v>
      </c>
      <c r="C1035" s="354"/>
      <c r="D1035" s="1290" t="s">
        <v>1271</v>
      </c>
      <c r="E1035" s="1290"/>
      <c r="F1035" s="1290"/>
      <c r="G1035" s="3"/>
      <c r="I1035" s="490"/>
    </row>
    <row r="1036" spans="1:9" ht="12.75" customHeight="1">
      <c r="A1036" s="354"/>
      <c r="B1036" s="175"/>
      <c r="C1036" s="354"/>
      <c r="D1036" s="1290" t="s">
        <v>1800</v>
      </c>
      <c r="E1036" s="1290"/>
      <c r="F1036" s="1290"/>
      <c r="G1036" s="3"/>
      <c r="I1036" s="490"/>
    </row>
    <row r="1037" spans="1:9" ht="12.75" customHeight="1">
      <c r="A1037" s="354"/>
      <c r="B1037" s="354"/>
      <c r="C1037" s="354"/>
      <c r="D1037" s="1290"/>
      <c r="E1037" s="1290"/>
      <c r="F1037" s="1290"/>
      <c r="G1037" s="3"/>
      <c r="I1037" s="490"/>
    </row>
    <row r="1038" spans="1:9" ht="12.75" customHeight="1">
      <c r="A1038" s="1291" t="s">
        <v>1809</v>
      </c>
      <c r="B1038" s="1291"/>
      <c r="C1038" s="1291"/>
      <c r="D1038" s="1291"/>
      <c r="E1038" s="1291"/>
      <c r="F1038" s="1291"/>
      <c r="G1038" s="1291"/>
      <c r="H1038" s="1028"/>
      <c r="I1038" s="1153"/>
    </row>
    <row r="1039" spans="1:9" ht="12.75" customHeight="1">
      <c r="A1039" s="118"/>
      <c r="B1039" s="118"/>
      <c r="C1039" s="354"/>
      <c r="D1039" s="3"/>
      <c r="E1039" s="3"/>
      <c r="F1039" s="3"/>
      <c r="G1039" s="3"/>
      <c r="I1039" s="490"/>
    </row>
    <row r="1040" spans="1:9" ht="12.75" hidden="1" customHeight="1">
      <c r="A1040" s="118"/>
      <c r="B1040" s="402"/>
      <c r="D1040" s="1288" t="s">
        <v>1272</v>
      </c>
      <c r="E1040" s="1288"/>
      <c r="F1040" s="1288"/>
      <c r="G1040" s="3"/>
      <c r="I1040" s="490"/>
    </row>
    <row r="1041" spans="1:9" ht="12.75" hidden="1" customHeight="1">
      <c r="A1041" s="118"/>
      <c r="B1041" s="485" t="s">
        <v>307</v>
      </c>
      <c r="D1041" s="1287" t="s">
        <v>1271</v>
      </c>
      <c r="E1041" s="1287"/>
      <c r="F1041" s="1287"/>
      <c r="G1041" s="3"/>
      <c r="I1041" s="490"/>
    </row>
    <row r="1042" spans="1:9" ht="12.75" hidden="1" customHeight="1">
      <c r="A1042" s="118"/>
      <c r="B1042" s="402"/>
      <c r="D1042" s="1287" t="s">
        <v>1810</v>
      </c>
      <c r="E1042" s="1287"/>
      <c r="F1042" s="1287"/>
      <c r="G1042" s="3"/>
      <c r="I1042" s="490"/>
    </row>
    <row r="1043" spans="1:9" ht="12.75" hidden="1" customHeight="1">
      <c r="A1043" s="118"/>
      <c r="B1043" s="402"/>
      <c r="D1043" s="444"/>
      <c r="E1043" s="444"/>
      <c r="F1043" s="444"/>
      <c r="G1043" s="3"/>
      <c r="I1043" s="490"/>
    </row>
    <row r="1044" spans="1:9" ht="12.75" customHeight="1">
      <c r="A1044" s="118"/>
      <c r="B1044" s="118"/>
      <c r="C1044" s="354"/>
      <c r="D1044" s="1292" t="s">
        <v>1066</v>
      </c>
      <c r="E1044" s="1292"/>
      <c r="F1044" s="1292"/>
      <c r="G1044" s="3"/>
      <c r="I1044" s="490"/>
    </row>
    <row r="1045" spans="1:9" ht="12.75" customHeight="1">
      <c r="A1045" s="319"/>
      <c r="B1045" s="319"/>
      <c r="C1045" s="319"/>
      <c r="D1045" s="1293" t="s">
        <v>2247</v>
      </c>
      <c r="E1045" s="1293"/>
      <c r="F1045" s="1293"/>
      <c r="G1045" s="98"/>
      <c r="I1045" s="490"/>
    </row>
    <row r="1046" spans="1:9" ht="12.75" customHeight="1">
      <c r="A1046" s="175"/>
      <c r="B1046" s="485" t="s">
        <v>2669</v>
      </c>
      <c r="C1046" s="354"/>
      <c r="D1046" s="1293" t="s">
        <v>985</v>
      </c>
      <c r="E1046" s="1293"/>
      <c r="F1046" s="129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91" t="s">
        <v>1830</v>
      </c>
      <c r="B1049" s="1291"/>
      <c r="C1049" s="1291"/>
      <c r="D1049" s="1291"/>
      <c r="E1049" s="1291"/>
      <c r="F1049" s="1291"/>
      <c r="G1049" s="129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2669</v>
      </c>
      <c r="C1054" s="402"/>
      <c r="D1054" s="1297" t="s">
        <v>1814</v>
      </c>
      <c r="E1054" s="1297"/>
      <c r="F1054" s="1297"/>
      <c r="I1054" s="490"/>
    </row>
    <row r="1055" spans="1:9">
      <c r="A1055" s="402"/>
      <c r="B1055" s="402"/>
      <c r="C1055" s="402"/>
      <c r="D1055" s="1297"/>
      <c r="E1055" s="1297"/>
      <c r="F1055" s="1297"/>
      <c r="I1055" s="490"/>
    </row>
    <row r="1056" spans="1:9">
      <c r="A1056" s="402"/>
      <c r="B1056" s="402"/>
      <c r="C1056" s="402"/>
      <c r="D1056" s="1297"/>
      <c r="E1056" s="1297"/>
      <c r="F1056" s="1297"/>
      <c r="I1056" s="490"/>
    </row>
    <row r="1057" spans="1:9">
      <c r="A1057" s="402"/>
      <c r="B1057" s="402"/>
      <c r="C1057" s="402"/>
      <c r="D1057" s="1297"/>
      <c r="E1057" s="1297"/>
      <c r="F1057" s="129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2668</v>
      </c>
      <c r="C1062" s="402"/>
      <c r="D1062" s="402" t="s">
        <v>1812</v>
      </c>
      <c r="I1062" s="490"/>
    </row>
    <row r="1063" spans="1:9">
      <c r="A1063" s="402"/>
      <c r="B1063" s="402"/>
      <c r="C1063" s="402"/>
      <c r="I1063" s="490"/>
    </row>
    <row r="1064" spans="1:9">
      <c r="A1064" s="402"/>
      <c r="B1064" s="485" t="s">
        <v>2668</v>
      </c>
      <c r="C1064" s="402"/>
      <c r="D1064" s="1297" t="s">
        <v>1818</v>
      </c>
      <c r="E1064" s="1297"/>
      <c r="F1064" s="1297"/>
      <c r="I1064" s="490"/>
    </row>
    <row r="1065" spans="1:9">
      <c r="A1065" s="402"/>
      <c r="B1065" s="402"/>
      <c r="C1065" s="402"/>
      <c r="D1065" s="1297"/>
      <c r="E1065" s="1297"/>
      <c r="F1065" s="1297"/>
      <c r="I1065" s="490"/>
    </row>
    <row r="1066" spans="1:9">
      <c r="A1066" s="402"/>
      <c r="B1066" s="402"/>
      <c r="C1066" s="402"/>
      <c r="D1066" s="1297"/>
      <c r="E1066" s="1297"/>
      <c r="F1066" s="1297"/>
      <c r="I1066" s="490"/>
    </row>
    <row r="1067" spans="1:9">
      <c r="A1067" s="402"/>
      <c r="B1067" s="402"/>
      <c r="C1067" s="402"/>
      <c r="D1067" s="1297"/>
      <c r="E1067" s="1297"/>
      <c r="F1067" s="1297"/>
      <c r="I1067" s="490"/>
    </row>
    <row r="1068" spans="1:9">
      <c r="A1068" s="402"/>
      <c r="B1068" s="402"/>
      <c r="C1068" s="402"/>
      <c r="D1068" s="1297"/>
      <c r="E1068" s="1297"/>
      <c r="F1068" s="1297"/>
      <c r="I1068" s="490"/>
    </row>
    <row r="1069" spans="1:9">
      <c r="A1069" s="402"/>
      <c r="B1069" s="402"/>
      <c r="C1069" s="402"/>
      <c r="I1069" s="490"/>
    </row>
    <row r="1070" spa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c r="C1072" s="402"/>
      <c r="I1072" s="490"/>
    </row>
    <row r="1073" spans="1:9">
      <c r="A1073" s="402"/>
      <c r="B1073" s="485" t="s">
        <v>2668</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2669</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2669</v>
      </c>
      <c r="C1079" s="402"/>
      <c r="D1079" s="119" t="s">
        <v>1828</v>
      </c>
      <c r="I1079" s="490"/>
    </row>
    <row r="1080" spans="1:9">
      <c r="A1080" s="402"/>
      <c r="B1080" s="402"/>
      <c r="C1080" s="402"/>
      <c r="D1080" s="1268" t="s">
        <v>1829</v>
      </c>
      <c r="E1080" s="1268"/>
      <c r="F1080" s="1268"/>
      <c r="I1080" s="490"/>
    </row>
    <row r="1081" spans="1:9">
      <c r="A1081" s="402"/>
      <c r="B1081" s="402"/>
      <c r="C1081" s="402"/>
      <c r="D1081" s="1268"/>
      <c r="E1081" s="1268"/>
      <c r="F1081" s="1268"/>
      <c r="I1081" s="490"/>
    </row>
    <row r="1082" spans="1:9">
      <c r="A1082" s="402"/>
      <c r="B1082" s="402"/>
      <c r="C1082" s="402"/>
      <c r="D1082" s="1268"/>
      <c r="E1082" s="1268"/>
      <c r="F1082" s="1268"/>
      <c r="I1082" s="490"/>
    </row>
    <row r="1083" spans="1:9">
      <c r="A1083" s="402"/>
      <c r="B1083" s="402"/>
      <c r="C1083" s="402"/>
      <c r="D1083" s="1268"/>
      <c r="E1083" s="1268"/>
      <c r="F1083" s="1268"/>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2669</v>
      </c>
      <c r="C1087" s="402"/>
      <c r="D1087" s="1296" t="s">
        <v>1821</v>
      </c>
      <c r="E1087" s="1296"/>
      <c r="F1087" s="1296"/>
      <c r="I1087" s="490"/>
    </row>
    <row r="1088" spans="1:9">
      <c r="A1088" s="402"/>
      <c r="B1088" s="402"/>
      <c r="C1088" s="402"/>
      <c r="D1088" s="1296"/>
      <c r="E1088" s="1296"/>
      <c r="F1088" s="1296"/>
      <c r="I1088" s="490"/>
    </row>
    <row r="1089" spans="1:9">
      <c r="A1089" s="402"/>
      <c r="B1089" s="402"/>
      <c r="C1089" s="402"/>
      <c r="D1089" s="1296"/>
      <c r="E1089" s="1296"/>
      <c r="F1089" s="1296"/>
      <c r="I1089" s="490"/>
    </row>
    <row r="1090" spans="1:9">
      <c r="A1090" s="402"/>
      <c r="B1090" s="402"/>
      <c r="C1090" s="402"/>
      <c r="D1090" s="1296"/>
      <c r="E1090" s="1296"/>
      <c r="F1090" s="1296"/>
      <c r="I1090" s="490"/>
    </row>
    <row r="1091" spans="1:9">
      <c r="A1091" s="402"/>
      <c r="B1091" s="402"/>
      <c r="C1091" s="402"/>
      <c r="D1091" s="1296"/>
      <c r="E1091" s="1296"/>
      <c r="F1091" s="1296"/>
      <c r="I1091" s="490"/>
    </row>
    <row r="1092" spans="1:9">
      <c r="A1092" s="402"/>
      <c r="B1092" s="402"/>
      <c r="C1092" s="402"/>
      <c r="D1092" s="527" t="s">
        <v>1826</v>
      </c>
      <c r="I1092" s="490"/>
    </row>
    <row r="1093" spans="1:9">
      <c r="A1093" s="402"/>
      <c r="B1093" s="402"/>
      <c r="C1093" s="402"/>
      <c r="I1093" s="490"/>
    </row>
    <row r="1094" spans="1:9">
      <c r="A1094" s="402"/>
      <c r="B1094" s="485" t="s">
        <v>2669</v>
      </c>
      <c r="C1094" s="402"/>
      <c r="D1094" s="1282" t="s">
        <v>2280</v>
      </c>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I1097" s="490"/>
    </row>
    <row r="1098" spans="1:9">
      <c r="A1098" s="1291" t="s">
        <v>1831</v>
      </c>
      <c r="B1098" s="1291"/>
      <c r="C1098" s="1291"/>
      <c r="D1098" s="1291"/>
      <c r="E1098" s="1291"/>
      <c r="F1098" s="1291"/>
      <c r="G1098" s="1291"/>
      <c r="H1098" s="1028"/>
      <c r="I1098" s="1153"/>
    </row>
    <row r="1099" spans="1:9">
      <c r="A1099" s="402"/>
      <c r="B1099" s="402"/>
      <c r="C1099" s="402"/>
      <c r="I1099" s="490"/>
    </row>
    <row r="1100" spans="1:9">
      <c r="A1100" s="402"/>
      <c r="B1100" s="402"/>
      <c r="C1100" s="402"/>
      <c r="I1100" s="490"/>
    </row>
    <row r="1101" spans="1:9" ht="12.75" customHeight="1">
      <c r="A1101" s="402"/>
      <c r="B1101" s="485" t="s">
        <v>2668</v>
      </c>
      <c r="C1101" s="402"/>
      <c r="D1101" s="1298" t="s">
        <v>1929</v>
      </c>
      <c r="E1101" s="1298"/>
      <c r="F1101" s="1298"/>
      <c r="I1101" s="490"/>
    </row>
    <row r="1102" spans="1:9">
      <c r="A1102" s="402"/>
      <c r="B1102" s="402"/>
      <c r="C1102" s="402"/>
      <c r="D1102" s="1298"/>
      <c r="E1102" s="1298"/>
      <c r="F1102" s="1298"/>
      <c r="I1102" s="490"/>
    </row>
    <row r="1103" spans="1:9">
      <c r="A1103" s="402"/>
      <c r="B1103" s="402"/>
      <c r="C1103" s="402"/>
      <c r="D1103" s="1299" t="s">
        <v>2143</v>
      </c>
      <c r="E1103" s="1268"/>
      <c r="F1103" s="1268"/>
      <c r="I1103" s="490"/>
    </row>
    <row r="1104" spans="1:9">
      <c r="A1104" s="402"/>
      <c r="B1104" s="402"/>
      <c r="C1104" s="402"/>
      <c r="D1104" s="527"/>
      <c r="I1104" s="490"/>
    </row>
    <row r="1105" spans="1:9">
      <c r="A1105" s="402"/>
      <c r="B1105" s="485" t="s">
        <v>2669</v>
      </c>
      <c r="C1105" s="402"/>
      <c r="D1105" s="1296" t="s">
        <v>1832</v>
      </c>
      <c r="E1105" s="1296"/>
      <c r="F1105" s="1296"/>
      <c r="I1105" s="490"/>
    </row>
    <row r="1106" spans="1:9">
      <c r="A1106" s="402"/>
      <c r="B1106" s="402"/>
      <c r="C1106" s="402"/>
      <c r="D1106" s="1296"/>
      <c r="E1106" s="1296"/>
      <c r="F1106" s="1296"/>
      <c r="I1106" s="490"/>
    </row>
    <row r="1107" spans="1:9">
      <c r="A1107" s="402"/>
      <c r="B1107" s="402"/>
      <c r="C1107" s="402"/>
      <c r="D1107" s="527"/>
      <c r="I1107" s="490"/>
    </row>
    <row r="1108" spans="1:9">
      <c r="A1108" s="402"/>
      <c r="B1108" s="485" t="s">
        <v>2669</v>
      </c>
      <c r="C1108" s="402"/>
      <c r="D1108" s="1296" t="s">
        <v>1887</v>
      </c>
      <c r="E1108" s="1296"/>
      <c r="F1108" s="1296"/>
      <c r="I1108" s="490"/>
    </row>
    <row r="1109" spans="1:9">
      <c r="A1109" s="402"/>
      <c r="B1109" s="402"/>
      <c r="C1109" s="402"/>
      <c r="D1109" s="1296"/>
      <c r="E1109" s="1296"/>
      <c r="F1109" s="1296"/>
      <c r="I1109" s="490"/>
    </row>
    <row r="1110" spans="1:9">
      <c r="A1110" s="402"/>
      <c r="B1110" s="402"/>
      <c r="C1110" s="402"/>
      <c r="D1110" s="1296"/>
      <c r="E1110" s="1296"/>
      <c r="F1110" s="1296"/>
      <c r="I1110" s="490"/>
    </row>
    <row r="1111" spans="1:9">
      <c r="A1111" s="402"/>
      <c r="B1111" s="402"/>
      <c r="C1111" s="402"/>
      <c r="D1111" s="1296"/>
      <c r="E1111" s="1296"/>
      <c r="F1111" s="1296"/>
      <c r="I1111" s="490"/>
    </row>
    <row r="1112" spans="1:9">
      <c r="A1112" s="402"/>
      <c r="B1112" s="402"/>
      <c r="C1112" s="402"/>
      <c r="D1112" s="1296"/>
      <c r="E1112" s="1296"/>
      <c r="F1112" s="1296"/>
      <c r="I1112" s="490"/>
    </row>
    <row r="1113" spans="1:9">
      <c r="A1113" s="402"/>
      <c r="B1113" s="402"/>
      <c r="C1113" s="402"/>
      <c r="D1113" s="1296"/>
      <c r="E1113" s="1296"/>
      <c r="F1113" s="1296"/>
      <c r="I1113" s="490"/>
    </row>
    <row r="1114" spans="1:9" ht="12.5">
      <c r="A1114" s="402"/>
      <c r="B1114" s="402"/>
      <c r="C1114" s="402"/>
      <c r="D1114" s="527"/>
      <c r="I1114" s="480"/>
    </row>
    <row r="1115" spans="1:9">
      <c r="A1115" s="402"/>
      <c r="B1115" s="485" t="s">
        <v>2669</v>
      </c>
      <c r="C1115" s="402"/>
      <c r="D1115" s="1296" t="s">
        <v>1833</v>
      </c>
      <c r="E1115" s="1296"/>
      <c r="F1115" s="1296"/>
      <c r="I1115" s="490"/>
    </row>
    <row r="1116" spans="1:9">
      <c r="A1116" s="402"/>
      <c r="B1116" s="402"/>
      <c r="C1116" s="402"/>
      <c r="D1116" s="1296"/>
      <c r="E1116" s="1296"/>
      <c r="F1116" s="1296"/>
      <c r="I1116" s="490"/>
    </row>
    <row r="1117" spans="1:9">
      <c r="A1117" s="402"/>
      <c r="B1117" s="402"/>
      <c r="C1117" s="402"/>
      <c r="D1117" s="1296"/>
      <c r="E1117" s="1296"/>
      <c r="F1117" s="1296"/>
      <c r="I1117" s="490"/>
    </row>
    <row r="1118" spans="1:9">
      <c r="A1118" s="402"/>
      <c r="B1118" s="402"/>
      <c r="C1118" s="402"/>
      <c r="D1118" s="527"/>
      <c r="I1118" s="490"/>
    </row>
    <row r="1119" spans="1:9">
      <c r="A1119" s="402"/>
      <c r="B1119" s="485" t="s">
        <v>2669</v>
      </c>
      <c r="C1119" s="402"/>
      <c r="D1119" s="1273" t="s">
        <v>1888</v>
      </c>
      <c r="E1119" s="1273"/>
      <c r="F1119" s="1273"/>
      <c r="I1119" s="490"/>
    </row>
    <row r="1120" spans="1:9">
      <c r="A1120" s="402"/>
      <c r="B1120" s="402"/>
      <c r="C1120" s="402"/>
      <c r="D1120" s="1273"/>
      <c r="E1120" s="1273"/>
      <c r="F1120" s="1273"/>
      <c r="I1120" s="490"/>
    </row>
    <row r="1121" spans="1:9">
      <c r="A1121" s="402"/>
      <c r="B1121" s="402"/>
      <c r="C1121" s="402"/>
      <c r="D1121" s="1273"/>
      <c r="E1121" s="1273"/>
      <c r="F1121" s="1273"/>
      <c r="I1121" s="490"/>
    </row>
    <row r="1122" spans="1:9">
      <c r="A1122" s="402"/>
      <c r="B1122" s="402"/>
      <c r="C1122" s="402"/>
      <c r="D1122" s="980"/>
      <c r="E1122" s="980"/>
      <c r="F1122" s="980"/>
      <c r="I1122" s="490"/>
    </row>
    <row r="1123" spans="1:9" ht="15.75" customHeight="1">
      <c r="A1123" s="402"/>
      <c r="B1123" s="485" t="s">
        <v>2669</v>
      </c>
      <c r="C1123" s="402"/>
      <c r="D1123" s="1268" t="s">
        <v>1889</v>
      </c>
      <c r="E1123" s="1268"/>
      <c r="F1123" s="1268"/>
      <c r="I1123" s="490"/>
    </row>
    <row r="1124" spans="1:9">
      <c r="A1124" s="402"/>
      <c r="B1124" s="402"/>
      <c r="C1124" s="402"/>
      <c r="D1124" s="1268"/>
      <c r="E1124" s="1268"/>
      <c r="F1124" s="1268"/>
      <c r="I1124" s="490"/>
    </row>
    <row r="1125" spans="1:9">
      <c r="A1125" s="402"/>
      <c r="B1125" s="402"/>
      <c r="C1125" s="402"/>
      <c r="D1125" s="1268"/>
      <c r="E1125" s="1268"/>
      <c r="F1125" s="1268"/>
      <c r="I1125" s="490"/>
    </row>
    <row r="1126" spans="1:9">
      <c r="A1126" s="402"/>
      <c r="B1126" s="402"/>
      <c r="C1126" s="402"/>
      <c r="D1126" s="1268"/>
      <c r="E1126" s="1268"/>
      <c r="F1126" s="1268"/>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5"/>
      <c r="H1541" s="1315"/>
      <c r="I1541" s="131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90" zoomScaleNormal="100" workbookViewId="0">
      <selection activeCell="M233" sqref="M233:AE233"/>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36328125" hidden="1" customWidth="1"/>
    <col min="53" max="53" width="7.36328125" hidden="1" customWidth="1"/>
    <col min="54" max="55" width="3.6328125" hidden="1" customWidth="1"/>
    <col min="56" max="57" width="8.36328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Balance of Los Angeles County</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9</v>
      </c>
    </row>
    <row r="8" spans="1:58" ht="26.25" customHeight="1">
      <c r="A8" s="1456" t="s">
        <v>100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1456"/>
      <c r="AN8" s="1456"/>
      <c r="AO8" s="1456"/>
      <c r="AP8" s="1456"/>
      <c r="AQ8" s="1456"/>
      <c r="AR8" s="1456"/>
      <c r="AS8" s="1456"/>
      <c r="AT8" s="1456"/>
      <c r="AU8" s="898"/>
      <c r="AV8" s="898"/>
      <c r="AW8" s="898"/>
      <c r="AX8" s="898"/>
      <c r="AY8" s="898"/>
      <c r="BD8" s="3" t="s">
        <v>2509</v>
      </c>
      <c r="BE8" s="1249">
        <f>SUMIF($AC$718:$AC$752,"&lt;=35%",$G$718:G$752)-SUM($BE$5:BE7)</f>
        <v>0</v>
      </c>
    </row>
    <row r="9" spans="1:58" ht="13" customHeight="1">
      <c r="A9" s="1379" t="s">
        <v>2076</v>
      </c>
      <c r="B9" s="1379"/>
      <c r="C9" s="1379"/>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c r="AT9" s="1379"/>
      <c r="AU9" s="13"/>
      <c r="AV9" s="13"/>
      <c r="AW9" s="13"/>
      <c r="AX9" s="13"/>
      <c r="AY9" s="13"/>
      <c r="BD9" s="1248" t="s">
        <v>2501</v>
      </c>
      <c r="BE9" s="1249">
        <f>SUMIF($AC$718:$AC$752,"&lt;=40%",$G$718:G$752)-SUM($BE$5:BE8)</f>
        <v>5</v>
      </c>
    </row>
    <row r="10" spans="1:58" ht="13" customHeight="1">
      <c r="A10" s="1379" t="s">
        <v>2458</v>
      </c>
      <c r="B10" s="1379"/>
      <c r="C10" s="1379"/>
      <c r="D10" s="1379"/>
      <c r="E10" s="1379"/>
      <c r="F10" s="1379"/>
      <c r="G10" s="1379"/>
      <c r="H10" s="1379"/>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
      <c r="AV10" s="13"/>
      <c r="AW10" s="13"/>
      <c r="AX10" s="13"/>
      <c r="AY10" s="13"/>
      <c r="BD10" s="3" t="s">
        <v>2510</v>
      </c>
      <c r="BE10" s="1249">
        <f>SUMIF($AC$718:$AC$752,"&lt;=45%",$G$718:G$752)-SUM($BE$5:BE9)</f>
        <v>0</v>
      </c>
    </row>
    <row r="11" spans="1:58" ht="13" customHeight="1">
      <c r="A11" s="1379" t="s">
        <v>2604</v>
      </c>
      <c r="B11" s="1379"/>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79"/>
      <c r="AU11" s="13"/>
      <c r="AV11" s="13"/>
      <c r="AW11" s="13"/>
      <c r="AX11" s="13"/>
      <c r="AY11" s="13"/>
      <c r="BD11" s="1247" t="s">
        <v>2502</v>
      </c>
      <c r="BE11" s="1249">
        <f>SUMIF($AC$718:$AC$752,"&lt;=50%",$G$718:G$752)-SUM($BE$5:BE10)</f>
        <v>18</v>
      </c>
    </row>
    <row r="12" spans="1:58" ht="13" customHeight="1">
      <c r="A12" s="1457" t="s">
        <v>2610</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c r="AT12" s="1457"/>
      <c r="AU12" s="6"/>
      <c r="AV12" s="6"/>
      <c r="AW12" s="6"/>
      <c r="AX12" s="6"/>
      <c r="AY12" s="6"/>
      <c r="BD12" s="3" t="s">
        <v>2511</v>
      </c>
      <c r="BE12" s="1249">
        <f>SUMIF($AC$718:$AC$752,"&lt;=55%",$G$718:G$752)-SUM($BE$5:BE11)</f>
        <v>0</v>
      </c>
    </row>
    <row r="13" spans="1:58" ht="13" customHeight="1">
      <c r="A13" s="1266" t="s">
        <v>2077</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9"/>
      <c r="AV13" s="899"/>
      <c r="AW13" s="899"/>
      <c r="AX13" s="899"/>
      <c r="AY13" s="899"/>
      <c r="BD13" s="1248" t="s">
        <v>2503</v>
      </c>
      <c r="BE13" s="1249">
        <f>SUMIF($AC$718:$AC$752,"&lt;=60%",$G$718:G$752)-SUM($BE$5:BE12)</f>
        <v>12</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464" t="s">
        <v>2657</v>
      </c>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BD16" s="1248" t="s">
        <v>656</v>
      </c>
      <c r="BE16" s="1249" t="str">
        <f>Application!H18</f>
        <v xml:space="preserve">Colorado Crest Apartments </v>
      </c>
    </row>
    <row r="17" spans="1:58" ht="13" customHeight="1">
      <c r="BD17" s="1247" t="s">
        <v>2518</v>
      </c>
      <c r="BE17" s="1249">
        <f>Application!AA934</f>
        <v>0</v>
      </c>
    </row>
    <row r="18" spans="1:58" ht="13" customHeight="1">
      <c r="A18" s="57" t="s">
        <v>101</v>
      </c>
      <c r="C18" s="4"/>
      <c r="D18" s="4"/>
      <c r="E18" s="4"/>
      <c r="F18" s="4"/>
      <c r="G18" s="4"/>
      <c r="H18" s="1345" t="s">
        <v>2612</v>
      </c>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BD18" s="1248" t="s">
        <v>2519</v>
      </c>
      <c r="BE18" s="1249">
        <f>'CalHFA Addendum'!N11</f>
        <v>0</v>
      </c>
    </row>
    <row r="19" spans="1:58" ht="13" customHeight="1">
      <c r="BD19" s="1247" t="s">
        <v>2520</v>
      </c>
      <c r="BE19" s="1249">
        <f>Application!M26</f>
        <v>1726725</v>
      </c>
    </row>
    <row r="20" spans="1:58" ht="13" customHeight="1">
      <c r="A20" s="1458" t="s">
        <v>873</v>
      </c>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8"/>
      <c r="AO20" s="1458"/>
      <c r="AP20" s="1458"/>
      <c r="AQ20" s="1458"/>
      <c r="AR20" s="1458"/>
      <c r="AS20" s="1458"/>
      <c r="AT20" s="1458"/>
      <c r="AU20" s="900"/>
      <c r="AV20" s="900"/>
      <c r="AW20" s="900"/>
      <c r="AX20" s="900"/>
      <c r="AY20" s="900"/>
      <c r="BD20" s="1248" t="s">
        <v>2521</v>
      </c>
      <c r="BE20" s="1249">
        <f>Application!M27</f>
        <v>4350000</v>
      </c>
    </row>
    <row r="21" spans="1:58" ht="13" customHeight="1">
      <c r="A21" s="1466" t="s">
        <v>1009</v>
      </c>
      <c r="B21" s="1466"/>
      <c r="C21" s="1466"/>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901"/>
      <c r="AN21" s="901"/>
      <c r="AO21" s="901"/>
      <c r="AP21" s="901"/>
      <c r="AQ21" s="901"/>
      <c r="AR21" s="901"/>
      <c r="AS21" s="901"/>
      <c r="AT21" s="901"/>
      <c r="AU21" s="901"/>
      <c r="AV21" s="901"/>
      <c r="AW21" s="901"/>
      <c r="AX21" s="901"/>
      <c r="AY21" s="901"/>
      <c r="BD21" s="1247" t="s">
        <v>2522</v>
      </c>
      <c r="BE21" s="1249">
        <f>Application!AM554</f>
        <v>10000000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38908132</v>
      </c>
      <c r="BF22" s="3" t="s">
        <v>2595</v>
      </c>
    </row>
    <row r="23" spans="1:58" ht="13" customHeight="1">
      <c r="A23" s="1298" t="s">
        <v>2146</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8"/>
      <c r="AV23" s="18"/>
      <c r="AW23" s="18"/>
      <c r="AX23" s="18"/>
      <c r="AY23" s="18"/>
      <c r="AZ23" s="18"/>
      <c r="BD23" s="1247" t="s">
        <v>2523</v>
      </c>
      <c r="BE23" s="1249">
        <f>'Sources and Uses Budget'!B4</f>
        <v>3575000</v>
      </c>
    </row>
    <row r="24" spans="1:58" ht="13"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8"/>
      <c r="AV24" s="18"/>
      <c r="AW24" s="18"/>
      <c r="AX24" s="18"/>
      <c r="AY24" s="18"/>
      <c r="AZ24" s="18"/>
      <c r="BD24" s="1248" t="s">
        <v>2524</v>
      </c>
      <c r="BE24" s="1249">
        <f>Application!AG450</f>
        <v>54400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463">
        <f>'Basis &amp; Credits'!AB56</f>
        <v>1726725</v>
      </c>
      <c r="N26" s="1463"/>
      <c r="O26" s="1463"/>
      <c r="P26" s="1463"/>
      <c r="Q26" s="1463"/>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4350000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459" t="s">
        <v>2147</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247" t="s">
        <v>2527</v>
      </c>
      <c r="BE29" s="1249" t="b">
        <f>Application!M358="Yes"</f>
        <v>0</v>
      </c>
    </row>
    <row r="30" spans="1:58" ht="13"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248" t="s">
        <v>28</v>
      </c>
      <c r="BE30" s="1249" t="b">
        <f>Application!AJ355="Yes"</f>
        <v>1</v>
      </c>
    </row>
    <row r="31" spans="1:58" ht="13"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247" t="s">
        <v>2528</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339" t="s">
        <v>545</v>
      </c>
      <c r="P33" s="1339"/>
      <c r="Q33" s="1460" t="s">
        <v>2148</v>
      </c>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60"/>
      <c r="AR33" s="1460"/>
      <c r="AS33" s="1460"/>
      <c r="AT33" s="1460"/>
      <c r="AU33" s="20"/>
      <c r="AV33" s="20"/>
      <c r="AW33" s="20"/>
      <c r="AX33" s="20"/>
      <c r="AY33" s="20"/>
      <c r="BD33" s="1247" t="s">
        <v>2596</v>
      </c>
      <c r="BE33" s="1249" t="str">
        <f>Application!D220</f>
        <v>Balance of Los Angeles County</v>
      </c>
    </row>
    <row r="34" spans="1:57" ht="13" customHeight="1">
      <c r="A34" s="1459" t="s">
        <v>2149</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248" t="s">
        <v>2530</v>
      </c>
      <c r="BE34" s="1249" t="str">
        <f>Application!I185</f>
        <v xml:space="preserve">1756-1776 E Colorado Blvd </v>
      </c>
    </row>
    <row r="35" spans="1:57" ht="13"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247" t="s">
        <v>2531</v>
      </c>
      <c r="BE35" s="1249" t="str">
        <f>IF(Application!E187="","",Application!E187)</f>
        <v/>
      </c>
    </row>
    <row r="36" spans="1:57" ht="13"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248" t="s">
        <v>2532</v>
      </c>
      <c r="BE36" s="1249" t="str">
        <f>Application!I189</f>
        <v>Pasadena</v>
      </c>
    </row>
    <row r="37" spans="1:57" ht="13"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247" t="s">
        <v>2533</v>
      </c>
      <c r="BE37" s="1249" t="str">
        <f>Application!T189</f>
        <v>Los Angeles</v>
      </c>
    </row>
    <row r="38" spans="1:57" ht="13" customHeight="1">
      <c r="A38" s="3"/>
      <c r="AZ38" s="20"/>
      <c r="BD38" s="1248" t="s">
        <v>2534</v>
      </c>
      <c r="BE38" s="1249">
        <f>Application!I190</f>
        <v>91106</v>
      </c>
    </row>
    <row r="39" spans="1:57" ht="13" customHeight="1">
      <c r="A39" s="1268" t="s">
        <v>2150</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247" t="s">
        <v>2535</v>
      </c>
      <c r="BE39" s="1249">
        <f>Application!AG437</f>
        <v>45</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248" t="s">
        <v>384</v>
      </c>
      <c r="BE40" s="1249">
        <f>Application!AG440</f>
        <v>44</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247" t="s">
        <v>287</v>
      </c>
      <c r="BE41" s="1249">
        <f>Application!AG438</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248" t="s">
        <v>2536</v>
      </c>
      <c r="BE42" s="1251">
        <f>Application!AC753</f>
        <v>0.47500000000000003</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247" t="s">
        <v>2537</v>
      </c>
      <c r="BE43" s="1251">
        <f>Application!AH753</f>
        <v>0.47501273204482103</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248" t="s">
        <v>2538</v>
      </c>
      <c r="BE44" s="1249">
        <f>Application!AC454</f>
        <v>864625.1555555556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98" t="s">
        <v>2151</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20"/>
      <c r="AV46" s="20"/>
      <c r="AW46" s="20"/>
      <c r="AX46" s="20"/>
      <c r="AY46" s="20"/>
      <c r="AZ46" s="20"/>
      <c r="BD46" s="1248" t="s">
        <v>2540</v>
      </c>
      <c r="BE46" s="1249" t="b">
        <f>Application!T195="Yes"</f>
        <v>1</v>
      </c>
    </row>
    <row r="47" spans="1:57" ht="13"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20"/>
      <c r="AV47" s="20"/>
      <c r="AW47" s="20"/>
      <c r="AX47" s="20"/>
      <c r="AY47" s="20"/>
      <c r="AZ47" s="20"/>
      <c r="BD47" s="1247" t="s">
        <v>2541</v>
      </c>
      <c r="BE47" s="1249" t="b">
        <f>Application!T196="Yes"</f>
        <v>0</v>
      </c>
    </row>
    <row r="48" spans="1:57" ht="13"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20"/>
      <c r="AV48" s="20"/>
      <c r="AW48" s="20"/>
      <c r="AX48" s="20"/>
      <c r="AY48" s="20"/>
      <c r="AZ48" s="20"/>
      <c r="BD48" s="1248" t="s">
        <v>2542</v>
      </c>
      <c r="BE48" s="1249" t="str">
        <f>Application!M243</f>
        <v>Community Revitalization and Development Corporation</v>
      </c>
    </row>
    <row r="49" spans="1:57" ht="13"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20"/>
      <c r="AV49" s="20"/>
      <c r="AW49" s="20"/>
      <c r="AX49" s="20"/>
      <c r="AY49" s="20"/>
      <c r="AZ49" s="20"/>
      <c r="BD49" s="1247" t="s">
        <v>2543</v>
      </c>
      <c r="BE49" s="1249" t="str">
        <f>Application!M246</f>
        <v>David Rutledge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3" customHeight="1">
      <c r="A51" s="1268" t="s">
        <v>2152</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247" t="s">
        <v>2545</v>
      </c>
      <c r="BE51" s="1249" t="str">
        <f>Application!M251</f>
        <v>Colorado Crest AGP LLC</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248" t="s">
        <v>2546</v>
      </c>
      <c r="BE52" s="1249" t="str">
        <f>Application!M254</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CRP Affordable Housing and Community Development LLC</v>
      </c>
    </row>
    <row r="54" spans="1:57" ht="13" customHeight="1">
      <c r="A54" s="1268" t="s">
        <v>2153</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248" t="s">
        <v>2548</v>
      </c>
      <c r="BE54" s="1249">
        <f>Application!M259</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247" t="s">
        <v>2549</v>
      </c>
      <c r="BE55" s="1249">
        <f>Application!M262</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248" t="s">
        <v>2550</v>
      </c>
      <c r="BE56" s="1249">
        <f>Application!AA265</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247" t="s">
        <v>2551</v>
      </c>
      <c r="BE57" s="1249" t="str">
        <f>Application!H287</f>
        <v>CRP Affordable Housing and Community Development LLC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248" t="s">
        <v>2552</v>
      </c>
      <c r="BE58" s="1249" t="str">
        <f>Application!H288</f>
        <v>122 E 42nd Street, suite 1903</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 York, NY 10168</v>
      </c>
    </row>
    <row r="60" spans="1:57" ht="13" customHeight="1">
      <c r="A60" s="1268" t="s">
        <v>2154</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248" t="s">
        <v>2554</v>
      </c>
      <c r="BE60" s="1249" t="str">
        <f>Application!H290</f>
        <v>Paul Salib</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247" t="s">
        <v>2555</v>
      </c>
      <c r="BE61" s="1249" t="str">
        <f>Application!H293</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0.81991804999999995</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3" customHeight="1">
      <c r="A65" s="1461" t="s">
        <v>2156</v>
      </c>
      <c r="B65" s="1461"/>
      <c r="C65" s="1461"/>
      <c r="D65" s="1461"/>
      <c r="E65" s="1461"/>
      <c r="F65" s="1461"/>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461"/>
      <c r="AM65" s="1461"/>
      <c r="AN65" s="1461"/>
      <c r="AO65" s="1461"/>
      <c r="AP65" s="1461"/>
      <c r="AQ65" s="1461"/>
      <c r="AR65" s="1461"/>
      <c r="AS65" s="1461"/>
      <c r="AT65" s="1461"/>
      <c r="AU65" s="21"/>
      <c r="AV65" s="21"/>
      <c r="AW65" s="21"/>
      <c r="AX65" s="21"/>
      <c r="AY65" s="21"/>
      <c r="AZ65" s="20"/>
      <c r="BD65" s="1247" t="s">
        <v>2593</v>
      </c>
      <c r="BE65" s="1249" t="str">
        <f>Z205</f>
        <v>$500M</v>
      </c>
    </row>
    <row r="66" spans="1:57" ht="13" customHeight="1">
      <c r="A66" s="1461"/>
      <c r="B66" s="1461"/>
      <c r="C66" s="1461"/>
      <c r="D66" s="1461"/>
      <c r="E66" s="1461"/>
      <c r="F66" s="1461"/>
      <c r="G66" s="1461"/>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461"/>
      <c r="AM66" s="1461"/>
      <c r="AN66" s="1461"/>
      <c r="AO66" s="1461"/>
      <c r="AP66" s="1461"/>
      <c r="AQ66" s="1461"/>
      <c r="AR66" s="1461"/>
      <c r="AS66" s="1461"/>
      <c r="AT66" s="1461"/>
      <c r="AU66" s="21"/>
      <c r="AV66" s="21"/>
      <c r="AW66" s="21"/>
      <c r="AX66" s="21"/>
      <c r="AY66" s="21"/>
      <c r="AZ66" s="20"/>
      <c r="BD66" s="1248" t="s">
        <v>2558</v>
      </c>
      <c r="BE66" s="1249" t="b">
        <f>Application!Z205="State Farmworker Credit"</f>
        <v>0</v>
      </c>
    </row>
    <row r="67" spans="1:57" ht="13" customHeight="1">
      <c r="A67" s="1461"/>
      <c r="B67" s="1461"/>
      <c r="C67" s="1461"/>
      <c r="D67" s="1461"/>
      <c r="E67" s="1461"/>
      <c r="F67" s="1461"/>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461"/>
      <c r="AM67" s="1461"/>
      <c r="AN67" s="1461"/>
      <c r="AO67" s="1461"/>
      <c r="AP67" s="1461"/>
      <c r="AQ67" s="1461"/>
      <c r="AR67" s="1461"/>
      <c r="AS67" s="1461"/>
      <c r="AT67" s="1461"/>
      <c r="AZ67" s="20"/>
      <c r="BD67" s="1247" t="s">
        <v>2559</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461" t="s">
        <v>2157</v>
      </c>
      <c r="B69" s="1461"/>
      <c r="C69" s="1461"/>
      <c r="D69" s="1461"/>
      <c r="E69" s="1461"/>
      <c r="F69" s="1461"/>
      <c r="G69" s="1461"/>
      <c r="H69" s="1461"/>
      <c r="I69" s="1461"/>
      <c r="J69" s="1461"/>
      <c r="K69" s="1461"/>
      <c r="L69" s="1461"/>
      <c r="M69" s="1461"/>
      <c r="N69" s="1461"/>
      <c r="O69" s="1461"/>
      <c r="P69" s="1461"/>
      <c r="Q69" s="1461"/>
      <c r="R69" s="1461"/>
      <c r="S69" s="1461"/>
      <c r="T69" s="1461"/>
      <c r="U69" s="1461"/>
      <c r="V69" s="1461"/>
      <c r="W69" s="1461"/>
      <c r="X69" s="1461"/>
      <c r="Y69" s="1461"/>
      <c r="Z69" s="1461"/>
      <c r="AA69" s="1461"/>
      <c r="AB69" s="1461"/>
      <c r="AC69" s="1461"/>
      <c r="AD69" s="1461"/>
      <c r="AE69" s="1461"/>
      <c r="AF69" s="1461"/>
      <c r="AG69" s="1461"/>
      <c r="AH69" s="1461"/>
      <c r="AI69" s="1461"/>
      <c r="AJ69" s="1461"/>
      <c r="AK69" s="1461"/>
      <c r="AL69" s="1461"/>
      <c r="AM69" s="1461"/>
      <c r="AN69" s="1461"/>
      <c r="AO69" s="1461"/>
      <c r="AP69" s="1461"/>
      <c r="AQ69" s="1461"/>
      <c r="AR69" s="1461"/>
      <c r="AS69" s="1461"/>
      <c r="AT69" s="1461"/>
      <c r="AZ69" s="20"/>
      <c r="BD69" s="1247" t="s">
        <v>2561</v>
      </c>
      <c r="BE69" s="1249" t="str">
        <f>Application!W700</f>
        <v>California Municipal Finance Authority</v>
      </c>
    </row>
    <row r="70" spans="1:57" ht="13" customHeight="1">
      <c r="A70" s="1461"/>
      <c r="B70" s="1461"/>
      <c r="C70" s="1461"/>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1461"/>
      <c r="AB70" s="1461"/>
      <c r="AC70" s="1461"/>
      <c r="AD70" s="1461"/>
      <c r="AE70" s="1461"/>
      <c r="AF70" s="1461"/>
      <c r="AG70" s="1461"/>
      <c r="AH70" s="1461"/>
      <c r="AI70" s="1461"/>
      <c r="AJ70" s="1461"/>
      <c r="AK70" s="1461"/>
      <c r="AL70" s="1461"/>
      <c r="AM70" s="1461"/>
      <c r="AN70" s="1461"/>
      <c r="AO70" s="1461"/>
      <c r="AP70" s="1461"/>
      <c r="AQ70" s="1461"/>
      <c r="AR70" s="1461"/>
      <c r="AS70" s="1461"/>
      <c r="AT70" s="1461"/>
      <c r="AU70" s="20"/>
      <c r="AV70" s="20"/>
      <c r="AW70" s="20"/>
      <c r="AX70" s="20"/>
      <c r="AY70" s="20"/>
      <c r="AZ70" s="20"/>
      <c r="BD70" s="1248" t="s">
        <v>2562</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459" t="s">
        <v>2158</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248" t="s">
        <v>2564</v>
      </c>
      <c r="BE72" s="1249">
        <f>'Points System'!AF805</f>
        <v>10</v>
      </c>
    </row>
    <row r="73" spans="1:57" ht="13"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809" t="s">
        <v>2159</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c r="BD75" s="1247" t="s">
        <v>2567</v>
      </c>
      <c r="BE75" s="1249">
        <f>'Points System'!AF808</f>
        <v>10</v>
      </c>
    </row>
    <row r="76" spans="1:57" ht="13"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c r="BD76" s="1248" t="s">
        <v>2568</v>
      </c>
      <c r="BE76" s="1249">
        <f>'Points System'!AF811</f>
        <v>10</v>
      </c>
    </row>
    <row r="77" spans="1:57" ht="13"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461" t="s">
        <v>2160</v>
      </c>
      <c r="B79" s="1461"/>
      <c r="C79" s="1461"/>
      <c r="D79" s="1461"/>
      <c r="E79" s="1461"/>
      <c r="F79" s="1461"/>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461"/>
      <c r="AM79" s="1461"/>
      <c r="AN79" s="1461"/>
      <c r="AO79" s="1461"/>
      <c r="AP79" s="1461"/>
      <c r="AQ79" s="1461"/>
      <c r="AR79" s="1461"/>
      <c r="AS79" s="1461"/>
      <c r="AT79" s="1461"/>
      <c r="AU79" s="20"/>
      <c r="AV79" s="20"/>
      <c r="AW79" s="20"/>
      <c r="AX79" s="20"/>
      <c r="AY79" s="20"/>
      <c r="AZ79" s="20"/>
      <c r="BD79" s="1247" t="s">
        <v>2571</v>
      </c>
      <c r="BE79" s="1249">
        <f>'Points System'!AF815</f>
        <v>10</v>
      </c>
    </row>
    <row r="80" spans="1:57" ht="13" customHeight="1">
      <c r="A80" s="1461"/>
      <c r="B80" s="1461"/>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461"/>
      <c r="AM80" s="1461"/>
      <c r="AN80" s="1461"/>
      <c r="AO80" s="1461"/>
      <c r="AP80" s="1461"/>
      <c r="AQ80" s="1461"/>
      <c r="AR80" s="1461"/>
      <c r="AS80" s="1461"/>
      <c r="AT80" s="1461"/>
      <c r="AU80" s="20"/>
      <c r="AV80" s="20"/>
      <c r="AW80" s="20"/>
      <c r="AX80" s="20"/>
      <c r="AY80" s="20"/>
      <c r="AZ80" s="20"/>
      <c r="BD80" s="1248" t="s">
        <v>2572</v>
      </c>
      <c r="BE80" s="1249">
        <f>'Points System'!AF817</f>
        <v>10</v>
      </c>
    </row>
    <row r="81" spans="1:57" ht="13" customHeight="1">
      <c r="A81" s="1461"/>
      <c r="B81" s="1461"/>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1461"/>
      <c r="AB81" s="1461"/>
      <c r="AC81" s="1461"/>
      <c r="AD81" s="1461"/>
      <c r="AE81" s="1461"/>
      <c r="AF81" s="1461"/>
      <c r="AG81" s="1461"/>
      <c r="AH81" s="1461"/>
      <c r="AI81" s="1461"/>
      <c r="AJ81" s="1461"/>
      <c r="AK81" s="1461"/>
      <c r="AL81" s="1461"/>
      <c r="AM81" s="1461"/>
      <c r="AN81" s="1461"/>
      <c r="AO81" s="1461"/>
      <c r="AP81" s="1461"/>
      <c r="AQ81" s="1461"/>
      <c r="AR81" s="1461"/>
      <c r="AS81" s="1461"/>
      <c r="AT81" s="1461"/>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8" t="s">
        <v>2161</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247" t="s">
        <v>2575</v>
      </c>
      <c r="BE83" s="1253">
        <f>'Tie Breaker'!H5</f>
        <v>1.5989315738291208</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248" t="s">
        <v>2576</v>
      </c>
      <c r="BE84" s="1249" t="str">
        <f>Application!O153</f>
        <v xml:space="preserve">City of Pasadena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Mr. William Huang</v>
      </c>
    </row>
    <row r="86" spans="1:57" ht="13" customHeight="1">
      <c r="A86" s="1268" t="s">
        <v>2162</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248" t="s">
        <v>2578</v>
      </c>
      <c r="BE86" s="1249" t="str">
        <f>Application!O155</f>
        <v>Housing Director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247" t="s">
        <v>2579</v>
      </c>
      <c r="BE87" s="1249" t="str">
        <f>Application!O156</f>
        <v>649 N. Fair Oaks Avenue, Suite 202</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 xml:space="preserve">Pasadena </v>
      </c>
    </row>
    <row r="89" spans="1:57" ht="13" customHeight="1">
      <c r="A89" s="1817" t="s">
        <v>2163</v>
      </c>
      <c r="B89" s="1817"/>
      <c r="C89" s="1817"/>
      <c r="D89" s="1817"/>
      <c r="E89" s="1817"/>
      <c r="F89" s="1817"/>
      <c r="G89" s="1817"/>
      <c r="H89" s="1817"/>
      <c r="I89" s="1817"/>
      <c r="J89" s="1817"/>
      <c r="K89" s="1817"/>
      <c r="L89" s="1817"/>
      <c r="M89" s="1817"/>
      <c r="N89" s="1817"/>
      <c r="O89" s="1817"/>
      <c r="P89" s="1817"/>
      <c r="Q89" s="1817"/>
      <c r="R89" s="1817"/>
      <c r="S89" s="1817"/>
      <c r="T89" s="1817"/>
      <c r="U89" s="1817"/>
      <c r="V89" s="1817"/>
      <c r="W89" s="1817"/>
      <c r="X89" s="1817"/>
      <c r="Y89" s="1817"/>
      <c r="Z89" s="1817"/>
      <c r="AA89" s="1817"/>
      <c r="AB89" s="1817"/>
      <c r="AC89" s="1817"/>
      <c r="AD89" s="1817"/>
      <c r="AE89" s="1817"/>
      <c r="AF89" s="1817"/>
      <c r="AG89" s="1817"/>
      <c r="AH89" s="1817"/>
      <c r="AI89" s="1817"/>
      <c r="AJ89" s="1817"/>
      <c r="AK89" s="1817"/>
      <c r="AL89" s="1817"/>
      <c r="AM89" s="1817"/>
      <c r="AN89" s="1817"/>
      <c r="AO89" s="1817"/>
      <c r="AP89" s="1817"/>
      <c r="AQ89" s="1817"/>
      <c r="AR89" s="1817"/>
      <c r="AS89" s="1817"/>
      <c r="AT89" s="1817"/>
      <c r="AU89" s="17"/>
      <c r="AV89" s="17"/>
      <c r="AW89" s="17"/>
      <c r="AX89" s="17"/>
      <c r="AY89" s="17"/>
      <c r="AZ89" s="20"/>
      <c r="BD89" s="1247" t="s">
        <v>2581</v>
      </c>
      <c r="BE89" s="1249">
        <f>Application!O158</f>
        <v>91103</v>
      </c>
    </row>
    <row r="90" spans="1:57" ht="13" customHeight="1">
      <c r="A90" s="1817"/>
      <c r="B90" s="1817"/>
      <c r="C90" s="1817"/>
      <c r="D90" s="1817"/>
      <c r="E90" s="1817"/>
      <c r="F90" s="1817"/>
      <c r="G90" s="1817"/>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c r="AL90" s="1817"/>
      <c r="AM90" s="1817"/>
      <c r="AN90" s="1817"/>
      <c r="AO90" s="1817"/>
      <c r="AP90" s="1817"/>
      <c r="AQ90" s="1817"/>
      <c r="AR90" s="1817"/>
      <c r="AS90" s="1817"/>
      <c r="AT90" s="1817"/>
      <c r="AU90" s="17"/>
      <c r="AV90" s="17"/>
      <c r="AW90" s="17"/>
      <c r="AX90" s="17"/>
      <c r="AY90" s="17"/>
      <c r="AZ90" s="20"/>
      <c r="BD90" s="1248" t="s">
        <v>2582</v>
      </c>
      <c r="BE90" s="1249" t="str">
        <f>Application!H16</f>
        <v>Colorado Crest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 42nd Street, suite 1903</v>
      </c>
    </row>
    <row r="92" spans="1:57" ht="13" customHeight="1">
      <c r="A92" s="1809" t="s">
        <v>2164</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c r="BD92" s="1248" t="s">
        <v>2584</v>
      </c>
      <c r="BE92" s="1249" t="str">
        <f>Application!M234</f>
        <v>New York</v>
      </c>
    </row>
    <row r="93" spans="1:57" ht="13"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c r="BD93" s="1247" t="s">
        <v>2585</v>
      </c>
      <c r="BE93" s="1249" t="str">
        <f>Application!W234</f>
        <v>CA</v>
      </c>
    </row>
    <row r="94" spans="1:57" ht="13"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c r="BD94" s="1248" t="s">
        <v>2586</v>
      </c>
      <c r="BE94" s="1249">
        <f>Application!AC234</f>
        <v>92117</v>
      </c>
    </row>
    <row r="95" spans="1:57" ht="13"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c r="BD95" s="1247" t="s">
        <v>2587</v>
      </c>
      <c r="BE95" s="1249" t="str">
        <f>Application!M235</f>
        <v>Paul Salib</v>
      </c>
    </row>
    <row r="96" spans="1:57" ht="13"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c r="BD96" s="1248" t="s">
        <v>2588</v>
      </c>
      <c r="BE96" s="1249" t="str">
        <f>Application!M237</f>
        <v>psalib@crpaffordable.com</v>
      </c>
    </row>
    <row r="97" spans="1:57" ht="13"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c r="BD97" s="1247" t="s">
        <v>2589</v>
      </c>
      <c r="BE97" s="1249" t="str">
        <f>Application!M248</f>
        <v>david@crdc-housing.org</v>
      </c>
    </row>
    <row r="98" spans="1:57" ht="13"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c r="BD98" s="1248" t="s">
        <v>2590</v>
      </c>
      <c r="BE98" s="1249" t="str">
        <f>Application!M256</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794" t="s">
        <v>2165</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248" t="s">
        <v>2592</v>
      </c>
      <c r="BE100" s="1249" t="str">
        <f>Application!L279</f>
        <v>ssterneck@crpaffordable.com</v>
      </c>
    </row>
    <row r="101" spans="1:57" ht="13"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2597</v>
      </c>
      <c r="BE101">
        <f>'Sources and Uses Budget'!C105</f>
        <v>38908132</v>
      </c>
    </row>
    <row r="102" spans="1:57" ht="13"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2598</v>
      </c>
      <c r="BE102" t="b">
        <f>T197="Yes"</f>
        <v>0</v>
      </c>
    </row>
    <row r="103" spans="1:57" ht="13"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4" t="s">
        <v>2166</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row>
    <row r="106" spans="1:57" ht="13"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5">
        <v>4</v>
      </c>
      <c r="H113" s="1795"/>
      <c r="I113" s="3" t="s">
        <v>182</v>
      </c>
      <c r="L113" s="1795" t="s">
        <v>2710</v>
      </c>
      <c r="M113" s="1795"/>
      <c r="N113" s="1795"/>
      <c r="O113" s="1795"/>
      <c r="P113" s="1800" t="s">
        <v>2239</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2"/>
      <c r="D115" s="1812"/>
      <c r="E115" s="1812"/>
      <c r="F115" s="1812"/>
      <c r="G115" s="1812"/>
      <c r="H115" s="1812"/>
      <c r="I115" s="1812"/>
      <c r="J115" s="1812"/>
      <c r="K115" s="181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5" t="s">
        <v>2619</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49" t="s">
        <v>469</v>
      </c>
      <c r="CV122" s="1650"/>
      <c r="CW122" s="14"/>
      <c r="CX122" s="14" t="s">
        <v>634</v>
      </c>
      <c r="CY122" s="14"/>
      <c r="CZ122" s="14"/>
      <c r="DA122" s="14"/>
      <c r="DB122" s="14"/>
      <c r="DC122" s="14"/>
      <c r="DD122" s="14"/>
      <c r="DE122" s="14"/>
      <c r="DF122" s="14"/>
      <c r="DG122" s="1646" t="str">
        <f>T189</f>
        <v>Los Angeles</v>
      </c>
      <c r="DH122" s="1647"/>
      <c r="DI122" s="1647"/>
      <c r="DJ122" s="1647"/>
      <c r="DK122" s="1647"/>
      <c r="DL122" s="1647"/>
      <c r="DM122" s="1648"/>
    </row>
    <row r="123" spans="1:117" ht="13" customHeight="1">
      <c r="A123" s="3"/>
      <c r="B123" s="3"/>
      <c r="T123" s="3"/>
      <c r="U123" s="3"/>
      <c r="V123" s="3"/>
      <c r="W123" s="3"/>
      <c r="X123" s="3"/>
      <c r="Y123" s="1795" t="s">
        <v>2709</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345" t="s">
        <v>2658</v>
      </c>
      <c r="P153" s="1462"/>
      <c r="Q153" s="1462"/>
      <c r="R153" s="1462"/>
      <c r="S153" s="1462"/>
      <c r="T153" s="1462"/>
      <c r="U153" s="1462"/>
      <c r="V153" s="1462"/>
      <c r="W153" s="1462"/>
      <c r="X153" s="1462"/>
      <c r="Y153" s="1462"/>
      <c r="Z153" s="1462"/>
      <c r="AA153" s="1462"/>
      <c r="AB153" s="1462"/>
      <c r="AC153" s="1462"/>
      <c r="AD153" s="1462"/>
      <c r="AE153" s="1462"/>
      <c r="AF153" s="1462"/>
      <c r="AG153" s="1462"/>
      <c r="AH153" s="1462"/>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554" t="s">
        <v>2660</v>
      </c>
      <c r="P154" s="1484"/>
      <c r="Q154" s="1484"/>
      <c r="R154" s="1484"/>
      <c r="S154" s="1484"/>
      <c r="T154" s="1484"/>
      <c r="U154" s="1484"/>
      <c r="V154" s="1484"/>
      <c r="W154" s="1484"/>
      <c r="X154" s="1484"/>
      <c r="Y154" s="1484"/>
      <c r="Z154" s="1484"/>
      <c r="AA154" s="1484"/>
      <c r="AB154" s="1484"/>
      <c r="AC154" s="1484"/>
      <c r="AD154" s="1484"/>
      <c r="AE154" s="1484"/>
      <c r="AF154" s="1484"/>
      <c r="AG154" s="1484"/>
      <c r="AH154" s="148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20" t="s">
        <v>2659</v>
      </c>
      <c r="P155" s="1821"/>
      <c r="Q155" s="1821"/>
      <c r="R155" s="1821"/>
      <c r="S155" s="1821"/>
      <c r="T155" s="1821"/>
      <c r="U155" s="1821"/>
      <c r="V155" s="1821"/>
      <c r="W155" s="1821"/>
      <c r="X155" s="1821"/>
      <c r="Y155" s="1821"/>
      <c r="Z155" s="1821"/>
      <c r="AA155" s="1821"/>
      <c r="AB155" s="1821"/>
      <c r="AC155" s="1821"/>
      <c r="AD155" s="1821"/>
      <c r="AE155" s="1821"/>
      <c r="AF155" s="1821"/>
      <c r="AG155" s="1821"/>
      <c r="AH155" s="1821"/>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45" t="s">
        <v>2664</v>
      </c>
      <c r="P156" s="1346"/>
      <c r="Q156" s="1346"/>
      <c r="R156" s="1346"/>
      <c r="S156" s="1346"/>
      <c r="T156" s="1346"/>
      <c r="U156" s="1346"/>
      <c r="V156" s="1346"/>
      <c r="W156" s="1346"/>
      <c r="X156" s="1346"/>
      <c r="Y156" s="1346"/>
      <c r="Z156" s="1346"/>
      <c r="AA156" s="1346"/>
      <c r="AB156" s="1346"/>
      <c r="AC156" s="1346"/>
      <c r="AD156" s="1346"/>
      <c r="AE156" s="1346"/>
      <c r="AF156" s="1346"/>
      <c r="AG156" s="1346"/>
      <c r="AH156" s="1346"/>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45" t="s">
        <v>2665</v>
      </c>
      <c r="P157" s="1462"/>
      <c r="Q157" s="1462"/>
      <c r="R157" s="1462"/>
      <c r="S157" s="1462"/>
      <c r="T157" s="1462"/>
      <c r="U157" s="1462"/>
      <c r="V157" s="1462"/>
      <c r="W157" s="1462"/>
      <c r="X157" s="146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8">
        <v>91103</v>
      </c>
      <c r="P158" s="1798"/>
      <c r="Q158" s="1798"/>
      <c r="R158" s="179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7" t="s">
        <v>2661</v>
      </c>
      <c r="P159" s="1803"/>
      <c r="Q159" s="1803"/>
      <c r="R159" s="1803"/>
      <c r="S159" s="1803"/>
      <c r="T159" s="1803"/>
      <c r="V159" s="97" t="s">
        <v>271</v>
      </c>
      <c r="W159" s="1799"/>
      <c r="X159" s="179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77" t="s">
        <v>2662</v>
      </c>
      <c r="P160" s="1803"/>
      <c r="Q160" s="1803"/>
      <c r="R160" s="1803"/>
      <c r="S160" s="1803"/>
      <c r="T160" s="180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792" t="s">
        <v>2663</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13" t="s">
        <v>2216</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72" t="s">
        <v>539</v>
      </c>
      <c r="B169" s="1472"/>
      <c r="C169" s="1472"/>
      <c r="D169" s="1472"/>
      <c r="E169" s="1472"/>
      <c r="F169" s="1472"/>
      <c r="G169" s="1472"/>
      <c r="H169" s="1472"/>
      <c r="I169" s="1472"/>
      <c r="J169" s="1472"/>
      <c r="K169" s="1472"/>
      <c r="L169" s="1472"/>
      <c r="M169" s="1472"/>
      <c r="N169" s="1472"/>
      <c r="O169" s="1472"/>
      <c r="P169" s="1472"/>
      <c r="Q169" s="1472"/>
      <c r="R169" s="1472"/>
      <c r="S169" s="1472"/>
      <c r="T169" s="1472"/>
      <c r="U169" s="1472"/>
      <c r="V169" s="1472"/>
      <c r="W169" s="1472"/>
      <c r="X169" s="1472"/>
      <c r="Y169" s="1472"/>
      <c r="Z169" s="1472"/>
      <c r="AA169" s="1472"/>
      <c r="AB169" s="1472"/>
      <c r="AC169" s="1472"/>
      <c r="AD169" s="1472"/>
      <c r="AE169" s="1472"/>
      <c r="AF169" s="1472"/>
      <c r="AG169" s="1472"/>
      <c r="AH169" s="1472"/>
      <c r="AI169" s="1472"/>
      <c r="AJ169" s="1472"/>
      <c r="AK169" s="1472"/>
      <c r="AL169" s="1472"/>
      <c r="AM169" s="1472"/>
      <c r="AN169" s="1472"/>
      <c r="AO169" s="1472"/>
      <c r="AP169" s="1472"/>
      <c r="AQ169" s="1472"/>
      <c r="AR169" s="1472"/>
      <c r="AS169" s="1472"/>
      <c r="AT169" s="147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72"/>
      <c r="B170" s="1472"/>
      <c r="C170" s="1472"/>
      <c r="D170" s="1472"/>
      <c r="E170" s="1472"/>
      <c r="F170" s="1472"/>
      <c r="G170" s="1472"/>
      <c r="H170" s="1472"/>
      <c r="I170" s="1472"/>
      <c r="J170" s="1472"/>
      <c r="K170" s="1472"/>
      <c r="L170" s="1472"/>
      <c r="M170" s="1472"/>
      <c r="N170" s="1472"/>
      <c r="O170" s="1472"/>
      <c r="P170" s="1472"/>
      <c r="Q170" s="1472"/>
      <c r="R170" s="1472"/>
      <c r="S170" s="1472"/>
      <c r="T170" s="1472"/>
      <c r="U170" s="1472"/>
      <c r="V170" s="1472"/>
      <c r="W170" s="1472"/>
      <c r="X170" s="1472"/>
      <c r="Y170" s="1472"/>
      <c r="Z170" s="1472"/>
      <c r="AA170" s="1472"/>
      <c r="AB170" s="1472"/>
      <c r="AC170" s="1472"/>
      <c r="AD170" s="1472"/>
      <c r="AE170" s="1472"/>
      <c r="AF170" s="1472"/>
      <c r="AG170" s="1472"/>
      <c r="AH170" s="1472"/>
      <c r="AI170" s="1472"/>
      <c r="AJ170" s="1472"/>
      <c r="AK170" s="1472"/>
      <c r="AL170" s="1472"/>
      <c r="AM170" s="1472"/>
      <c r="AN170" s="1472"/>
      <c r="AO170" s="1472"/>
      <c r="AP170" s="1472"/>
      <c r="AQ170" s="1472"/>
      <c r="AR170" s="1472"/>
      <c r="AS170" s="1472"/>
      <c r="AT170" s="147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819" t="s">
        <v>371</v>
      </c>
      <c r="K173" s="1819"/>
      <c r="L173" s="1819"/>
      <c r="M173" s="1819"/>
      <c r="N173" s="1819"/>
      <c r="O173" s="1819"/>
      <c r="P173" s="1819"/>
      <c r="Q173" s="1819"/>
      <c r="R173" s="1819"/>
      <c r="S173" s="181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46" t="s">
        <v>2101</v>
      </c>
      <c r="K174" s="1346"/>
      <c r="L174" s="1346"/>
      <c r="M174" s="1346"/>
      <c r="N174" s="1346"/>
      <c r="O174" s="1346"/>
      <c r="P174" s="1346"/>
      <c r="Q174" s="1346"/>
      <c r="R174" s="1346"/>
      <c r="S174" s="1346"/>
      <c r="T174" s="1346"/>
      <c r="U174" s="1346"/>
      <c r="V174" s="1346"/>
      <c r="W174" s="1346"/>
      <c r="X174" s="1346"/>
      <c r="Y174" s="1346"/>
      <c r="Z174" s="1346"/>
      <c r="AA174" s="1346"/>
      <c r="AB174" s="1346"/>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9"/>
      <c r="V175" s="1339"/>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454"/>
      <c r="V176" s="1454"/>
      <c r="W176" s="1" t="s">
        <v>306</v>
      </c>
      <c r="X176" s="1808"/>
      <c r="Y176" s="1808"/>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9"/>
      <c r="S177" s="1339"/>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807"/>
      <c r="AG178" s="1807"/>
      <c r="AH178" s="1" t="s">
        <v>306</v>
      </c>
      <c r="AI178" s="1805"/>
      <c r="AJ178" s="1805"/>
      <c r="AK178" s="1805"/>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339"/>
      <c r="Y180" s="1339"/>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366" t="str">
        <f>H18</f>
        <v xml:space="preserve">Colorado Crest Apartments </v>
      </c>
      <c r="J184" s="1366"/>
      <c r="K184" s="1366"/>
      <c r="L184" s="1366"/>
      <c r="M184" s="1366"/>
      <c r="N184" s="1366"/>
      <c r="O184" s="1366"/>
      <c r="P184" s="1366"/>
      <c r="Q184" s="1366"/>
      <c r="R184" s="1366"/>
      <c r="S184" s="1366"/>
      <c r="T184" s="1366"/>
      <c r="U184" s="1366"/>
      <c r="V184" s="1366"/>
      <c r="W184" s="1366"/>
      <c r="X184" s="1366"/>
      <c r="Y184" s="1366"/>
      <c r="Z184" s="1366"/>
      <c r="AA184" s="1366"/>
      <c r="AB184" s="1366"/>
      <c r="AC184" s="1366"/>
      <c r="AD184" s="1366"/>
      <c r="AE184" s="136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554" t="s">
        <v>2614</v>
      </c>
      <c r="J185" s="1356"/>
      <c r="K185" s="1356"/>
      <c r="L185" s="1356"/>
      <c r="M185" s="1356"/>
      <c r="N185" s="1356"/>
      <c r="O185" s="1356"/>
      <c r="P185" s="1356"/>
      <c r="Q185" s="1356"/>
      <c r="R185" s="1356"/>
      <c r="S185" s="1356"/>
      <c r="T185" s="1356"/>
      <c r="U185" s="1356"/>
      <c r="V185" s="1356"/>
      <c r="W185" s="1356"/>
      <c r="X185" s="1356"/>
      <c r="Y185" s="1356"/>
      <c r="Z185" s="1356"/>
      <c r="AA185" s="1356"/>
      <c r="AB185" s="1356"/>
      <c r="AC185" s="1356"/>
      <c r="AD185" s="1356"/>
      <c r="AE185" s="1356"/>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345" t="s">
        <v>2615</v>
      </c>
      <c r="J189" s="1346"/>
      <c r="K189" s="1346"/>
      <c r="L189" s="1346"/>
      <c r="M189" s="1346"/>
      <c r="N189" s="1346"/>
      <c r="O189" s="1346"/>
      <c r="P189" s="1346"/>
      <c r="Q189" t="s">
        <v>582</v>
      </c>
      <c r="T189" s="1346" t="s">
        <v>494</v>
      </c>
      <c r="U189" s="1346"/>
      <c r="V189" s="1346"/>
      <c r="W189" s="1346"/>
      <c r="X189" s="1346"/>
      <c r="Y189" s="1346"/>
      <c r="Z189" s="1346"/>
      <c r="AA189" s="1346"/>
      <c r="AB189" s="1346"/>
      <c r="AC189" s="1346"/>
      <c r="AD189" s="1346"/>
      <c r="AE189" s="134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56">
        <v>91106</v>
      </c>
      <c r="J190" s="1356"/>
      <c r="K190" s="1356"/>
      <c r="L190" s="1356"/>
      <c r="M190" s="1356"/>
      <c r="N190" s="1356"/>
      <c r="O190" t="s">
        <v>585</v>
      </c>
      <c r="T190" s="1796">
        <v>6037463400</v>
      </c>
      <c r="U190" s="1796"/>
      <c r="V190" s="1796"/>
      <c r="W190" s="1796"/>
      <c r="X190" s="1796"/>
      <c r="Y190" s="1796"/>
      <c r="Z190" s="1796"/>
      <c r="AA190" s="1796"/>
      <c r="AB190" s="1796"/>
      <c r="AC190" s="1796"/>
      <c r="AD190" s="1796"/>
      <c r="AE190" s="179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815" t="s">
        <v>2671</v>
      </c>
      <c r="O191" s="1816"/>
      <c r="P191" s="1816"/>
      <c r="Q191" s="1816"/>
      <c r="R191" s="1816"/>
      <c r="S191" s="1816"/>
      <c r="T191" s="1816"/>
      <c r="U191" s="1816"/>
      <c r="V191" s="1816"/>
      <c r="W191" s="1816"/>
      <c r="X191" s="1816"/>
      <c r="Y191" s="1816"/>
      <c r="Z191" s="1816"/>
      <c r="AA191" s="1816"/>
      <c r="AB191" s="1816"/>
      <c r="AC191" s="1816"/>
      <c r="AD191" s="1816"/>
      <c r="AE191" s="181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804" t="s">
        <v>1969</v>
      </c>
      <c r="U193" s="1804"/>
      <c r="V193" s="1804"/>
      <c r="W193" s="1804"/>
      <c r="X193" s="1804"/>
      <c r="Y193" s="1804"/>
      <c r="Z193" s="1804"/>
      <c r="AA193" s="1804"/>
      <c r="AB193" s="1804"/>
      <c r="AC193" s="1804"/>
      <c r="AD193" s="1804"/>
      <c r="AE193" s="1804"/>
      <c r="AF193" s="1804"/>
      <c r="AG193" s="1804"/>
      <c r="AH193" s="1804"/>
      <c r="AI193" s="180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9" t="s">
        <v>669</v>
      </c>
      <c r="AI194" s="1339"/>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339" t="s">
        <v>545</v>
      </c>
      <c r="U195" s="1339"/>
      <c r="W195" t="s">
        <v>684</v>
      </c>
      <c r="AH195" s="1339">
        <v>28</v>
      </c>
      <c r="AI195" s="1339"/>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03" t="s">
        <v>669</v>
      </c>
      <c r="U196" s="1403"/>
      <c r="W196" t="s">
        <v>685</v>
      </c>
      <c r="AH196" s="1339">
        <v>41</v>
      </c>
      <c r="AI196" s="1339"/>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03" t="s">
        <v>669</v>
      </c>
      <c r="U197" s="1403"/>
      <c r="W197" t="s">
        <v>686</v>
      </c>
      <c r="AH197" s="1339">
        <v>25</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3" t="s">
        <v>591</v>
      </c>
      <c r="U198" s="1403"/>
      <c r="V198"/>
      <c r="X198" s="1459" t="s">
        <v>2513</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339" t="s">
        <v>669</v>
      </c>
      <c r="U199" s="1339"/>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339" t="s">
        <v>669</v>
      </c>
      <c r="U200" s="1339"/>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6" t="s">
        <v>385</v>
      </c>
      <c r="E204" s="1366"/>
      <c r="F204" s="1366"/>
      <c r="G204" s="1366"/>
      <c r="H204" s="1366"/>
      <c r="I204" s="1366"/>
      <c r="J204" s="1366"/>
      <c r="K204" s="1366"/>
      <c r="L204" s="1366"/>
      <c r="M204" s="1366"/>
      <c r="P204" s="1814">
        <f>M26</f>
        <v>1726725</v>
      </c>
      <c r="Q204" s="1806"/>
      <c r="R204" s="1806"/>
      <c r="S204" s="1806"/>
      <c r="T204" s="1806"/>
      <c r="U204" s="180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24" t="s">
        <v>1247</v>
      </c>
      <c r="E205" s="1366"/>
      <c r="F205" s="1366"/>
      <c r="G205" s="1366"/>
      <c r="H205" s="1366"/>
      <c r="I205" s="1366"/>
      <c r="J205" s="1366"/>
      <c r="K205" s="1366"/>
      <c r="L205" s="1366"/>
      <c r="M205" s="1366"/>
      <c r="P205" s="1806">
        <f>M27</f>
        <v>4350000</v>
      </c>
      <c r="Q205" s="1806"/>
      <c r="R205" s="1806"/>
      <c r="S205" s="1806"/>
      <c r="T205" s="1806"/>
      <c r="U205" s="1806"/>
      <c r="V205" s="28"/>
      <c r="W205" s="3" t="s">
        <v>1720</v>
      </c>
      <c r="Z205" s="1822" t="s">
        <v>2219</v>
      </c>
      <c r="AA205" s="1822"/>
      <c r="AB205" s="1822"/>
      <c r="AC205" s="1822"/>
      <c r="AD205" s="1822"/>
      <c r="AE205" s="1822"/>
      <c r="AF205" s="1822"/>
      <c r="AG205" s="1822"/>
      <c r="AH205" s="1822"/>
      <c r="AI205" s="1822"/>
      <c r="AJ205" s="1822"/>
      <c r="AK205" s="1822"/>
      <c r="AL205" s="1822"/>
      <c r="AM205" s="1822"/>
      <c r="AN205" s="1822"/>
      <c r="AP205" s="1338"/>
      <c r="AQ205" s="133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62" t="s">
        <v>2616</v>
      </c>
      <c r="E208" s="1462"/>
      <c r="F208" s="1462"/>
      <c r="G208" s="1462"/>
      <c r="H208" s="1462"/>
      <c r="I208" s="1462"/>
      <c r="J208" s="1462"/>
      <c r="K208" s="1462"/>
      <c r="L208" s="1462"/>
      <c r="M208" s="1462"/>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62" t="s">
        <v>1041</v>
      </c>
      <c r="E211" s="1462"/>
      <c r="F211" s="1462"/>
      <c r="G211" s="1462"/>
      <c r="H211" s="1462"/>
      <c r="I211" s="1462"/>
      <c r="J211" s="1462"/>
      <c r="K211" s="1462"/>
      <c r="L211" s="1462"/>
      <c r="M211" s="1462"/>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339"/>
      <c r="R212" s="1339"/>
      <c r="T212" s="1801">
        <f>IFERROR(Q212/AG440,0)</f>
        <v>0</v>
      </c>
      <c r="U212" s="180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11" t="s">
        <v>591</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377</v>
      </c>
    </row>
    <row r="220" spans="1:108" ht="13" customHeight="1">
      <c r="A220" s="2"/>
      <c r="C220" s="2"/>
      <c r="D220" s="1462" t="s">
        <v>874</v>
      </c>
      <c r="E220" s="1462"/>
      <c r="F220" s="1462"/>
      <c r="G220" s="1462"/>
      <c r="H220" s="1462"/>
      <c r="I220" s="1462"/>
      <c r="J220" s="1462"/>
      <c r="K220" s="1462"/>
      <c r="L220" s="1462"/>
      <c r="M220" s="1462"/>
      <c r="N220" s="1462"/>
      <c r="O220" s="1462"/>
      <c r="P220" s="1462"/>
      <c r="Q220" s="1462"/>
      <c r="R220" s="1462"/>
      <c r="S220" s="1462"/>
      <c r="T220" s="1462"/>
      <c r="U220" s="1462"/>
      <c r="V220" s="1462"/>
      <c r="W220" s="1462"/>
      <c r="X220" s="1462"/>
      <c r="Y220" s="1462"/>
      <c r="Z220" s="1462"/>
      <c r="AC220" s="1823" t="s">
        <v>874</v>
      </c>
      <c r="AD220" s="1823"/>
      <c r="AE220" s="1823"/>
      <c r="AF220" s="1823"/>
      <c r="AG220" s="1823"/>
      <c r="AH220" s="1823"/>
      <c r="AI220" s="1823"/>
      <c r="AJ220" s="1823"/>
      <c r="AK220" s="1823"/>
      <c r="AL220" s="1823"/>
      <c r="AM220" s="1823"/>
      <c r="AN220" s="1823"/>
      <c r="AO220" s="1823"/>
      <c r="AP220" s="1823"/>
      <c r="AQ220" s="1823"/>
      <c r="BA220" s="3"/>
      <c r="BC220" t="s">
        <v>300</v>
      </c>
    </row>
    <row r="221" spans="1:108" ht="13" customHeight="1">
      <c r="A221" s="2"/>
      <c r="B221" s="14"/>
      <c r="C221" s="2"/>
      <c r="BA221" s="3"/>
    </row>
    <row r="222" spans="1:108" ht="13" customHeight="1">
      <c r="A222" s="1472" t="s">
        <v>540</v>
      </c>
      <c r="B222" s="1472"/>
      <c r="C222" s="1472"/>
      <c r="D222" s="1472"/>
      <c r="E222" s="1472"/>
      <c r="F222" s="1472"/>
      <c r="G222" s="1472"/>
      <c r="H222" s="1472"/>
      <c r="I222" s="1472"/>
      <c r="J222" s="1472"/>
      <c r="K222" s="1472"/>
      <c r="L222" s="1472"/>
      <c r="M222" s="1472"/>
      <c r="N222" s="1472"/>
      <c r="O222" s="1472"/>
      <c r="P222" s="1472"/>
      <c r="Q222" s="1472"/>
      <c r="R222" s="1472"/>
      <c r="S222" s="1472"/>
      <c r="T222" s="1472"/>
      <c r="U222" s="1472"/>
      <c r="V222" s="1472"/>
      <c r="W222" s="1472"/>
      <c r="X222" s="1472"/>
      <c r="Y222" s="1472"/>
      <c r="Z222" s="1472"/>
      <c r="AA222" s="1472"/>
      <c r="AB222" s="1472"/>
      <c r="AC222" s="1472"/>
      <c r="AD222" s="1472"/>
      <c r="AE222" s="1472"/>
      <c r="AF222" s="1472"/>
      <c r="AG222" s="1472"/>
      <c r="AH222" s="1472"/>
      <c r="AI222" s="1472"/>
      <c r="AJ222" s="1472"/>
      <c r="AK222" s="1472"/>
      <c r="AL222" s="1472"/>
      <c r="AM222" s="1472"/>
      <c r="AN222" s="1472"/>
      <c r="AO222" s="1472"/>
      <c r="AP222" s="1472"/>
      <c r="AQ222" s="1472"/>
      <c r="AR222" s="1472"/>
      <c r="AS222" s="1472"/>
      <c r="AT222" s="1472"/>
      <c r="AU222" s="95"/>
      <c r="AV222" s="95"/>
      <c r="AW222" s="95"/>
      <c r="AX222" s="95"/>
      <c r="AY222" s="95"/>
      <c r="AZ222" s="3"/>
      <c r="BA222" s="3"/>
      <c r="BP222" s="34"/>
    </row>
    <row r="223" spans="1:108" ht="13" customHeight="1">
      <c r="A223" s="1472"/>
      <c r="B223" s="1472"/>
      <c r="C223" s="1472"/>
      <c r="D223" s="1472"/>
      <c r="E223" s="1472"/>
      <c r="F223" s="1472"/>
      <c r="G223" s="1472"/>
      <c r="H223" s="1472"/>
      <c r="I223" s="1472"/>
      <c r="J223" s="1472"/>
      <c r="K223" s="1472"/>
      <c r="L223" s="1472"/>
      <c r="M223" s="1472"/>
      <c r="N223" s="1472"/>
      <c r="O223" s="1472"/>
      <c r="P223" s="1472"/>
      <c r="Q223" s="1472"/>
      <c r="R223" s="1472"/>
      <c r="S223" s="1472"/>
      <c r="T223" s="1472"/>
      <c r="U223" s="1472"/>
      <c r="V223" s="1472"/>
      <c r="W223" s="1472"/>
      <c r="X223" s="1472"/>
      <c r="Y223" s="1472"/>
      <c r="Z223" s="1472"/>
      <c r="AA223" s="1472"/>
      <c r="AB223" s="1472"/>
      <c r="AC223" s="1472"/>
      <c r="AD223" s="1472"/>
      <c r="AE223" s="1472"/>
      <c r="AF223" s="1472"/>
      <c r="AG223" s="1472"/>
      <c r="AH223" s="1472"/>
      <c r="AI223" s="1472"/>
      <c r="AJ223" s="1472"/>
      <c r="AK223" s="1472"/>
      <c r="AL223" s="1472"/>
      <c r="AM223" s="1472"/>
      <c r="AN223" s="1472"/>
      <c r="AO223" s="1472"/>
      <c r="AP223" s="1472"/>
      <c r="AQ223" s="1472"/>
      <c r="AR223" s="1472"/>
      <c r="AS223" s="1472"/>
      <c r="AT223" s="1472"/>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9" t="s">
        <v>545</v>
      </c>
      <c r="AJ226" s="1339"/>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9" t="s">
        <v>591</v>
      </c>
      <c r="AJ227" s="1339"/>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9" t="s">
        <v>591</v>
      </c>
      <c r="AJ228" s="1339"/>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9" t="s">
        <v>591</v>
      </c>
      <c r="AJ229" s="1339"/>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7" t="str">
        <f>H16</f>
        <v>Colorado Crest LP</v>
      </c>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Z232" s="4"/>
      <c r="BA232" s="3"/>
      <c r="BB232" s="205" t="s">
        <v>538</v>
      </c>
      <c r="BG232" s="241">
        <f>IF(AND(AND($M$249="nonprofit",$M$257="nonprofit",$M$265="for profit")),2,0)</f>
        <v>0</v>
      </c>
    </row>
    <row r="233" spans="1:59" ht="13" customHeight="1">
      <c r="D233" s="4" t="s">
        <v>85</v>
      </c>
      <c r="E233" s="4"/>
      <c r="F233" s="4"/>
      <c r="G233" s="4"/>
      <c r="H233" s="4"/>
      <c r="I233" s="4"/>
      <c r="J233" s="4"/>
      <c r="K233" s="4"/>
      <c r="M233" s="1345" t="s">
        <v>2617</v>
      </c>
      <c r="N233" s="1462"/>
      <c r="O233" s="1462"/>
      <c r="P233" s="1462"/>
      <c r="Q233" s="1462"/>
      <c r="R233" s="1462"/>
      <c r="S233" s="1462"/>
      <c r="T233" s="1462"/>
      <c r="U233" s="1462"/>
      <c r="V233" s="1462"/>
      <c r="W233" s="1462"/>
      <c r="X233" s="1462"/>
      <c r="Y233" s="1462"/>
      <c r="Z233" s="1462"/>
      <c r="AA233" s="1462"/>
      <c r="AB233" s="1462"/>
      <c r="AC233" s="1462"/>
      <c r="AD233" s="1462"/>
      <c r="AE233" s="1462"/>
      <c r="BB233" s="205" t="s">
        <v>538</v>
      </c>
      <c r="BG233" s="241">
        <f>IF(AND(AND($M$249="nonprofit",$M$257="for profit",$M$265="nonprofit")),2,0)</f>
        <v>0</v>
      </c>
    </row>
    <row r="234" spans="1:59" ht="13" customHeight="1">
      <c r="D234" s="4" t="s">
        <v>580</v>
      </c>
      <c r="E234" s="4"/>
      <c r="M234" s="1345" t="s">
        <v>2618</v>
      </c>
      <c r="N234" s="1462"/>
      <c r="O234" s="1462"/>
      <c r="P234" s="1462"/>
      <c r="Q234" s="1462"/>
      <c r="R234" s="1462"/>
      <c r="S234" s="1462"/>
      <c r="T234" s="1462"/>
      <c r="V234" s="33" t="s">
        <v>86</v>
      </c>
      <c r="W234" s="1554" t="s">
        <v>2673</v>
      </c>
      <c r="X234" s="1484"/>
      <c r="Y234" s="4" t="s">
        <v>583</v>
      </c>
      <c r="AC234" s="1462">
        <v>92117</v>
      </c>
      <c r="AD234" s="1462"/>
      <c r="AE234" s="1462"/>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345" t="s">
        <v>2619</v>
      </c>
      <c r="N235" s="1462"/>
      <c r="O235" s="1462"/>
      <c r="P235" s="1462"/>
      <c r="Q235" s="1462"/>
      <c r="R235" s="1462"/>
      <c r="S235" s="1462"/>
      <c r="T235" s="1462"/>
      <c r="U235" s="1462"/>
      <c r="V235" s="1462"/>
      <c r="W235" s="1462"/>
      <c r="X235" s="1462"/>
      <c r="Y235" s="1462"/>
      <c r="Z235" s="1462"/>
      <c r="AA235" s="1462"/>
      <c r="AB235" s="1462"/>
      <c r="AC235" s="1462"/>
      <c r="AD235" s="1462"/>
      <c r="AE235" s="1462"/>
      <c r="AI235" s="4"/>
      <c r="AJ235" s="4"/>
      <c r="AK235" s="4"/>
      <c r="AL235" s="4"/>
      <c r="AM235" s="4"/>
      <c r="AN235" s="4"/>
      <c r="AO235" s="4"/>
      <c r="AP235" s="4"/>
      <c r="AQ235" s="4"/>
      <c r="AR235" s="4"/>
      <c r="AS235" s="4"/>
      <c r="AT235" s="4"/>
      <c r="BB235" s="205"/>
      <c r="BG235" s="204"/>
    </row>
    <row r="236" spans="1:59" ht="13" customHeight="1">
      <c r="D236" s="4" t="s">
        <v>88</v>
      </c>
      <c r="E236" s="4"/>
      <c r="F236" s="4"/>
      <c r="M236" s="1344" t="s">
        <v>2672</v>
      </c>
      <c r="N236" s="1344"/>
      <c r="O236" s="1344"/>
      <c r="P236" s="1344"/>
      <c r="Q236" s="1344"/>
      <c r="R236" s="1344"/>
      <c r="S236" s="4" t="s">
        <v>206</v>
      </c>
      <c r="T236" s="4"/>
      <c r="U236" s="1484"/>
      <c r="V236" s="1484"/>
      <c r="W236" s="1484"/>
      <c r="X236" s="4" t="s">
        <v>89</v>
      </c>
      <c r="Z236" s="1344"/>
      <c r="AA236" s="1344"/>
      <c r="AB236" s="1344"/>
      <c r="AC236" s="1344"/>
      <c r="AD236" s="1344"/>
      <c r="AE236" s="1344"/>
      <c r="AU236" s="4"/>
      <c r="AV236" s="4"/>
      <c r="AW236" s="4"/>
      <c r="AX236" s="4"/>
      <c r="AY236" s="4"/>
      <c r="AZ236" s="4"/>
      <c r="BB236" s="204" t="s">
        <v>537</v>
      </c>
      <c r="BG236" s="241">
        <f>IF(AND(AND($M$249="nonprofit",$M$257="nonprofit",$M$265="(select one)")),1,0)</f>
        <v>0</v>
      </c>
    </row>
    <row r="237" spans="1:59" ht="13" customHeight="1">
      <c r="D237" s="4" t="s">
        <v>90</v>
      </c>
      <c r="E237" s="4"/>
      <c r="F237" s="4"/>
      <c r="M237" s="1792" t="s">
        <v>2620</v>
      </c>
      <c r="N237" s="1792"/>
      <c r="O237" s="1792"/>
      <c r="P237" s="1792"/>
      <c r="Q237" s="1792"/>
      <c r="R237" s="1792"/>
      <c r="S237" s="1792"/>
      <c r="T237" s="1792"/>
      <c r="U237" s="1792"/>
      <c r="V237" s="1792"/>
      <c r="W237" s="1792"/>
      <c r="X237" s="1792"/>
      <c r="Y237" s="1792"/>
      <c r="Z237" s="1792"/>
      <c r="AA237" s="1792"/>
      <c r="AB237" s="1792"/>
      <c r="AC237" s="1792"/>
      <c r="AD237" s="1792"/>
      <c r="AE237" s="179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6" t="s">
        <v>528</v>
      </c>
      <c r="N238" s="1356"/>
      <c r="O238" s="1356"/>
      <c r="P238" s="1356"/>
      <c r="Q238" s="1356"/>
      <c r="R238" s="1356"/>
      <c r="S238" s="1356"/>
      <c r="T238" s="1356"/>
      <c r="U238" s="204" t="s">
        <v>906</v>
      </c>
      <c r="V238" s="204"/>
      <c r="W238" s="204"/>
      <c r="X238" s="204"/>
      <c r="Y238" s="204"/>
      <c r="Z238" s="204"/>
      <c r="AA238" s="1788"/>
      <c r="AB238" s="1788"/>
      <c r="AC238" s="1788"/>
      <c r="AD238" s="1788"/>
      <c r="AE238" s="1788"/>
      <c r="AF238" s="1788"/>
      <c r="AG238" s="1788"/>
      <c r="AH238" s="1788"/>
      <c r="AI238" s="1788"/>
      <c r="AJ238" s="1788"/>
      <c r="AK238" s="178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346"/>
      <c r="N239" s="1346"/>
      <c r="O239" s="1346"/>
      <c r="P239" s="1346"/>
      <c r="Q239" s="1346"/>
      <c r="R239" s="1346"/>
      <c r="S239" s="1346"/>
      <c r="T239" s="1346"/>
      <c r="U239" s="1346"/>
      <c r="V239" s="1346"/>
      <c r="W239" s="1346"/>
      <c r="X239" s="1346"/>
      <c r="Y239" s="1346"/>
      <c r="Z239" s="1346"/>
      <c r="AA239" s="1346"/>
      <c r="AB239" s="1346"/>
      <c r="AC239" s="1346"/>
      <c r="AD239" s="1346"/>
      <c r="AE239" s="1346"/>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64" t="s">
        <v>2684</v>
      </c>
      <c r="N243" s="1465"/>
      <c r="O243" s="1465"/>
      <c r="P243" s="1465"/>
      <c r="Q243" s="1465"/>
      <c r="R243" s="1465"/>
      <c r="S243" s="1465"/>
      <c r="T243" s="1465"/>
      <c r="U243" s="1465"/>
      <c r="V243" s="1465"/>
      <c r="W243" s="1465"/>
      <c r="X243" s="1465"/>
      <c r="Y243" s="1465"/>
      <c r="Z243" s="1465"/>
      <c r="AA243" s="1465"/>
      <c r="AB243" s="1465"/>
      <c r="AC243" s="1465"/>
      <c r="AD243" s="1465"/>
      <c r="AE243" s="1465"/>
      <c r="AF243" s="1465" t="s">
        <v>2666</v>
      </c>
      <c r="AG243" s="1465"/>
      <c r="AH243" s="1465"/>
      <c r="AI243" s="1465"/>
      <c r="AJ243" s="1465"/>
      <c r="AK243" s="1465"/>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345" t="s">
        <v>2685</v>
      </c>
      <c r="N244" s="1462"/>
      <c r="O244" s="1462"/>
      <c r="P244" s="1462"/>
      <c r="Q244" s="1462"/>
      <c r="R244" s="1462"/>
      <c r="S244" s="1462"/>
      <c r="T244" s="1462"/>
      <c r="U244" s="1462"/>
      <c r="V244" s="1462"/>
      <c r="W244" s="1462"/>
      <c r="X244" s="1462"/>
      <c r="Y244" s="1462"/>
      <c r="Z244" s="1462"/>
      <c r="AA244" s="1462"/>
      <c r="AB244" s="1462"/>
      <c r="AC244" s="1462"/>
      <c r="AD244" s="1462"/>
      <c r="AE244" s="1462"/>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345" t="s">
        <v>2686</v>
      </c>
      <c r="N245" s="1462"/>
      <c r="O245" s="1462"/>
      <c r="P245" s="1462"/>
      <c r="Q245" s="1462"/>
      <c r="R245" s="1462"/>
      <c r="S245" s="1462"/>
      <c r="T245" s="1462"/>
      <c r="V245" s="33" t="s">
        <v>86</v>
      </c>
      <c r="W245" s="1554" t="s">
        <v>2673</v>
      </c>
      <c r="X245" s="1484"/>
      <c r="Y245" s="4" t="s">
        <v>583</v>
      </c>
      <c r="AC245" s="1345">
        <v>96001</v>
      </c>
      <c r="AD245" s="1462"/>
      <c r="AE245" s="1462"/>
      <c r="AF245" s="3" t="s">
        <v>1180</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345" t="s">
        <v>2687</v>
      </c>
      <c r="N246" s="1462"/>
      <c r="O246" s="1462"/>
      <c r="P246" s="1462"/>
      <c r="Q246" s="1462"/>
      <c r="R246" s="1462"/>
      <c r="S246" s="1462"/>
      <c r="T246" s="1462"/>
      <c r="U246" s="1462"/>
      <c r="V246" s="1462"/>
      <c r="W246" s="1462"/>
      <c r="X246" s="1462"/>
      <c r="Y246" s="1462"/>
      <c r="Z246" s="1462"/>
      <c r="AA246" s="1462"/>
      <c r="AB246" s="1462"/>
      <c r="AC246" s="1462"/>
      <c r="AD246" s="1462"/>
      <c r="AE246" s="1462"/>
      <c r="AH246" s="1791">
        <v>5.1000000000000004E-4</v>
      </c>
      <c r="AI246" s="1791"/>
      <c r="AJ246" s="1791"/>
      <c r="AK246" s="1791"/>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343" t="s">
        <v>2689</v>
      </c>
      <c r="N247" s="1344"/>
      <c r="O247" s="1344"/>
      <c r="P247" s="1344"/>
      <c r="Q247" s="1344"/>
      <c r="R247" s="1344"/>
      <c r="S247" s="4" t="s">
        <v>206</v>
      </c>
      <c r="T247" s="4"/>
      <c r="U247" s="1484"/>
      <c r="V247" s="1484"/>
      <c r="W247" s="1484"/>
      <c r="X247" s="4" t="s">
        <v>89</v>
      </c>
      <c r="Z247" s="1344"/>
      <c r="AA247" s="1344"/>
      <c r="AB247" s="1344"/>
      <c r="AC247" s="1344"/>
      <c r="AD247" s="1344"/>
      <c r="AE247" s="1344"/>
      <c r="AU247" s="4"/>
      <c r="AV247" s="4"/>
      <c r="AW247" s="4"/>
      <c r="AX247" s="4"/>
      <c r="AY247" s="4"/>
      <c r="BG247">
        <v>0</v>
      </c>
      <c r="BH247" s="3" t="str">
        <f>""</f>
        <v/>
      </c>
      <c r="BN247" s="34"/>
    </row>
    <row r="248" spans="1:67" ht="13" customHeight="1">
      <c r="A248" s="19"/>
      <c r="B248" s="4"/>
      <c r="C248" s="4"/>
      <c r="D248" s="4" t="s">
        <v>90</v>
      </c>
      <c r="E248" s="4"/>
      <c r="F248" s="4"/>
      <c r="M248" s="1792" t="s">
        <v>2688</v>
      </c>
      <c r="N248" s="1792"/>
      <c r="O248" s="1792"/>
      <c r="P248" s="1792"/>
      <c r="Q248" s="1792"/>
      <c r="R248" s="1792"/>
      <c r="S248" s="1792"/>
      <c r="T248" s="1792"/>
      <c r="U248" s="1792"/>
      <c r="V248" s="1792"/>
      <c r="W248" s="1792"/>
      <c r="X248" s="1792"/>
      <c r="Y248" s="1792"/>
      <c r="Z248" s="1792"/>
      <c r="AA248" s="1792"/>
      <c r="AB248" s="1792"/>
      <c r="AC248" s="1792"/>
      <c r="AD248" s="1792"/>
      <c r="AE248" s="1792"/>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6" t="s">
        <v>534</v>
      </c>
      <c r="N249" s="1356"/>
      <c r="O249" s="1356"/>
      <c r="P249" s="1356"/>
      <c r="Q249" s="1356"/>
      <c r="R249" s="1356"/>
      <c r="S249" s="1356"/>
      <c r="T249" s="1356"/>
      <c r="U249" s="204" t="s">
        <v>906</v>
      </c>
      <c r="V249" s="204"/>
      <c r="W249" s="204"/>
      <c r="X249" s="204"/>
      <c r="Y249" s="204"/>
      <c r="Z249" s="204"/>
      <c r="AA249" s="1787"/>
      <c r="AB249" s="1788"/>
      <c r="AC249" s="1788"/>
      <c r="AD249" s="1788"/>
      <c r="AE249" s="1788"/>
      <c r="AF249" s="1788"/>
      <c r="AG249" s="1788"/>
      <c r="AH249" s="1788"/>
      <c r="AI249" s="1788"/>
      <c r="AJ249" s="1788"/>
      <c r="AK249" s="178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64" t="s">
        <v>2690</v>
      </c>
      <c r="N251" s="1465"/>
      <c r="O251" s="1465"/>
      <c r="P251" s="1465"/>
      <c r="Q251" s="1465"/>
      <c r="R251" s="1465"/>
      <c r="S251" s="1465"/>
      <c r="T251" s="1465"/>
      <c r="U251" s="1465"/>
      <c r="V251" s="1465"/>
      <c r="W251" s="1465"/>
      <c r="X251" s="1465"/>
      <c r="Y251" s="1465"/>
      <c r="Z251" s="1465"/>
      <c r="AA251" s="1465"/>
      <c r="AB251" s="1465"/>
      <c r="AC251" s="1465"/>
      <c r="AD251" s="1465"/>
      <c r="AE251" s="1465"/>
      <c r="AF251" s="1465" t="s">
        <v>2667</v>
      </c>
      <c r="AG251" s="1465"/>
      <c r="AH251" s="1465"/>
      <c r="AI251" s="1465"/>
      <c r="AJ251" s="1465"/>
      <c r="AK251" s="1465"/>
      <c r="AU251" s="4"/>
      <c r="AV251" s="4"/>
      <c r="AW251" s="4"/>
      <c r="AX251" s="4"/>
      <c r="AY251" s="4"/>
      <c r="BN251" s="34"/>
    </row>
    <row r="252" spans="1:67" ht="13" customHeight="1">
      <c r="A252" s="19"/>
      <c r="B252" s="4"/>
      <c r="C252" s="4"/>
      <c r="D252" s="4" t="s">
        <v>85</v>
      </c>
      <c r="E252" s="4"/>
      <c r="F252" s="4"/>
      <c r="G252" s="4"/>
      <c r="H252" s="4"/>
      <c r="I252" s="4"/>
      <c r="J252" s="4"/>
      <c r="K252" s="4"/>
      <c r="L252" s="4"/>
      <c r="M252" s="1345" t="s">
        <v>2691</v>
      </c>
      <c r="N252" s="1462"/>
      <c r="O252" s="1462"/>
      <c r="P252" s="1462"/>
      <c r="Q252" s="1462"/>
      <c r="R252" s="1462"/>
      <c r="S252" s="1462"/>
      <c r="T252" s="1462"/>
      <c r="U252" s="1462"/>
      <c r="V252" s="1462"/>
      <c r="W252" s="1462"/>
      <c r="X252" s="1462"/>
      <c r="Y252" s="1462"/>
      <c r="Z252" s="1462"/>
      <c r="AA252" s="1462"/>
      <c r="AB252" s="1462"/>
      <c r="AC252" s="1462"/>
      <c r="AD252" s="1462"/>
      <c r="AE252" s="1462"/>
      <c r="AF252" s="3" t="s">
        <v>1179</v>
      </c>
      <c r="AL252" s="4"/>
      <c r="AM252" s="4"/>
      <c r="AN252" s="4"/>
      <c r="AO252" s="4"/>
      <c r="AP252" s="4"/>
      <c r="AQ252" s="4"/>
      <c r="AR252" s="4"/>
      <c r="AS252" s="4"/>
      <c r="AT252" s="4"/>
      <c r="BN252" s="34"/>
    </row>
    <row r="253" spans="1:67" ht="13" customHeight="1">
      <c r="A253" s="19"/>
      <c r="B253" s="4"/>
      <c r="C253" s="4"/>
      <c r="D253" s="4" t="s">
        <v>580</v>
      </c>
      <c r="E253" s="4"/>
      <c r="M253" s="1345" t="s">
        <v>2618</v>
      </c>
      <c r="N253" s="1462"/>
      <c r="O253" s="1462"/>
      <c r="P253" s="1462"/>
      <c r="Q253" s="1462"/>
      <c r="R253" s="1462"/>
      <c r="S253" s="1462"/>
      <c r="T253" s="1462"/>
      <c r="V253" s="33" t="s">
        <v>86</v>
      </c>
      <c r="W253" s="1554" t="s">
        <v>2622</v>
      </c>
      <c r="X253" s="1484"/>
      <c r="Y253" s="4" t="s">
        <v>583</v>
      </c>
      <c r="AC253" s="1462">
        <v>10168</v>
      </c>
      <c r="AD253" s="1462"/>
      <c r="AE253" s="1462"/>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345" t="s">
        <v>2619</v>
      </c>
      <c r="N254" s="1462"/>
      <c r="O254" s="1462"/>
      <c r="P254" s="1462"/>
      <c r="Q254" s="1462"/>
      <c r="R254" s="1462"/>
      <c r="S254" s="1462"/>
      <c r="T254" s="1462"/>
      <c r="U254" s="1462"/>
      <c r="V254" s="1462"/>
      <c r="W254" s="1462"/>
      <c r="X254" s="1462"/>
      <c r="Y254" s="1462"/>
      <c r="Z254" s="1462"/>
      <c r="AA254" s="1462"/>
      <c r="AB254" s="1462"/>
      <c r="AC254" s="1462"/>
      <c r="AD254" s="1462"/>
      <c r="AE254" s="1462"/>
      <c r="AH254" s="1791">
        <v>4.8999999999999998E-4</v>
      </c>
      <c r="AI254" s="1791"/>
      <c r="AJ254" s="1791"/>
      <c r="AK254" s="1791"/>
      <c r="AL254" s="4"/>
      <c r="AM254" s="4"/>
      <c r="AN254" s="4"/>
      <c r="AO254" s="4"/>
      <c r="AP254" s="4"/>
      <c r="AQ254" s="4"/>
      <c r="AR254" s="4"/>
      <c r="AS254" s="4"/>
      <c r="AT254" s="4"/>
    </row>
    <row r="255" spans="1:67" ht="13" customHeight="1">
      <c r="A255" s="19"/>
      <c r="B255" s="4"/>
      <c r="C255" s="4"/>
      <c r="D255" s="4" t="s">
        <v>88</v>
      </c>
      <c r="E255" s="4"/>
      <c r="F255" s="4"/>
      <c r="M255" s="1343" t="s">
        <v>2692</v>
      </c>
      <c r="N255" s="1344"/>
      <c r="O255" s="1344"/>
      <c r="P255" s="1344"/>
      <c r="Q255" s="1344"/>
      <c r="R255" s="1344"/>
      <c r="S255" s="4" t="s">
        <v>206</v>
      </c>
      <c r="T255" s="4"/>
      <c r="U255" s="1484"/>
      <c r="V255" s="1484"/>
      <c r="W255" s="1484"/>
      <c r="X255" s="4" t="s">
        <v>89</v>
      </c>
      <c r="Z255" s="1344"/>
      <c r="AA255" s="1344"/>
      <c r="AB255" s="1344"/>
      <c r="AC255" s="1344"/>
      <c r="AD255" s="1344"/>
      <c r="AE255" s="1344"/>
      <c r="AU255" s="4"/>
      <c r="AV255" s="4"/>
      <c r="AW255" s="4"/>
      <c r="AX255" s="4"/>
      <c r="AY255" s="4"/>
      <c r="BN255" s="34"/>
    </row>
    <row r="256" spans="1:67" ht="13" customHeight="1">
      <c r="A256" s="19"/>
      <c r="B256" s="4"/>
      <c r="C256" s="4"/>
      <c r="D256" s="4" t="s">
        <v>90</v>
      </c>
      <c r="E256" s="4"/>
      <c r="F256" s="4"/>
      <c r="M256" s="1792" t="s">
        <v>2620</v>
      </c>
      <c r="N256" s="1792"/>
      <c r="O256" s="1792"/>
      <c r="P256" s="1792"/>
      <c r="Q256" s="1792"/>
      <c r="R256" s="1792"/>
      <c r="S256" s="1792"/>
      <c r="T256" s="1792"/>
      <c r="U256" s="1792"/>
      <c r="V256" s="1792"/>
      <c r="W256" s="1792"/>
      <c r="X256" s="1792"/>
      <c r="Y256" s="1792"/>
      <c r="Z256" s="1792"/>
      <c r="AA256" s="1792"/>
      <c r="AB256" s="1792"/>
      <c r="AC256" s="1792"/>
      <c r="AD256" s="1792"/>
      <c r="AE256" s="179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6" t="s">
        <v>536</v>
      </c>
      <c r="N257" s="1356"/>
      <c r="O257" s="1356"/>
      <c r="P257" s="1356"/>
      <c r="Q257" s="1356"/>
      <c r="R257" s="1356"/>
      <c r="S257" s="1356"/>
      <c r="T257" s="1356"/>
      <c r="U257" s="204" t="s">
        <v>906</v>
      </c>
      <c r="V257" s="204"/>
      <c r="W257" s="204"/>
      <c r="X257" s="204"/>
      <c r="Y257" s="204"/>
      <c r="Z257" s="204"/>
      <c r="AA257" s="1787" t="s">
        <v>2621</v>
      </c>
      <c r="AB257" s="1788"/>
      <c r="AC257" s="1788"/>
      <c r="AD257" s="1788"/>
      <c r="AE257" s="1788"/>
      <c r="AF257" s="1788"/>
      <c r="AG257" s="1788"/>
      <c r="AH257" s="1788"/>
      <c r="AI257" s="1788"/>
      <c r="AJ257" s="1788"/>
      <c r="AK257" s="178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65"/>
      <c r="N259" s="1465"/>
      <c r="O259" s="1465"/>
      <c r="P259" s="1465"/>
      <c r="Q259" s="1465"/>
      <c r="R259" s="1465"/>
      <c r="S259" s="1465"/>
      <c r="T259" s="1465"/>
      <c r="U259" s="1465"/>
      <c r="V259" s="1465"/>
      <c r="W259" s="1465"/>
      <c r="X259" s="1465"/>
      <c r="Y259" s="1465"/>
      <c r="Z259" s="1465"/>
      <c r="AA259" s="1465"/>
      <c r="AB259" s="1465"/>
      <c r="AC259" s="1465"/>
      <c r="AD259" s="1465"/>
      <c r="AE259" s="1465"/>
      <c r="AF259" s="1465" t="s">
        <v>307</v>
      </c>
      <c r="AG259" s="1465"/>
      <c r="AH259" s="1465"/>
      <c r="AI259" s="1465"/>
      <c r="AJ259" s="1465"/>
      <c r="AK259" s="1465"/>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62"/>
      <c r="N260" s="1462"/>
      <c r="O260" s="1462"/>
      <c r="P260" s="1462"/>
      <c r="Q260" s="1462"/>
      <c r="R260" s="1462"/>
      <c r="S260" s="1462"/>
      <c r="T260" s="1462"/>
      <c r="U260" s="1462"/>
      <c r="V260" s="1462"/>
      <c r="W260" s="1462"/>
      <c r="X260" s="1462"/>
      <c r="Y260" s="1462"/>
      <c r="Z260" s="1462"/>
      <c r="AA260" s="1462"/>
      <c r="AB260" s="1462"/>
      <c r="AC260" s="1462"/>
      <c r="AD260" s="1462"/>
      <c r="AE260" s="1462"/>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62"/>
      <c r="N261" s="1462"/>
      <c r="O261" s="1462"/>
      <c r="P261" s="1462"/>
      <c r="Q261" s="1462"/>
      <c r="R261" s="1462"/>
      <c r="S261" s="1462"/>
      <c r="T261" s="1462"/>
      <c r="V261" s="33" t="s">
        <v>86</v>
      </c>
      <c r="W261" s="1484"/>
      <c r="X261" s="1484"/>
      <c r="Y261" s="4" t="s">
        <v>583</v>
      </c>
      <c r="AC261" s="1462"/>
      <c r="AD261" s="1462"/>
      <c r="AE261" s="1462"/>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62"/>
      <c r="N262" s="1462"/>
      <c r="O262" s="1462"/>
      <c r="P262" s="1462"/>
      <c r="Q262" s="1462"/>
      <c r="R262" s="1462"/>
      <c r="S262" s="1462"/>
      <c r="T262" s="1462"/>
      <c r="U262" s="1462"/>
      <c r="V262" s="1462"/>
      <c r="W262" s="1462"/>
      <c r="X262" s="1462"/>
      <c r="Y262" s="1462"/>
      <c r="Z262" s="1462"/>
      <c r="AA262" s="1462"/>
      <c r="AB262" s="1462"/>
      <c r="AC262" s="1462"/>
      <c r="AD262" s="1462"/>
      <c r="AE262" s="1462"/>
      <c r="AH262" s="1791"/>
      <c r="AI262" s="1791"/>
      <c r="AJ262" s="1791"/>
      <c r="AK262" s="179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4"/>
      <c r="N263" s="1344"/>
      <c r="O263" s="1344"/>
      <c r="P263" s="1344"/>
      <c r="Q263" s="1344"/>
      <c r="R263" s="1344"/>
      <c r="S263" s="4" t="s">
        <v>206</v>
      </c>
      <c r="T263" s="4"/>
      <c r="U263" s="1484"/>
      <c r="V263" s="1484"/>
      <c r="W263" s="1484"/>
      <c r="X263" s="4" t="s">
        <v>89</v>
      </c>
      <c r="Z263" s="1344"/>
      <c r="AA263" s="1344"/>
      <c r="AB263" s="1344"/>
      <c r="AC263" s="1344"/>
      <c r="AD263" s="1344"/>
      <c r="AE263" s="1344"/>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92"/>
      <c r="N264" s="1792"/>
      <c r="O264" s="1792"/>
      <c r="P264" s="1792"/>
      <c r="Q264" s="1792"/>
      <c r="R264" s="1792"/>
      <c r="S264" s="1792"/>
      <c r="T264" s="1792"/>
      <c r="U264" s="1792"/>
      <c r="V264" s="1792"/>
      <c r="W264" s="1792"/>
      <c r="X264" s="1792"/>
      <c r="Y264" s="1792"/>
      <c r="Z264" s="1792"/>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6" t="s">
        <v>307</v>
      </c>
      <c r="N265" s="1356"/>
      <c r="O265" s="1356"/>
      <c r="P265" s="1356"/>
      <c r="Q265" s="1356"/>
      <c r="R265" s="1356"/>
      <c r="S265" s="1356"/>
      <c r="T265" s="1356"/>
      <c r="U265" s="204" t="s">
        <v>906</v>
      </c>
      <c r="V265" s="204"/>
      <c r="W265" s="204"/>
      <c r="X265" s="204"/>
      <c r="Y265" s="204"/>
      <c r="Z265" s="204"/>
      <c r="AA265" s="1789"/>
      <c r="AB265" s="1789"/>
      <c r="AC265" s="1789"/>
      <c r="AD265" s="1789"/>
      <c r="AE265" s="1789"/>
      <c r="AF265" s="1789"/>
      <c r="AG265" s="1789"/>
      <c r="AH265" s="1789"/>
      <c r="AI265" s="1789"/>
      <c r="AJ265" s="1789"/>
      <c r="AK265" s="178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90" t="str">
        <f>IFERROR(BO245,"")</f>
        <v>Joint Venture</v>
      </c>
      <c r="U267" s="1790"/>
      <c r="V267" s="1790"/>
      <c r="W267" s="1790"/>
      <c r="X267" s="1790"/>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62" t="s">
        <v>280</v>
      </c>
      <c r="E270" s="1462"/>
      <c r="F270" s="1462"/>
      <c r="G270" s="1462"/>
      <c r="H270" s="1462"/>
      <c r="J270" t="s">
        <v>279</v>
      </c>
      <c r="X270" s="1686"/>
      <c r="Y270" s="1686"/>
      <c r="Z270" s="1686"/>
      <c r="AA270" s="1686"/>
      <c r="AB270" s="1686"/>
      <c r="AC270" s="1686"/>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64" t="s">
        <v>2621</v>
      </c>
      <c r="M274" s="1465"/>
      <c r="N274" s="1465"/>
      <c r="O274" s="1465"/>
      <c r="P274" s="1465"/>
      <c r="Q274" s="1465"/>
      <c r="R274" s="1465"/>
      <c r="S274" s="1465"/>
      <c r="T274" s="1465"/>
      <c r="U274" s="1465"/>
      <c r="V274" s="1465"/>
      <c r="W274" s="1465"/>
      <c r="X274" s="1465"/>
      <c r="Y274" s="1465"/>
      <c r="Z274" s="1465"/>
      <c r="AA274" s="1465"/>
      <c r="AB274" s="1465"/>
      <c r="AC274" s="1465"/>
      <c r="AD274" s="1465"/>
      <c r="AE274" s="1465"/>
      <c r="AF274" s="1465"/>
      <c r="AG274" s="1465"/>
      <c r="AH274" s="1465"/>
      <c r="AI274" s="1465"/>
      <c r="AJ274" s="1465"/>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706" t="s">
        <v>2617</v>
      </c>
      <c r="M275" s="1706"/>
      <c r="N275" s="1706"/>
      <c r="O275" s="1706"/>
      <c r="P275" s="1706"/>
      <c r="Q275" s="1706"/>
      <c r="R275" s="1706"/>
      <c r="S275" s="1706"/>
      <c r="T275" s="1706"/>
      <c r="U275" s="1706"/>
      <c r="V275" s="1706"/>
      <c r="W275" s="1706"/>
      <c r="X275" s="1706"/>
      <c r="Y275" s="1706"/>
      <c r="Z275" s="1706"/>
      <c r="AA275" s="1706"/>
      <c r="AB275" s="1706"/>
      <c r="AC275" s="1706"/>
      <c r="AD275" s="1706"/>
      <c r="AK275" s="3"/>
      <c r="AL275" s="3"/>
      <c r="AM275" s="3"/>
      <c r="AN275" s="3"/>
      <c r="AO275" s="3"/>
      <c r="AP275" s="3"/>
      <c r="AQ275" s="3"/>
      <c r="AR275" s="3"/>
      <c r="AS275" s="3"/>
      <c r="AT275" s="3"/>
      <c r="AU275" s="3"/>
      <c r="AV275" s="3"/>
      <c r="AW275" s="3"/>
      <c r="AX275" s="3"/>
      <c r="AY275" s="3"/>
    </row>
    <row r="276" spans="1:51" ht="13" customHeight="1">
      <c r="D276" s="4" t="s">
        <v>580</v>
      </c>
      <c r="E276" s="4"/>
      <c r="L276" s="1706" t="s">
        <v>2618</v>
      </c>
      <c r="M276" s="1706"/>
      <c r="N276" s="1706"/>
      <c r="O276" s="1706"/>
      <c r="P276" s="1706"/>
      <c r="Q276" s="1706"/>
      <c r="R276" s="1706"/>
      <c r="S276" s="1706"/>
      <c r="U276" s="33" t="s">
        <v>86</v>
      </c>
      <c r="V276" s="1554" t="s">
        <v>2622</v>
      </c>
      <c r="W276" s="1484"/>
      <c r="X276" s="4" t="s">
        <v>583</v>
      </c>
      <c r="AB276" s="1462">
        <v>10168</v>
      </c>
      <c r="AC276" s="1462"/>
      <c r="AD276" s="1462"/>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45" t="s">
        <v>2623</v>
      </c>
      <c r="M277" s="1462"/>
      <c r="N277" s="1462"/>
      <c r="O277" s="1462"/>
      <c r="P277" s="1462"/>
      <c r="Q277" s="1462"/>
      <c r="R277" s="1462"/>
      <c r="S277" s="1462"/>
      <c r="T277" s="1462"/>
      <c r="U277" s="1462"/>
      <c r="V277" s="1462"/>
      <c r="W277" s="1462"/>
      <c r="X277" s="1462"/>
      <c r="Y277" s="1462"/>
      <c r="Z277" s="1462"/>
      <c r="AA277" s="1462"/>
      <c r="AB277" s="1462"/>
      <c r="AC277" s="1462"/>
      <c r="AD277" s="1462"/>
      <c r="AI277" s="4"/>
      <c r="AJ277" s="4"/>
      <c r="AK277" s="3"/>
      <c r="AL277" s="3"/>
      <c r="AM277" s="3"/>
      <c r="AN277" s="3"/>
      <c r="AO277" s="3"/>
      <c r="AP277" s="3"/>
      <c r="AQ277" s="3"/>
      <c r="AR277" s="3"/>
      <c r="AS277" s="3"/>
      <c r="AT277" s="3"/>
    </row>
    <row r="278" spans="1:51" ht="13" customHeight="1">
      <c r="D278" s="4" t="s">
        <v>88</v>
      </c>
      <c r="E278" s="4"/>
      <c r="F278" s="4"/>
      <c r="L278" s="1343" t="s">
        <v>2624</v>
      </c>
      <c r="M278" s="1344"/>
      <c r="N278" s="1344"/>
      <c r="O278" s="1344"/>
      <c r="P278" s="1344"/>
      <c r="Q278" s="1344"/>
      <c r="R278" s="4" t="s">
        <v>206</v>
      </c>
      <c r="S278" s="4"/>
      <c r="T278" s="1484"/>
      <c r="U278" s="1484"/>
      <c r="V278" s="1484"/>
      <c r="W278" s="4" t="s">
        <v>89</v>
      </c>
      <c r="Y278" s="1344"/>
      <c r="Z278" s="1344"/>
      <c r="AA278" s="1344"/>
      <c r="AB278" s="1344"/>
      <c r="AC278" s="1344"/>
      <c r="AD278" s="1344"/>
    </row>
    <row r="279" spans="1:51" ht="13" customHeight="1">
      <c r="D279" s="4" t="s">
        <v>90</v>
      </c>
      <c r="E279" s="4"/>
      <c r="F279" s="4"/>
      <c r="L279" s="1792" t="s">
        <v>2693</v>
      </c>
      <c r="M279" s="1792"/>
      <c r="N279" s="1792"/>
      <c r="O279" s="1792"/>
      <c r="P279" s="1792"/>
      <c r="Q279" s="1792"/>
      <c r="R279" s="1792"/>
      <c r="S279" s="1792"/>
      <c r="T279" s="1792"/>
      <c r="U279" s="1792"/>
      <c r="V279" s="1792"/>
      <c r="W279" s="1792"/>
      <c r="X279" s="1792"/>
      <c r="Y279" s="1792"/>
      <c r="Z279" s="1792"/>
      <c r="AA279" s="1792"/>
      <c r="AB279" s="1792"/>
      <c r="AC279" s="1792"/>
      <c r="AD279" s="1792"/>
      <c r="AF279" s="4"/>
      <c r="AG279" s="4"/>
      <c r="AH279" s="4"/>
      <c r="AI279" s="4"/>
      <c r="AJ279" s="4"/>
      <c r="AU279" s="3"/>
      <c r="AV279" s="3"/>
      <c r="AW279" s="3"/>
      <c r="AX279" s="3"/>
      <c r="AY279" s="3"/>
    </row>
    <row r="280" spans="1:51" ht="13" customHeight="1">
      <c r="D280" s="3" t="s">
        <v>623</v>
      </c>
      <c r="E280" s="3"/>
      <c r="F280" s="3"/>
      <c r="G280" s="3"/>
      <c r="H280" s="3"/>
      <c r="I280" s="3"/>
      <c r="L280" s="1793" t="s">
        <v>2694</v>
      </c>
      <c r="M280" s="1793"/>
      <c r="N280" s="1793"/>
      <c r="O280" s="1793"/>
      <c r="P280" s="1793"/>
      <c r="Q280" s="1793"/>
      <c r="R280" s="1793"/>
      <c r="S280" s="1793"/>
      <c r="T280" s="1793"/>
      <c r="U280" s="1793"/>
      <c r="V280" s="1793"/>
      <c r="W280" s="1793"/>
      <c r="X280" s="1793"/>
      <c r="Y280" s="1793"/>
      <c r="Z280" s="1793"/>
      <c r="AA280" s="1793"/>
      <c r="AB280" s="1793"/>
      <c r="AC280" s="1793"/>
      <c r="AD280" s="1793"/>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72" t="s">
        <v>541</v>
      </c>
      <c r="B282" s="1472"/>
      <c r="C282" s="1472"/>
      <c r="D282" s="1472"/>
      <c r="E282" s="1472"/>
      <c r="F282" s="1472"/>
      <c r="G282" s="1472"/>
      <c r="H282" s="1472"/>
      <c r="I282" s="1472"/>
      <c r="J282" s="1472"/>
      <c r="K282" s="1472"/>
      <c r="L282" s="1472"/>
      <c r="M282" s="1472"/>
      <c r="N282" s="1472"/>
      <c r="O282" s="1472"/>
      <c r="P282" s="1472"/>
      <c r="Q282" s="1472"/>
      <c r="R282" s="1472"/>
      <c r="S282" s="1472"/>
      <c r="T282" s="1472"/>
      <c r="U282" s="1472"/>
      <c r="V282" s="1472"/>
      <c r="W282" s="1472"/>
      <c r="X282" s="1472"/>
      <c r="Y282" s="1472"/>
      <c r="Z282" s="1472"/>
      <c r="AA282" s="1472"/>
      <c r="AB282" s="1472"/>
      <c r="AC282" s="1472"/>
      <c r="AD282" s="1472"/>
      <c r="AE282" s="1472"/>
      <c r="AF282" s="1472"/>
      <c r="AG282" s="1472"/>
      <c r="AH282" s="1472"/>
      <c r="AI282" s="1472"/>
      <c r="AJ282" s="1472"/>
      <c r="AK282" s="1472"/>
      <c r="AL282" s="1472"/>
      <c r="AM282" s="1472"/>
      <c r="AN282" s="1472"/>
      <c r="AO282" s="1472"/>
      <c r="AP282" s="1472"/>
      <c r="AQ282" s="1472"/>
      <c r="AR282" s="1472"/>
      <c r="AS282" s="1472"/>
      <c r="AT282" s="1472"/>
      <c r="AU282" s="95"/>
      <c r="AV282" s="95"/>
      <c r="AW282" s="95"/>
      <c r="AX282" s="95"/>
      <c r="AY282" s="95"/>
    </row>
    <row r="283" spans="1:51" ht="13" customHeight="1">
      <c r="A283" s="1472"/>
      <c r="B283" s="1472"/>
      <c r="C283" s="1472"/>
      <c r="D283" s="1472"/>
      <c r="E283" s="1472"/>
      <c r="F283" s="1472"/>
      <c r="G283" s="1472"/>
      <c r="H283" s="1472"/>
      <c r="I283" s="1472"/>
      <c r="J283" s="1472"/>
      <c r="K283" s="1472"/>
      <c r="L283" s="1472"/>
      <c r="M283" s="1472"/>
      <c r="N283" s="1472"/>
      <c r="O283" s="1472"/>
      <c r="P283" s="1472"/>
      <c r="Q283" s="1472"/>
      <c r="R283" s="1472"/>
      <c r="S283" s="1472"/>
      <c r="T283" s="1472"/>
      <c r="U283" s="1472"/>
      <c r="V283" s="1472"/>
      <c r="W283" s="1472"/>
      <c r="X283" s="1472"/>
      <c r="Y283" s="1472"/>
      <c r="Z283" s="1472"/>
      <c r="AA283" s="1472"/>
      <c r="AB283" s="1472"/>
      <c r="AC283" s="1472"/>
      <c r="AD283" s="1472"/>
      <c r="AE283" s="1472"/>
      <c r="AF283" s="1472"/>
      <c r="AG283" s="1472"/>
      <c r="AH283" s="1472"/>
      <c r="AI283" s="1472"/>
      <c r="AJ283" s="1472"/>
      <c r="AK283" s="1472"/>
      <c r="AL283" s="1472"/>
      <c r="AM283" s="1472"/>
      <c r="AN283" s="1472"/>
      <c r="AO283" s="1472"/>
      <c r="AP283" s="1472"/>
      <c r="AQ283" s="1472"/>
      <c r="AR283" s="1472"/>
      <c r="AS283" s="1472"/>
      <c r="AT283" s="147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46" t="s">
        <v>2621</v>
      </c>
      <c r="I287" s="1346"/>
      <c r="J287" s="1346"/>
      <c r="K287" s="1346"/>
      <c r="L287" s="1346"/>
      <c r="M287" s="1346"/>
      <c r="N287" s="1346"/>
      <c r="O287" s="1346"/>
      <c r="P287" s="1346"/>
      <c r="Q287" s="1346"/>
      <c r="R287" s="1346"/>
      <c r="T287" s="3" t="s">
        <v>567</v>
      </c>
      <c r="V287" s="3"/>
      <c r="W287" s="3"/>
      <c r="X287" s="3"/>
      <c r="Y287" s="3"/>
      <c r="AA287" s="1346" t="s">
        <v>2642</v>
      </c>
      <c r="AB287" s="1346"/>
      <c r="AC287" s="1346"/>
      <c r="AD287" s="1346"/>
      <c r="AE287" s="1346"/>
      <c r="AF287" s="1346"/>
      <c r="AG287" s="1346"/>
      <c r="AH287" s="1346"/>
      <c r="AI287" s="1346"/>
      <c r="AJ287" s="1346"/>
      <c r="AK287" s="1346"/>
    </row>
    <row r="288" spans="1:51" ht="13" customHeight="1">
      <c r="B288" s="3" t="s">
        <v>471</v>
      </c>
      <c r="C288" s="3"/>
      <c r="D288" s="3"/>
      <c r="E288" s="3"/>
      <c r="F288" s="3"/>
      <c r="H288" s="1356" t="s">
        <v>2617</v>
      </c>
      <c r="I288" s="1356"/>
      <c r="J288" s="1356"/>
      <c r="K288" s="1356"/>
      <c r="L288" s="1356"/>
      <c r="M288" s="1356"/>
      <c r="N288" s="1356"/>
      <c r="O288" s="1356"/>
      <c r="P288" s="1356"/>
      <c r="Q288" s="1356"/>
      <c r="R288" s="1356"/>
      <c r="T288" s="3" t="s">
        <v>471</v>
      </c>
      <c r="V288" s="3"/>
      <c r="W288" s="3"/>
      <c r="X288" s="3"/>
      <c r="Y288" s="3"/>
      <c r="AA288" s="1554" t="s">
        <v>2695</v>
      </c>
      <c r="AB288" s="1356"/>
      <c r="AC288" s="1356"/>
      <c r="AD288" s="1356"/>
      <c r="AE288" s="1356"/>
      <c r="AF288" s="1356"/>
      <c r="AG288" s="1356"/>
      <c r="AH288" s="1356"/>
      <c r="AI288" s="1356"/>
      <c r="AJ288" s="1356"/>
      <c r="AK288" s="1356"/>
    </row>
    <row r="289" spans="2:37" ht="13" customHeight="1">
      <c r="B289" s="3" t="s">
        <v>472</v>
      </c>
      <c r="C289" s="3"/>
      <c r="D289" s="3"/>
      <c r="E289" s="3"/>
      <c r="F289" s="3"/>
      <c r="H289" s="1356" t="s">
        <v>2641</v>
      </c>
      <c r="I289" s="1356"/>
      <c r="J289" s="1356"/>
      <c r="K289" s="1356"/>
      <c r="L289" s="1356"/>
      <c r="M289" s="1356"/>
      <c r="N289" s="1356"/>
      <c r="O289" s="1356"/>
      <c r="P289" s="1356"/>
      <c r="Q289" s="1356"/>
      <c r="R289" s="1356"/>
      <c r="T289" s="3" t="s">
        <v>75</v>
      </c>
      <c r="V289" s="3"/>
      <c r="W289" s="3"/>
      <c r="X289" s="3"/>
      <c r="Y289" s="3"/>
      <c r="AA289" s="1554" t="s">
        <v>2696</v>
      </c>
      <c r="AB289" s="1356"/>
      <c r="AC289" s="1356"/>
      <c r="AD289" s="1356"/>
      <c r="AE289" s="1356"/>
      <c r="AF289" s="1356"/>
      <c r="AG289" s="1356"/>
      <c r="AH289" s="1356"/>
      <c r="AI289" s="1356"/>
      <c r="AJ289" s="1356"/>
      <c r="AK289" s="1356"/>
    </row>
    <row r="290" spans="2:37" ht="13" customHeight="1">
      <c r="B290" s="3" t="s">
        <v>87</v>
      </c>
      <c r="C290" s="3"/>
      <c r="D290" s="3"/>
      <c r="E290" s="3"/>
      <c r="F290" s="3"/>
      <c r="H290" s="1356" t="s">
        <v>2619</v>
      </c>
      <c r="I290" s="1356"/>
      <c r="J290" s="1356"/>
      <c r="K290" s="1356"/>
      <c r="L290" s="1356"/>
      <c r="M290" s="1356"/>
      <c r="N290" s="1356"/>
      <c r="O290" s="1356"/>
      <c r="P290" s="1356"/>
      <c r="Q290" s="1356"/>
      <c r="R290" s="1356"/>
      <c r="T290" s="3" t="s">
        <v>87</v>
      </c>
      <c r="V290" s="3"/>
      <c r="W290" s="3"/>
      <c r="X290" s="3"/>
      <c r="Y290" s="3"/>
      <c r="AA290" s="1356" t="s">
        <v>2697</v>
      </c>
      <c r="AB290" s="1356"/>
      <c r="AC290" s="1356"/>
      <c r="AD290" s="1356"/>
      <c r="AE290" s="1356"/>
      <c r="AF290" s="1356"/>
      <c r="AG290" s="1356"/>
      <c r="AH290" s="1356"/>
      <c r="AI290" s="1356"/>
      <c r="AJ290" s="1356"/>
      <c r="AK290" s="1356"/>
    </row>
    <row r="291" spans="2:37" ht="13" customHeight="1">
      <c r="B291" s="3" t="s">
        <v>88</v>
      </c>
      <c r="C291" s="3"/>
      <c r="D291" s="3"/>
      <c r="E291" s="3"/>
      <c r="F291" s="3"/>
      <c r="G291" s="3"/>
      <c r="H291" s="1777" t="s">
        <v>2674</v>
      </c>
      <c r="I291" s="1473"/>
      <c r="J291" s="1473"/>
      <c r="K291" s="1473"/>
      <c r="L291" s="1473"/>
      <c r="M291" s="1473"/>
      <c r="N291" s="4" t="s">
        <v>206</v>
      </c>
      <c r="O291" s="4"/>
      <c r="P291" s="1462"/>
      <c r="Q291" s="1462"/>
      <c r="R291" s="1462"/>
      <c r="S291" s="3"/>
      <c r="T291" s="3" t="s">
        <v>88</v>
      </c>
      <c r="V291" s="3"/>
      <c r="W291" s="3"/>
      <c r="X291" s="3"/>
      <c r="Y291" s="3"/>
      <c r="AA291" s="1473" t="s">
        <v>2698</v>
      </c>
      <c r="AB291" s="1473"/>
      <c r="AC291" s="1473"/>
      <c r="AD291" s="1473"/>
      <c r="AE291" s="1473"/>
      <c r="AF291" s="1473"/>
      <c r="AG291" s="4" t="s">
        <v>206</v>
      </c>
      <c r="AH291" s="4"/>
      <c r="AI291" s="1462"/>
      <c r="AJ291" s="1462"/>
      <c r="AK291" s="1462"/>
    </row>
    <row r="292" spans="2:37" ht="13" customHeight="1">
      <c r="B292" s="3" t="s">
        <v>89</v>
      </c>
      <c r="C292" s="3"/>
      <c r="D292" s="3"/>
      <c r="E292" s="3"/>
      <c r="F292" s="3"/>
      <c r="G292" s="3"/>
      <c r="H292" s="1344"/>
      <c r="I292" s="1344"/>
      <c r="J292" s="1344"/>
      <c r="K292" s="1344"/>
      <c r="L292" s="1344"/>
      <c r="M292" s="1344"/>
      <c r="N292" s="4"/>
      <c r="O292" s="4"/>
      <c r="P292" s="35"/>
      <c r="Q292" s="35"/>
      <c r="R292" s="35"/>
      <c r="S292" s="3"/>
      <c r="T292" s="3" t="s">
        <v>89</v>
      </c>
      <c r="V292" s="3"/>
      <c r="W292" s="3"/>
      <c r="X292" s="3"/>
      <c r="Y292" s="3"/>
      <c r="AA292" s="1344"/>
      <c r="AB292" s="1344"/>
      <c r="AC292" s="1344"/>
      <c r="AD292" s="1344"/>
      <c r="AE292" s="1344"/>
      <c r="AF292" s="1344"/>
      <c r="AG292" s="4"/>
      <c r="AH292" s="4"/>
      <c r="AI292" s="35"/>
      <c r="AJ292" s="35"/>
      <c r="AK292" s="35"/>
    </row>
    <row r="293" spans="2:37" ht="13" customHeight="1">
      <c r="B293" s="3" t="s">
        <v>76</v>
      </c>
      <c r="C293" s="3"/>
      <c r="D293" s="3"/>
      <c r="E293" s="3"/>
      <c r="F293" s="3"/>
      <c r="G293" s="3"/>
      <c r="H293" s="1356" t="s">
        <v>2620</v>
      </c>
      <c r="I293" s="1356"/>
      <c r="J293" s="1356"/>
      <c r="K293" s="1356"/>
      <c r="L293" s="1356"/>
      <c r="M293" s="1356"/>
      <c r="N293" s="1346"/>
      <c r="O293" s="1346"/>
      <c r="P293" s="1346"/>
      <c r="Q293" s="1346"/>
      <c r="R293" s="1346"/>
      <c r="S293" s="3"/>
      <c r="T293" s="3" t="s">
        <v>76</v>
      </c>
      <c r="V293" s="3"/>
      <c r="W293" s="3"/>
      <c r="X293" s="3"/>
      <c r="Y293" s="3"/>
      <c r="AA293" s="1356" t="s">
        <v>2699</v>
      </c>
      <c r="AB293" s="1356"/>
      <c r="AC293" s="1356"/>
      <c r="AD293" s="1356"/>
      <c r="AE293" s="1356"/>
      <c r="AF293" s="1356"/>
      <c r="AG293" s="1346"/>
      <c r="AH293" s="1346"/>
      <c r="AI293" s="1346"/>
      <c r="AJ293" s="1346"/>
      <c r="AK293" s="134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46" t="s">
        <v>2635</v>
      </c>
      <c r="I295" s="1346"/>
      <c r="J295" s="1346"/>
      <c r="K295" s="1346"/>
      <c r="L295" s="1346"/>
      <c r="M295" s="1346"/>
      <c r="N295" s="1346"/>
      <c r="O295" s="1346"/>
      <c r="P295" s="1346"/>
      <c r="Q295" s="1346"/>
      <c r="R295" s="1346"/>
      <c r="T295" s="3" t="s">
        <v>364</v>
      </c>
      <c r="V295" s="3"/>
      <c r="W295" s="3"/>
      <c r="X295" s="3"/>
      <c r="Y295" s="3"/>
      <c r="AA295" s="1346" t="s">
        <v>2643</v>
      </c>
      <c r="AB295" s="1346"/>
      <c r="AC295" s="1346"/>
      <c r="AD295" s="1346"/>
      <c r="AE295" s="1346"/>
      <c r="AF295" s="1346"/>
      <c r="AG295" s="1346"/>
      <c r="AH295" s="1346"/>
      <c r="AI295" s="1346"/>
      <c r="AJ295" s="1346"/>
      <c r="AK295" s="1346"/>
    </row>
    <row r="296" spans="2:37" ht="13" customHeight="1">
      <c r="B296" s="3" t="s">
        <v>471</v>
      </c>
      <c r="C296" s="3"/>
      <c r="D296" s="3"/>
      <c r="E296" s="3"/>
      <c r="F296" s="3"/>
      <c r="H296" s="1356" t="s">
        <v>2636</v>
      </c>
      <c r="I296" s="1356"/>
      <c r="J296" s="1356"/>
      <c r="K296" s="1356"/>
      <c r="L296" s="1356"/>
      <c r="M296" s="1356"/>
      <c r="N296" s="1356"/>
      <c r="O296" s="1356"/>
      <c r="P296" s="1356"/>
      <c r="Q296" s="1356"/>
      <c r="R296" s="1356"/>
      <c r="T296" s="3" t="s">
        <v>471</v>
      </c>
      <c r="V296" s="3"/>
      <c r="W296" s="3"/>
      <c r="X296" s="3"/>
      <c r="Y296" s="3"/>
      <c r="AA296" s="1356" t="s">
        <v>2644</v>
      </c>
      <c r="AB296" s="1356"/>
      <c r="AC296" s="1356"/>
      <c r="AD296" s="1356"/>
      <c r="AE296" s="1356"/>
      <c r="AF296" s="1356"/>
      <c r="AG296" s="1356"/>
      <c r="AH296" s="1356"/>
      <c r="AI296" s="1356"/>
      <c r="AJ296" s="1356"/>
      <c r="AK296" s="1356"/>
    </row>
    <row r="297" spans="2:37" ht="13" customHeight="1">
      <c r="B297" s="3" t="s">
        <v>472</v>
      </c>
      <c r="C297" s="3"/>
      <c r="D297" s="3"/>
      <c r="E297" s="3"/>
      <c r="F297" s="3"/>
      <c r="H297" s="1356" t="s">
        <v>2637</v>
      </c>
      <c r="I297" s="1356"/>
      <c r="J297" s="1356"/>
      <c r="K297" s="1356"/>
      <c r="L297" s="1356"/>
      <c r="M297" s="1356"/>
      <c r="N297" s="1356"/>
      <c r="O297" s="1356"/>
      <c r="P297" s="1356"/>
      <c r="Q297" s="1356"/>
      <c r="R297" s="1356"/>
      <c r="T297" s="3" t="s">
        <v>75</v>
      </c>
      <c r="V297" s="3"/>
      <c r="W297" s="3"/>
      <c r="X297" s="3"/>
      <c r="Y297" s="3"/>
      <c r="AA297" s="1356" t="s">
        <v>2645</v>
      </c>
      <c r="AB297" s="1356"/>
      <c r="AC297" s="1356"/>
      <c r="AD297" s="1356"/>
      <c r="AE297" s="1356"/>
      <c r="AF297" s="1356"/>
      <c r="AG297" s="1356"/>
      <c r="AH297" s="1356"/>
      <c r="AI297" s="1356"/>
      <c r="AJ297" s="1356"/>
      <c r="AK297" s="1356"/>
    </row>
    <row r="298" spans="2:37" ht="13" customHeight="1">
      <c r="B298" s="3" t="s">
        <v>87</v>
      </c>
      <c r="C298" s="3"/>
      <c r="D298" s="3"/>
      <c r="E298" s="3"/>
      <c r="F298" s="3"/>
      <c r="H298" s="1356" t="s">
        <v>2638</v>
      </c>
      <c r="I298" s="1356"/>
      <c r="J298" s="1356"/>
      <c r="K298" s="1356"/>
      <c r="L298" s="1356"/>
      <c r="M298" s="1356"/>
      <c r="N298" s="1356"/>
      <c r="O298" s="1356"/>
      <c r="P298" s="1356"/>
      <c r="Q298" s="1356"/>
      <c r="R298" s="1356"/>
      <c r="T298" s="3" t="s">
        <v>87</v>
      </c>
      <c r="V298" s="3"/>
      <c r="W298" s="3"/>
      <c r="X298" s="3"/>
      <c r="Y298" s="3"/>
      <c r="AA298" s="1356" t="s">
        <v>2646</v>
      </c>
      <c r="AB298" s="1356"/>
      <c r="AC298" s="1356"/>
      <c r="AD298" s="1356"/>
      <c r="AE298" s="1356"/>
      <c r="AF298" s="1356"/>
      <c r="AG298" s="1356"/>
      <c r="AH298" s="1356"/>
      <c r="AI298" s="1356"/>
      <c r="AJ298" s="1356"/>
      <c r="AK298" s="1356"/>
    </row>
    <row r="299" spans="2:37" ht="13" customHeight="1">
      <c r="B299" s="3" t="s">
        <v>88</v>
      </c>
      <c r="C299" s="3"/>
      <c r="D299" s="3"/>
      <c r="E299" s="3"/>
      <c r="F299" s="3"/>
      <c r="G299" s="3"/>
      <c r="H299" s="1473" t="s">
        <v>2639</v>
      </c>
      <c r="I299" s="1473"/>
      <c r="J299" s="1473"/>
      <c r="K299" s="1473"/>
      <c r="L299" s="1473"/>
      <c r="M299" s="1473"/>
      <c r="N299" s="4" t="s">
        <v>206</v>
      </c>
      <c r="O299" s="4"/>
      <c r="P299" s="1462"/>
      <c r="Q299" s="1462"/>
      <c r="R299" s="1462"/>
      <c r="S299" s="3"/>
      <c r="T299" s="3" t="s">
        <v>88</v>
      </c>
      <c r="V299" s="3"/>
      <c r="W299" s="3"/>
      <c r="X299" s="3"/>
      <c r="Y299" s="3"/>
      <c r="AA299" s="1473" t="s">
        <v>2647</v>
      </c>
      <c r="AB299" s="1473"/>
      <c r="AC299" s="1473"/>
      <c r="AD299" s="1473"/>
      <c r="AE299" s="1473"/>
      <c r="AF299" s="1473"/>
      <c r="AG299" s="4" t="s">
        <v>206</v>
      </c>
      <c r="AH299" s="4"/>
      <c r="AI299" s="1462"/>
      <c r="AJ299" s="1462"/>
      <c r="AK299" s="1462"/>
    </row>
    <row r="300" spans="2:37" ht="13" customHeight="1">
      <c r="B300" s="3" t="s">
        <v>89</v>
      </c>
      <c r="C300" s="3"/>
      <c r="D300" s="3"/>
      <c r="E300" s="3"/>
      <c r="F300" s="3"/>
      <c r="G300" s="3"/>
      <c r="H300" s="1344"/>
      <c r="I300" s="1344"/>
      <c r="J300" s="1344"/>
      <c r="K300" s="1344"/>
      <c r="L300" s="1344"/>
      <c r="M300" s="1344"/>
      <c r="N300" s="4"/>
      <c r="O300" s="4"/>
      <c r="P300" s="35"/>
      <c r="Q300" s="35"/>
      <c r="R300" s="35"/>
      <c r="S300" s="3"/>
      <c r="T300" s="3" t="s">
        <v>89</v>
      </c>
      <c r="V300" s="3"/>
      <c r="W300" s="3"/>
      <c r="X300" s="3"/>
      <c r="Y300" s="3"/>
      <c r="AA300" s="1344"/>
      <c r="AB300" s="1344"/>
      <c r="AC300" s="1344"/>
      <c r="AD300" s="1344"/>
      <c r="AE300" s="1344"/>
      <c r="AF300" s="1344"/>
      <c r="AG300" s="4"/>
      <c r="AH300" s="4"/>
      <c r="AI300" s="35"/>
      <c r="AJ300" s="35"/>
      <c r="AK300" s="35"/>
    </row>
    <row r="301" spans="2:37" ht="13" customHeight="1">
      <c r="B301" s="3" t="s">
        <v>76</v>
      </c>
      <c r="C301" s="3"/>
      <c r="D301" s="3"/>
      <c r="E301" s="3"/>
      <c r="F301" s="3"/>
      <c r="G301" s="3"/>
      <c r="H301" s="1356" t="s">
        <v>2640</v>
      </c>
      <c r="I301" s="1356"/>
      <c r="J301" s="1356"/>
      <c r="K301" s="1356"/>
      <c r="L301" s="1356"/>
      <c r="M301" s="1356"/>
      <c r="N301" s="1346"/>
      <c r="O301" s="1346"/>
      <c r="P301" s="1346"/>
      <c r="Q301" s="1346"/>
      <c r="R301" s="1346"/>
      <c r="S301" s="3"/>
      <c r="T301" s="3" t="s">
        <v>76</v>
      </c>
      <c r="V301" s="3"/>
      <c r="W301" s="3"/>
      <c r="X301" s="3"/>
      <c r="Y301" s="3"/>
      <c r="AA301" s="1356" t="s">
        <v>2648</v>
      </c>
      <c r="AB301" s="1356"/>
      <c r="AC301" s="1356"/>
      <c r="AD301" s="1356"/>
      <c r="AE301" s="1356"/>
      <c r="AF301" s="1356"/>
      <c r="AG301" s="1346"/>
      <c r="AH301" s="1346"/>
      <c r="AI301" s="1346"/>
      <c r="AJ301" s="1346"/>
      <c r="AK301" s="1346"/>
    </row>
    <row r="302" spans="2:37" ht="13" customHeight="1"/>
    <row r="303" spans="2:37" ht="13" customHeight="1">
      <c r="B303" s="3" t="s">
        <v>77</v>
      </c>
      <c r="C303" s="3"/>
      <c r="D303" s="3"/>
      <c r="E303" s="3"/>
      <c r="F303" s="3"/>
      <c r="H303" s="1346" t="s">
        <v>2675</v>
      </c>
      <c r="I303" s="1346"/>
      <c r="J303" s="1346"/>
      <c r="K303" s="1346"/>
      <c r="L303" s="1346"/>
      <c r="M303" s="1346"/>
      <c r="N303" s="1346"/>
      <c r="O303" s="1346"/>
      <c r="P303" s="1346"/>
      <c r="Q303" s="1346"/>
      <c r="R303" s="1346"/>
      <c r="T303" s="4" t="s">
        <v>878</v>
      </c>
      <c r="V303" s="3"/>
      <c r="W303" s="3"/>
      <c r="X303" s="3"/>
      <c r="Y303" s="3"/>
      <c r="AA303" s="1346" t="s">
        <v>2649</v>
      </c>
      <c r="AB303" s="1346"/>
      <c r="AC303" s="1346"/>
      <c r="AD303" s="1346"/>
      <c r="AE303" s="1346"/>
      <c r="AF303" s="1346"/>
      <c r="AG303" s="1346"/>
      <c r="AH303" s="1346"/>
      <c r="AI303" s="1346"/>
      <c r="AJ303" s="1346"/>
      <c r="AK303" s="1346"/>
    </row>
    <row r="304" spans="2:37" ht="13" customHeight="1">
      <c r="B304" s="3" t="s">
        <v>471</v>
      </c>
      <c r="C304" s="3"/>
      <c r="D304" s="3"/>
      <c r="E304" s="3"/>
      <c r="F304" s="3"/>
      <c r="H304" s="1356" t="s">
        <v>2676</v>
      </c>
      <c r="I304" s="1356"/>
      <c r="J304" s="1356"/>
      <c r="K304" s="1356"/>
      <c r="L304" s="1356"/>
      <c r="M304" s="1356"/>
      <c r="N304" s="1356"/>
      <c r="O304" s="1356"/>
      <c r="P304" s="1356"/>
      <c r="Q304" s="1356"/>
      <c r="R304" s="1356"/>
      <c r="T304" s="3" t="s">
        <v>471</v>
      </c>
      <c r="V304" s="3"/>
      <c r="W304" s="3"/>
      <c r="X304" s="3"/>
      <c r="Y304" s="3"/>
      <c r="AA304" s="1356" t="s">
        <v>2650</v>
      </c>
      <c r="AB304" s="1356"/>
      <c r="AC304" s="1356"/>
      <c r="AD304" s="1356"/>
      <c r="AE304" s="1356"/>
      <c r="AF304" s="1356"/>
      <c r="AG304" s="1356"/>
      <c r="AH304" s="1356"/>
      <c r="AI304" s="1356"/>
      <c r="AJ304" s="1356"/>
      <c r="AK304" s="1356"/>
    </row>
    <row r="305" spans="2:37" ht="13" customHeight="1">
      <c r="B305" s="3" t="s">
        <v>472</v>
      </c>
      <c r="C305" s="3"/>
      <c r="D305" s="3"/>
      <c r="E305" s="3"/>
      <c r="F305" s="3"/>
      <c r="H305" s="1356" t="s">
        <v>2677</v>
      </c>
      <c r="I305" s="1356"/>
      <c r="J305" s="1356"/>
      <c r="K305" s="1356"/>
      <c r="L305" s="1356"/>
      <c r="M305" s="1356"/>
      <c r="N305" s="1356"/>
      <c r="O305" s="1356"/>
      <c r="P305" s="1356"/>
      <c r="Q305" s="1356"/>
      <c r="R305" s="1356"/>
      <c r="T305" s="3" t="s">
        <v>75</v>
      </c>
      <c r="V305" s="3"/>
      <c r="W305" s="3"/>
      <c r="X305" s="3"/>
      <c r="Y305" s="3"/>
      <c r="AA305" s="1356" t="s">
        <v>2651</v>
      </c>
      <c r="AB305" s="1356"/>
      <c r="AC305" s="1356"/>
      <c r="AD305" s="1356"/>
      <c r="AE305" s="1356"/>
      <c r="AF305" s="1356"/>
      <c r="AG305" s="1356"/>
      <c r="AH305" s="1356"/>
      <c r="AI305" s="1356"/>
      <c r="AJ305" s="1356"/>
      <c r="AK305" s="1356"/>
    </row>
    <row r="306" spans="2:37" ht="13" customHeight="1">
      <c r="B306" s="3" t="s">
        <v>87</v>
      </c>
      <c r="C306" s="3"/>
      <c r="D306" s="3"/>
      <c r="E306" s="3"/>
      <c r="F306" s="3"/>
      <c r="H306" s="1356" t="s">
        <v>2632</v>
      </c>
      <c r="I306" s="1356"/>
      <c r="J306" s="1356"/>
      <c r="K306" s="1356"/>
      <c r="L306" s="1356"/>
      <c r="M306" s="1356"/>
      <c r="N306" s="1356"/>
      <c r="O306" s="1356"/>
      <c r="P306" s="1356"/>
      <c r="Q306" s="1356"/>
      <c r="R306" s="1356"/>
      <c r="T306" s="3" t="s">
        <v>87</v>
      </c>
      <c r="V306" s="3"/>
      <c r="W306" s="3"/>
      <c r="X306" s="3"/>
      <c r="Y306" s="3"/>
      <c r="AA306" s="1356" t="s">
        <v>2652</v>
      </c>
      <c r="AB306" s="1356"/>
      <c r="AC306" s="1356"/>
      <c r="AD306" s="1356"/>
      <c r="AE306" s="1356"/>
      <c r="AF306" s="1356"/>
      <c r="AG306" s="1356"/>
      <c r="AH306" s="1356"/>
      <c r="AI306" s="1356"/>
      <c r="AJ306" s="1356"/>
      <c r="AK306" s="1356"/>
    </row>
    <row r="307" spans="2:37" ht="13" customHeight="1">
      <c r="B307" s="3" t="s">
        <v>88</v>
      </c>
      <c r="C307" s="3"/>
      <c r="D307" s="3"/>
      <c r="E307" s="3"/>
      <c r="F307" s="3"/>
      <c r="G307" s="3"/>
      <c r="H307" s="1473">
        <v>4254535783</v>
      </c>
      <c r="I307" s="1473"/>
      <c r="J307" s="1473"/>
      <c r="K307" s="1473"/>
      <c r="L307" s="1473"/>
      <c r="M307" s="1473"/>
      <c r="N307" s="4" t="s">
        <v>206</v>
      </c>
      <c r="O307" s="4"/>
      <c r="P307" s="1462"/>
      <c r="Q307" s="1462"/>
      <c r="R307" s="1462"/>
      <c r="S307" s="3"/>
      <c r="T307" s="3" t="s">
        <v>88</v>
      </c>
      <c r="V307" s="3"/>
      <c r="W307" s="3"/>
      <c r="X307" s="3"/>
      <c r="Y307" s="3"/>
      <c r="AA307" s="1473" t="s">
        <v>2654</v>
      </c>
      <c r="AB307" s="1473"/>
      <c r="AC307" s="1473"/>
      <c r="AD307" s="1473"/>
      <c r="AE307" s="1473"/>
      <c r="AF307" s="1473"/>
      <c r="AG307" s="4" t="s">
        <v>206</v>
      </c>
      <c r="AH307" s="4"/>
      <c r="AI307" s="1462"/>
      <c r="AJ307" s="1462"/>
      <c r="AK307" s="1462"/>
    </row>
    <row r="308" spans="2:37" ht="13" customHeight="1">
      <c r="B308" s="3" t="s">
        <v>89</v>
      </c>
      <c r="C308" s="3"/>
      <c r="D308" s="3"/>
      <c r="E308" s="3"/>
      <c r="F308" s="3"/>
      <c r="G308" s="3"/>
      <c r="H308" s="1344"/>
      <c r="I308" s="1344"/>
      <c r="J308" s="1344"/>
      <c r="K308" s="1344"/>
      <c r="L308" s="1344"/>
      <c r="M308" s="1344"/>
      <c r="N308" s="4"/>
      <c r="O308" s="4"/>
      <c r="P308" s="35"/>
      <c r="Q308" s="35"/>
      <c r="R308" s="35"/>
      <c r="S308" s="3"/>
      <c r="T308" s="3" t="s">
        <v>89</v>
      </c>
      <c r="V308" s="3"/>
      <c r="W308" s="3"/>
      <c r="X308" s="3"/>
      <c r="Y308" s="3"/>
      <c r="AA308" s="1344"/>
      <c r="AB308" s="1344"/>
      <c r="AC308" s="1344"/>
      <c r="AD308" s="1344"/>
      <c r="AE308" s="1344"/>
      <c r="AF308" s="1344"/>
      <c r="AG308" s="4"/>
      <c r="AH308" s="4"/>
      <c r="AI308" s="35"/>
      <c r="AJ308" s="35"/>
      <c r="AK308" s="35"/>
    </row>
    <row r="309" spans="2:37" ht="13" customHeight="1">
      <c r="B309" s="3" t="s">
        <v>76</v>
      </c>
      <c r="C309" s="3"/>
      <c r="D309" s="3"/>
      <c r="E309" s="3"/>
      <c r="F309" s="3"/>
      <c r="G309" s="3"/>
      <c r="H309" s="1356" t="s">
        <v>2634</v>
      </c>
      <c r="I309" s="1356"/>
      <c r="J309" s="1356"/>
      <c r="K309" s="1356"/>
      <c r="L309" s="1356"/>
      <c r="M309" s="1356"/>
      <c r="N309" s="1346"/>
      <c r="O309" s="1346"/>
      <c r="P309" s="1346"/>
      <c r="Q309" s="1346"/>
      <c r="R309" s="1346"/>
      <c r="S309" s="3"/>
      <c r="T309" s="3" t="s">
        <v>76</v>
      </c>
      <c r="V309" s="3"/>
      <c r="W309" s="3"/>
      <c r="X309" s="3"/>
      <c r="Y309" s="3"/>
      <c r="AA309" s="1356" t="s">
        <v>2653</v>
      </c>
      <c r="AB309" s="1356"/>
      <c r="AC309" s="1356"/>
      <c r="AD309" s="1356"/>
      <c r="AE309" s="1356"/>
      <c r="AF309" s="1356"/>
      <c r="AG309" s="1346"/>
      <c r="AH309" s="1346"/>
      <c r="AI309" s="1346"/>
      <c r="AJ309" s="1346"/>
      <c r="AK309" s="134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46" t="s">
        <v>2626</v>
      </c>
      <c r="I311" s="1346"/>
      <c r="J311" s="1346"/>
      <c r="K311" s="1346"/>
      <c r="L311" s="1346"/>
      <c r="M311" s="1346"/>
      <c r="N311" s="1346"/>
      <c r="O311" s="1346"/>
      <c r="P311" s="1346"/>
      <c r="Q311" s="1346"/>
      <c r="R311" s="1346"/>
      <c r="S311" s="3"/>
      <c r="T311" s="3" t="s">
        <v>365</v>
      </c>
      <c r="V311" s="3"/>
      <c r="W311" s="3"/>
      <c r="X311" s="3"/>
      <c r="Y311" s="3"/>
      <c r="AA311" s="1345" t="s">
        <v>2678</v>
      </c>
      <c r="AB311" s="1346"/>
      <c r="AC311" s="1346"/>
      <c r="AD311" s="1346"/>
      <c r="AE311" s="1346"/>
      <c r="AF311" s="1346"/>
      <c r="AG311" s="1346"/>
      <c r="AH311" s="1346"/>
      <c r="AI311" s="1346"/>
      <c r="AJ311" s="1346"/>
      <c r="AK311" s="1346"/>
    </row>
    <row r="312" spans="2:37" ht="13" customHeight="1">
      <c r="B312" s="3" t="s">
        <v>471</v>
      </c>
      <c r="C312" s="3"/>
      <c r="D312" s="3"/>
      <c r="E312" s="3"/>
      <c r="F312" s="3"/>
      <c r="H312" s="1356" t="s">
        <v>2627</v>
      </c>
      <c r="I312" s="1356"/>
      <c r="J312" s="1356"/>
      <c r="K312" s="1356"/>
      <c r="L312" s="1356"/>
      <c r="M312" s="1356"/>
      <c r="N312" s="1356"/>
      <c r="O312" s="1356"/>
      <c r="P312" s="1356"/>
      <c r="Q312" s="1356"/>
      <c r="R312" s="1356"/>
      <c r="S312" s="3"/>
      <c r="T312" s="3" t="s">
        <v>471</v>
      </c>
      <c r="V312" s="3"/>
      <c r="W312" s="3"/>
      <c r="X312" s="3"/>
      <c r="Y312" s="3"/>
      <c r="AA312" s="1554" t="s">
        <v>2679</v>
      </c>
      <c r="AB312" s="1356"/>
      <c r="AC312" s="1356"/>
      <c r="AD312" s="1356"/>
      <c r="AE312" s="1356"/>
      <c r="AF312" s="1356"/>
      <c r="AG312" s="1356"/>
      <c r="AH312" s="1356"/>
      <c r="AI312" s="1356"/>
      <c r="AJ312" s="1356"/>
      <c r="AK312" s="1356"/>
    </row>
    <row r="313" spans="2:37" ht="13" customHeight="1">
      <c r="B313" s="3" t="s">
        <v>472</v>
      </c>
      <c r="C313" s="3"/>
      <c r="D313" s="3"/>
      <c r="E313" s="3"/>
      <c r="F313" s="3"/>
      <c r="H313" s="1356" t="s">
        <v>2628</v>
      </c>
      <c r="I313" s="1356"/>
      <c r="J313" s="1356"/>
      <c r="K313" s="1356"/>
      <c r="L313" s="1356"/>
      <c r="M313" s="1356"/>
      <c r="N313" s="1356"/>
      <c r="O313" s="1356"/>
      <c r="P313" s="1356"/>
      <c r="Q313" s="1356"/>
      <c r="R313" s="1356"/>
      <c r="S313" s="3"/>
      <c r="T313" s="3" t="s">
        <v>75</v>
      </c>
      <c r="V313" s="3"/>
      <c r="W313" s="3"/>
      <c r="X313" s="3"/>
      <c r="Y313" s="3"/>
      <c r="AA313" s="1554" t="s">
        <v>2680</v>
      </c>
      <c r="AB313" s="1356"/>
      <c r="AC313" s="1356"/>
      <c r="AD313" s="1356"/>
      <c r="AE313" s="1356"/>
      <c r="AF313" s="1356"/>
      <c r="AG313" s="1356"/>
      <c r="AH313" s="1356"/>
      <c r="AI313" s="1356"/>
      <c r="AJ313" s="1356"/>
      <c r="AK313" s="1356"/>
    </row>
    <row r="314" spans="2:37" ht="13" customHeight="1">
      <c r="B314" s="3" t="s">
        <v>87</v>
      </c>
      <c r="C314" s="3"/>
      <c r="D314" s="3"/>
      <c r="E314" s="3"/>
      <c r="F314" s="3"/>
      <c r="H314" s="1356" t="s">
        <v>2632</v>
      </c>
      <c r="I314" s="1356"/>
      <c r="J314" s="1356"/>
      <c r="K314" s="1356"/>
      <c r="L314" s="1356"/>
      <c r="M314" s="1356"/>
      <c r="N314" s="1356"/>
      <c r="O314" s="1356"/>
      <c r="P314" s="1356"/>
      <c r="Q314" s="1356"/>
      <c r="R314" s="1356"/>
      <c r="S314" s="3"/>
      <c r="T314" s="3" t="s">
        <v>87</v>
      </c>
      <c r="V314" s="3"/>
      <c r="W314" s="3"/>
      <c r="X314" s="3"/>
      <c r="Y314" s="3"/>
      <c r="AA314" s="1554" t="s">
        <v>2681</v>
      </c>
      <c r="AB314" s="1356"/>
      <c r="AC314" s="1356"/>
      <c r="AD314" s="1356"/>
      <c r="AE314" s="1356"/>
      <c r="AF314" s="1356"/>
      <c r="AG314" s="1356"/>
      <c r="AH314" s="1356"/>
      <c r="AI314" s="1356"/>
      <c r="AJ314" s="1356"/>
      <c r="AK314" s="1356"/>
    </row>
    <row r="315" spans="2:37" ht="13" customHeight="1">
      <c r="B315" s="3" t="s">
        <v>88</v>
      </c>
      <c r="C315" s="3"/>
      <c r="D315" s="3"/>
      <c r="E315" s="3"/>
      <c r="F315" s="3"/>
      <c r="G315" s="3"/>
      <c r="H315" s="1473" t="s">
        <v>2633</v>
      </c>
      <c r="I315" s="1473"/>
      <c r="J315" s="1473"/>
      <c r="K315" s="1473"/>
      <c r="L315" s="1473"/>
      <c r="M315" s="1473"/>
      <c r="N315" s="4" t="s">
        <v>206</v>
      </c>
      <c r="O315" s="4"/>
      <c r="P315" s="1462"/>
      <c r="Q315" s="1462"/>
      <c r="R315" s="1462"/>
      <c r="S315" s="3"/>
      <c r="T315" s="3" t="s">
        <v>88</v>
      </c>
      <c r="V315" s="3"/>
      <c r="W315" s="3"/>
      <c r="X315" s="3"/>
      <c r="Y315" s="3"/>
      <c r="AA315" s="1777" t="s">
        <v>2682</v>
      </c>
      <c r="AB315" s="1777"/>
      <c r="AC315" s="1777"/>
      <c r="AD315" s="1777"/>
      <c r="AE315" s="1777"/>
      <c r="AF315" s="1777"/>
      <c r="AG315" s="4" t="s">
        <v>206</v>
      </c>
      <c r="AH315" s="4"/>
      <c r="AI315" s="1462"/>
      <c r="AJ315" s="1462"/>
      <c r="AK315" s="1462"/>
    </row>
    <row r="316" spans="2:37" ht="13" customHeight="1">
      <c r="B316" s="3" t="s">
        <v>89</v>
      </c>
      <c r="C316" s="3"/>
      <c r="D316" s="3"/>
      <c r="E316" s="3"/>
      <c r="F316" s="3"/>
      <c r="G316" s="3"/>
      <c r="H316" s="1344"/>
      <c r="I316" s="1344"/>
      <c r="J316" s="1344"/>
      <c r="K316" s="1344"/>
      <c r="L316" s="1344"/>
      <c r="M316" s="1344"/>
      <c r="N316" s="4"/>
      <c r="O316" s="4"/>
      <c r="P316" s="35"/>
      <c r="Q316" s="35"/>
      <c r="R316" s="35"/>
      <c r="S316" s="3"/>
      <c r="T316" s="3" t="s">
        <v>89</v>
      </c>
      <c r="V316" s="3"/>
      <c r="W316" s="3"/>
      <c r="X316" s="3"/>
      <c r="Y316" s="3"/>
      <c r="AA316" s="1344"/>
      <c r="AB316" s="1344"/>
      <c r="AC316" s="1344"/>
      <c r="AD316" s="1344"/>
      <c r="AE316" s="1344"/>
      <c r="AF316" s="1344"/>
      <c r="AG316" s="4"/>
      <c r="AH316" s="4"/>
      <c r="AI316" s="35"/>
      <c r="AJ316" s="35"/>
      <c r="AK316" s="35"/>
    </row>
    <row r="317" spans="2:37" ht="13" customHeight="1">
      <c r="B317" s="3" t="s">
        <v>76</v>
      </c>
      <c r="C317" s="3"/>
      <c r="D317" s="3"/>
      <c r="E317" s="3"/>
      <c r="F317" s="3"/>
      <c r="G317" s="3"/>
      <c r="H317" s="1356" t="s">
        <v>2634</v>
      </c>
      <c r="I317" s="1356"/>
      <c r="J317" s="1356"/>
      <c r="K317" s="1356"/>
      <c r="L317" s="1356"/>
      <c r="M317" s="1356"/>
      <c r="N317" s="1346"/>
      <c r="O317" s="1346"/>
      <c r="P317" s="1346"/>
      <c r="Q317" s="1346"/>
      <c r="R317" s="1346"/>
      <c r="S317" s="3"/>
      <c r="T317" s="3" t="s">
        <v>76</v>
      </c>
      <c r="V317" s="3"/>
      <c r="W317" s="3"/>
      <c r="X317" s="3"/>
      <c r="Y317" s="3"/>
      <c r="AA317" s="1554" t="s">
        <v>2683</v>
      </c>
      <c r="AB317" s="1356"/>
      <c r="AC317" s="1356"/>
      <c r="AD317" s="1356"/>
      <c r="AE317" s="1356"/>
      <c r="AF317" s="1356"/>
      <c r="AG317" s="1346"/>
      <c r="AH317" s="1346"/>
      <c r="AI317" s="1346"/>
      <c r="AJ317" s="1346"/>
      <c r="AK317" s="1346"/>
    </row>
    <row r="318" spans="2:37" ht="13" customHeight="1"/>
    <row r="319" spans="2:37" ht="13" customHeight="1">
      <c r="B319" s="4" t="s">
        <v>908</v>
      </c>
      <c r="C319" s="3"/>
      <c r="D319" s="3"/>
      <c r="E319" s="3"/>
      <c r="F319" s="3"/>
      <c r="H319" s="1346"/>
      <c r="I319" s="1346"/>
      <c r="J319" s="1346"/>
      <c r="K319" s="1346"/>
      <c r="L319" s="1346"/>
      <c r="M319" s="1346"/>
      <c r="N319" s="1346"/>
      <c r="O319" s="1346"/>
      <c r="P319" s="1346"/>
      <c r="Q319" s="1346"/>
      <c r="R319" s="1346"/>
      <c r="T319" s="3" t="s">
        <v>366</v>
      </c>
      <c r="V319" s="3"/>
      <c r="W319" s="3"/>
      <c r="X319" s="3"/>
      <c r="Y319" s="3"/>
      <c r="AA319" s="1346" t="s">
        <v>2626</v>
      </c>
      <c r="AB319" s="1346"/>
      <c r="AC319" s="1346"/>
      <c r="AD319" s="1346"/>
      <c r="AE319" s="1346"/>
      <c r="AF319" s="1346"/>
      <c r="AG319" s="1346"/>
      <c r="AH319" s="1346"/>
      <c r="AI319" s="1346"/>
      <c r="AJ319" s="1346"/>
      <c r="AK319" s="1346"/>
    </row>
    <row r="320" spans="2:37" ht="13" customHeight="1">
      <c r="B320" s="3" t="s">
        <v>471</v>
      </c>
      <c r="C320" s="3"/>
      <c r="D320" s="3"/>
      <c r="E320" s="3"/>
      <c r="F320" s="3"/>
      <c r="H320" s="1356"/>
      <c r="I320" s="1356"/>
      <c r="J320" s="1356"/>
      <c r="K320" s="1356"/>
      <c r="L320" s="1356"/>
      <c r="M320" s="1356"/>
      <c r="N320" s="1356"/>
      <c r="O320" s="1356"/>
      <c r="P320" s="1356"/>
      <c r="Q320" s="1356"/>
      <c r="R320" s="1356"/>
      <c r="T320" s="3" t="s">
        <v>471</v>
      </c>
      <c r="V320" s="3"/>
      <c r="W320" s="3"/>
      <c r="X320" s="3"/>
      <c r="Y320" s="3"/>
      <c r="AA320" s="1356" t="s">
        <v>2627</v>
      </c>
      <c r="AB320" s="1356"/>
      <c r="AC320" s="1356"/>
      <c r="AD320" s="1356"/>
      <c r="AE320" s="1356"/>
      <c r="AF320" s="1356"/>
      <c r="AG320" s="1356"/>
      <c r="AH320" s="1356"/>
      <c r="AI320" s="1356"/>
      <c r="AJ320" s="1356"/>
      <c r="AK320" s="1356"/>
    </row>
    <row r="321" spans="2:37" ht="13" customHeight="1">
      <c r="B321" s="3" t="s">
        <v>472</v>
      </c>
      <c r="C321" s="3"/>
      <c r="D321" s="3"/>
      <c r="E321" s="3"/>
      <c r="F321" s="3"/>
      <c r="H321" s="1356"/>
      <c r="I321" s="1356"/>
      <c r="J321" s="1356"/>
      <c r="K321" s="1356"/>
      <c r="L321" s="1356"/>
      <c r="M321" s="1356"/>
      <c r="N321" s="1356"/>
      <c r="O321" s="1356"/>
      <c r="P321" s="1356"/>
      <c r="Q321" s="1356"/>
      <c r="R321" s="1356"/>
      <c r="T321" s="3" t="s">
        <v>75</v>
      </c>
      <c r="V321" s="3"/>
      <c r="W321" s="3"/>
      <c r="X321" s="3"/>
      <c r="Y321" s="3"/>
      <c r="AA321" s="1356" t="s">
        <v>2628</v>
      </c>
      <c r="AB321" s="1356"/>
      <c r="AC321" s="1356"/>
      <c r="AD321" s="1356"/>
      <c r="AE321" s="1356"/>
      <c r="AF321" s="1356"/>
      <c r="AG321" s="1356"/>
      <c r="AH321" s="1356"/>
      <c r="AI321" s="1356"/>
      <c r="AJ321" s="1356"/>
      <c r="AK321" s="1356"/>
    </row>
    <row r="322" spans="2:37" ht="13" customHeight="1">
      <c r="B322" s="3" t="s">
        <v>87</v>
      </c>
      <c r="C322" s="3"/>
      <c r="D322" s="3"/>
      <c r="E322" s="3"/>
      <c r="F322" s="3"/>
      <c r="H322" s="1356"/>
      <c r="I322" s="1356"/>
      <c r="J322" s="1356"/>
      <c r="K322" s="1356"/>
      <c r="L322" s="1356"/>
      <c r="M322" s="1356"/>
      <c r="N322" s="1356"/>
      <c r="O322" s="1356"/>
      <c r="P322" s="1356"/>
      <c r="Q322" s="1356"/>
      <c r="R322" s="1356"/>
      <c r="T322" s="3" t="s">
        <v>87</v>
      </c>
      <c r="V322" s="3"/>
      <c r="W322" s="3"/>
      <c r="X322" s="3"/>
      <c r="Y322" s="3"/>
      <c r="AA322" s="1356" t="s">
        <v>2629</v>
      </c>
      <c r="AB322" s="1356"/>
      <c r="AC322" s="1356"/>
      <c r="AD322" s="1356"/>
      <c r="AE322" s="1356"/>
      <c r="AF322" s="1356"/>
      <c r="AG322" s="1356"/>
      <c r="AH322" s="1356"/>
      <c r="AI322" s="1356"/>
      <c r="AJ322" s="1356"/>
      <c r="AK322" s="1356"/>
    </row>
    <row r="323" spans="2:37" ht="13" customHeight="1">
      <c r="B323" s="3" t="s">
        <v>88</v>
      </c>
      <c r="C323" s="3"/>
      <c r="D323" s="3"/>
      <c r="E323" s="3"/>
      <c r="F323" s="3"/>
      <c r="G323" s="3"/>
      <c r="H323" s="1473"/>
      <c r="I323" s="1473"/>
      <c r="J323" s="1473"/>
      <c r="K323" s="1473"/>
      <c r="L323" s="1473"/>
      <c r="M323" s="1473"/>
      <c r="N323" s="4" t="s">
        <v>206</v>
      </c>
      <c r="O323" s="4"/>
      <c r="P323" s="1462"/>
      <c r="Q323" s="1462"/>
      <c r="R323" s="1462"/>
      <c r="S323" s="3"/>
      <c r="T323" s="3" t="s">
        <v>88</v>
      </c>
      <c r="V323" s="3"/>
      <c r="W323" s="3"/>
      <c r="X323" s="3"/>
      <c r="Y323" s="3"/>
      <c r="AA323" s="1473" t="s">
        <v>2630</v>
      </c>
      <c r="AB323" s="1473"/>
      <c r="AC323" s="1473"/>
      <c r="AD323" s="1473"/>
      <c r="AE323" s="1473"/>
      <c r="AF323" s="1473"/>
      <c r="AG323" s="4" t="s">
        <v>206</v>
      </c>
      <c r="AH323" s="4"/>
      <c r="AI323" s="1462"/>
      <c r="AJ323" s="1462"/>
      <c r="AK323" s="1462"/>
    </row>
    <row r="324" spans="2:37" ht="13" customHeight="1">
      <c r="B324" s="3" t="s">
        <v>89</v>
      </c>
      <c r="C324" s="3"/>
      <c r="D324" s="3"/>
      <c r="E324" s="3"/>
      <c r="F324" s="3"/>
      <c r="G324" s="3"/>
      <c r="H324" s="1344"/>
      <c r="I324" s="1344"/>
      <c r="J324" s="1344"/>
      <c r="K324" s="1344"/>
      <c r="L324" s="1344"/>
      <c r="M324" s="1344"/>
      <c r="N324" s="4"/>
      <c r="O324" s="4"/>
      <c r="P324" s="35"/>
      <c r="Q324" s="35"/>
      <c r="R324" s="35"/>
      <c r="S324" s="3"/>
      <c r="T324" s="3" t="s">
        <v>89</v>
      </c>
      <c r="V324" s="3"/>
      <c r="W324" s="3"/>
      <c r="X324" s="3"/>
      <c r="Y324" s="3"/>
      <c r="AA324" s="1344"/>
      <c r="AB324" s="1344"/>
      <c r="AC324" s="1344"/>
      <c r="AD324" s="1344"/>
      <c r="AE324" s="1344"/>
      <c r="AF324" s="1344"/>
      <c r="AG324" s="4"/>
      <c r="AH324" s="4"/>
      <c r="AI324" s="35"/>
      <c r="AJ324" s="35"/>
      <c r="AK324" s="35"/>
    </row>
    <row r="325" spans="2:37" ht="13" customHeight="1">
      <c r="B325" s="3" t="s">
        <v>76</v>
      </c>
      <c r="C325" s="3"/>
      <c r="D325" s="3"/>
      <c r="E325" s="3"/>
      <c r="F325" s="3"/>
      <c r="G325" s="3"/>
      <c r="H325" s="1356"/>
      <c r="I325" s="1356"/>
      <c r="J325" s="1356"/>
      <c r="K325" s="1356"/>
      <c r="L325" s="1356"/>
      <c r="M325" s="1356"/>
      <c r="N325" s="1346"/>
      <c r="O325" s="1346"/>
      <c r="P325" s="1346"/>
      <c r="Q325" s="1346"/>
      <c r="R325" s="1346"/>
      <c r="S325" s="3"/>
      <c r="T325" s="3" t="s">
        <v>76</v>
      </c>
      <c r="V325" s="3"/>
      <c r="W325" s="3"/>
      <c r="X325" s="3"/>
      <c r="Y325" s="3"/>
      <c r="AA325" s="1356" t="s">
        <v>2631</v>
      </c>
      <c r="AB325" s="1356"/>
      <c r="AC325" s="1356"/>
      <c r="AD325" s="1356"/>
      <c r="AE325" s="1356"/>
      <c r="AF325" s="1356"/>
      <c r="AG325" s="1346"/>
      <c r="AH325" s="1346"/>
      <c r="AI325" s="1346"/>
      <c r="AJ325" s="1346"/>
      <c r="AK325" s="1346"/>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46" t="s">
        <v>2626</v>
      </c>
      <c r="I327" s="1346"/>
      <c r="J327" s="1346"/>
      <c r="K327" s="1346"/>
      <c r="L327" s="1346"/>
      <c r="M327" s="1346"/>
      <c r="N327" s="1346"/>
      <c r="O327" s="1346"/>
      <c r="P327" s="1346"/>
      <c r="Q327" s="1346"/>
      <c r="R327" s="1346"/>
      <c r="T327" s="3" t="s">
        <v>368</v>
      </c>
      <c r="V327" s="3"/>
      <c r="W327" s="3"/>
      <c r="X327" s="3"/>
      <c r="Y327" s="3"/>
      <c r="AA327" s="1346"/>
      <c r="AB327" s="1346"/>
      <c r="AC327" s="1346"/>
      <c r="AD327" s="1346"/>
      <c r="AE327" s="1346"/>
      <c r="AF327" s="1346"/>
      <c r="AG327" s="1346"/>
      <c r="AH327" s="1346"/>
      <c r="AI327" s="1346"/>
      <c r="AJ327" s="1346"/>
      <c r="AK327" s="1346"/>
    </row>
    <row r="328" spans="2:37" ht="13" customHeight="1">
      <c r="B328" s="3" t="s">
        <v>471</v>
      </c>
      <c r="C328" s="3"/>
      <c r="D328" s="3"/>
      <c r="E328" s="3"/>
      <c r="F328" s="3"/>
      <c r="H328" s="1356" t="s">
        <v>2627</v>
      </c>
      <c r="I328" s="1356"/>
      <c r="J328" s="1356"/>
      <c r="K328" s="1356"/>
      <c r="L328" s="1356"/>
      <c r="M328" s="1356"/>
      <c r="N328" s="1356"/>
      <c r="O328" s="1356"/>
      <c r="P328" s="1356"/>
      <c r="Q328" s="1356"/>
      <c r="R328" s="1356"/>
      <c r="T328" s="3" t="s">
        <v>471</v>
      </c>
      <c r="V328" s="3"/>
      <c r="W328" s="3"/>
      <c r="X328" s="3"/>
      <c r="Y328" s="3"/>
      <c r="AA328" s="1356"/>
      <c r="AB328" s="1356"/>
      <c r="AC328" s="1356"/>
      <c r="AD328" s="1356"/>
      <c r="AE328" s="1356"/>
      <c r="AF328" s="1356"/>
      <c r="AG328" s="1356"/>
      <c r="AH328" s="1356"/>
      <c r="AI328" s="1356"/>
      <c r="AJ328" s="1356"/>
      <c r="AK328" s="1356"/>
    </row>
    <row r="329" spans="2:37" ht="13" customHeight="1">
      <c r="B329" s="3" t="s">
        <v>472</v>
      </c>
      <c r="C329" s="3"/>
      <c r="D329" s="3"/>
      <c r="E329" s="3"/>
      <c r="F329" s="3"/>
      <c r="H329" s="1356" t="s">
        <v>2628</v>
      </c>
      <c r="I329" s="1356"/>
      <c r="J329" s="1356"/>
      <c r="K329" s="1356"/>
      <c r="L329" s="1356"/>
      <c r="M329" s="1356"/>
      <c r="N329" s="1356"/>
      <c r="O329" s="1356"/>
      <c r="P329" s="1356"/>
      <c r="Q329" s="1356"/>
      <c r="R329" s="1356"/>
      <c r="T329" s="3" t="s">
        <v>75</v>
      </c>
      <c r="V329" s="3"/>
      <c r="W329" s="3"/>
      <c r="X329" s="3"/>
      <c r="Y329" s="3"/>
      <c r="AA329" s="1356"/>
      <c r="AB329" s="1356"/>
      <c r="AC329" s="1356"/>
      <c r="AD329" s="1356"/>
      <c r="AE329" s="1356"/>
      <c r="AF329" s="1356"/>
      <c r="AG329" s="1356"/>
      <c r="AH329" s="1356"/>
      <c r="AI329" s="1356"/>
      <c r="AJ329" s="1356"/>
      <c r="AK329" s="1356"/>
    </row>
    <row r="330" spans="2:37" ht="13" customHeight="1">
      <c r="B330" s="3" t="s">
        <v>87</v>
      </c>
      <c r="C330" s="3"/>
      <c r="D330" s="3"/>
      <c r="E330" s="3"/>
      <c r="F330" s="3"/>
      <c r="H330" s="1356" t="s">
        <v>2629</v>
      </c>
      <c r="I330" s="1356"/>
      <c r="J330" s="1356"/>
      <c r="K330" s="1356"/>
      <c r="L330" s="1356"/>
      <c r="M330" s="1356"/>
      <c r="N330" s="1356"/>
      <c r="O330" s="1356"/>
      <c r="P330" s="1356"/>
      <c r="Q330" s="1356"/>
      <c r="R330" s="1356"/>
      <c r="T330" s="3" t="s">
        <v>87</v>
      </c>
      <c r="V330" s="3"/>
      <c r="W330" s="3"/>
      <c r="X330" s="3"/>
      <c r="Y330" s="3"/>
      <c r="AA330" s="1356"/>
      <c r="AB330" s="1356"/>
      <c r="AC330" s="1356"/>
      <c r="AD330" s="1356"/>
      <c r="AE330" s="1356"/>
      <c r="AF330" s="1356"/>
      <c r="AG330" s="1356"/>
      <c r="AH330" s="1356"/>
      <c r="AI330" s="1356"/>
      <c r="AJ330" s="1356"/>
      <c r="AK330" s="1356"/>
    </row>
    <row r="331" spans="2:37" ht="13" customHeight="1">
      <c r="B331" s="3" t="s">
        <v>88</v>
      </c>
      <c r="C331" s="3"/>
      <c r="D331" s="3"/>
      <c r="E331" s="3"/>
      <c r="F331" s="3"/>
      <c r="G331" s="3"/>
      <c r="H331" s="1473" t="s">
        <v>2630</v>
      </c>
      <c r="I331" s="1473"/>
      <c r="J331" s="1473"/>
      <c r="K331" s="1473"/>
      <c r="L331" s="1473"/>
      <c r="M331" s="1473"/>
      <c r="N331" s="4" t="s">
        <v>206</v>
      </c>
      <c r="O331" s="4"/>
      <c r="P331" s="1462"/>
      <c r="Q331" s="1462"/>
      <c r="R331" s="1462"/>
      <c r="S331" s="3"/>
      <c r="T331" s="3" t="s">
        <v>88</v>
      </c>
      <c r="V331" s="3"/>
      <c r="W331" s="3"/>
      <c r="X331" s="3"/>
      <c r="Y331" s="3"/>
      <c r="AA331" s="1473"/>
      <c r="AB331" s="1473"/>
      <c r="AC331" s="1473"/>
      <c r="AD331" s="1473"/>
      <c r="AE331" s="1473"/>
      <c r="AF331" s="1473"/>
      <c r="AG331" s="4" t="s">
        <v>206</v>
      </c>
      <c r="AH331" s="4"/>
      <c r="AI331" s="1462"/>
      <c r="AJ331" s="1462"/>
      <c r="AK331" s="1462"/>
    </row>
    <row r="332" spans="2:37" ht="13" customHeight="1">
      <c r="B332" s="3" t="s">
        <v>89</v>
      </c>
      <c r="C332" s="3"/>
      <c r="D332" s="3"/>
      <c r="E332" s="3"/>
      <c r="F332" s="3"/>
      <c r="G332" s="3"/>
      <c r="H332" s="1344"/>
      <c r="I332" s="1344"/>
      <c r="J332" s="1344"/>
      <c r="K332" s="1344"/>
      <c r="L332" s="1344"/>
      <c r="M332" s="1344"/>
      <c r="N332" s="4"/>
      <c r="O332" s="4"/>
      <c r="P332" s="35"/>
      <c r="Q332" s="35"/>
      <c r="R332" s="35"/>
      <c r="S332" s="3"/>
      <c r="T332" s="3" t="s">
        <v>89</v>
      </c>
      <c r="V332" s="3"/>
      <c r="W332" s="3"/>
      <c r="X332" s="3"/>
      <c r="Y332" s="3"/>
      <c r="AA332" s="1344"/>
      <c r="AB332" s="1344"/>
      <c r="AC332" s="1344"/>
      <c r="AD332" s="1344"/>
      <c r="AE332" s="1344"/>
      <c r="AF332" s="1344"/>
      <c r="AG332" s="4"/>
      <c r="AH332" s="4"/>
      <c r="AI332" s="35"/>
      <c r="AJ332" s="35"/>
      <c r="AK332" s="35"/>
    </row>
    <row r="333" spans="2:37" ht="13" customHeight="1">
      <c r="B333" s="3" t="s">
        <v>76</v>
      </c>
      <c r="C333" s="3"/>
      <c r="D333" s="3"/>
      <c r="E333" s="3"/>
      <c r="F333" s="3"/>
      <c r="G333" s="3"/>
      <c r="H333" s="1356" t="s">
        <v>2631</v>
      </c>
      <c r="I333" s="1356"/>
      <c r="J333" s="1356"/>
      <c r="K333" s="1356"/>
      <c r="L333" s="1356"/>
      <c r="M333" s="1356"/>
      <c r="N333" s="1346"/>
      <c r="O333" s="1346"/>
      <c r="P333" s="1346"/>
      <c r="Q333" s="1346"/>
      <c r="R333" s="1346"/>
      <c r="S333" s="3"/>
      <c r="T333" s="3" t="s">
        <v>76</v>
      </c>
      <c r="V333" s="3"/>
      <c r="W333" s="3"/>
      <c r="X333" s="3"/>
      <c r="Y333" s="3"/>
      <c r="AA333" s="1356"/>
      <c r="AB333" s="1356"/>
      <c r="AC333" s="1356"/>
      <c r="AD333" s="1356"/>
      <c r="AE333" s="1356"/>
      <c r="AF333" s="1356"/>
      <c r="AG333" s="1346"/>
      <c r="AH333" s="1346"/>
      <c r="AI333" s="1346"/>
      <c r="AJ333" s="1346"/>
      <c r="AK333" s="134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45" t="s">
        <v>2718</v>
      </c>
      <c r="I335" s="1346"/>
      <c r="J335" s="1346"/>
      <c r="K335" s="1346"/>
      <c r="L335" s="1346"/>
      <c r="M335" s="1346"/>
      <c r="N335" s="1346"/>
      <c r="O335" s="1346"/>
      <c r="P335" s="1346"/>
      <c r="Q335" s="1346"/>
      <c r="R335" s="1346"/>
      <c r="T335" s="204" t="s">
        <v>886</v>
      </c>
      <c r="V335" s="3"/>
      <c r="W335" s="3"/>
      <c r="X335" s="3"/>
      <c r="Y335" s="3"/>
      <c r="AA335" s="1345" t="s">
        <v>2625</v>
      </c>
      <c r="AB335" s="1346"/>
      <c r="AC335" s="1346"/>
      <c r="AD335" s="1346"/>
      <c r="AE335" s="1346"/>
      <c r="AF335" s="1346"/>
      <c r="AG335" s="1346"/>
      <c r="AH335" s="1346"/>
      <c r="AI335" s="1346"/>
      <c r="AJ335" s="1346"/>
      <c r="AK335" s="1346"/>
    </row>
    <row r="336" spans="2:37" ht="13" customHeight="1">
      <c r="B336" s="3" t="s">
        <v>471</v>
      </c>
      <c r="C336" s="3"/>
      <c r="D336" s="3"/>
      <c r="E336" s="3"/>
      <c r="F336" s="3"/>
      <c r="H336" s="1784" t="s">
        <v>2721</v>
      </c>
      <c r="I336" s="1356"/>
      <c r="J336" s="1356"/>
      <c r="K336" s="1356"/>
      <c r="L336" s="1356"/>
      <c r="M336" s="1356"/>
      <c r="N336" s="1356"/>
      <c r="O336" s="1356"/>
      <c r="P336" s="1356"/>
      <c r="Q336" s="1356"/>
      <c r="R336" s="1356"/>
      <c r="T336" s="3" t="s">
        <v>471</v>
      </c>
      <c r="V336" s="3"/>
      <c r="W336" s="3"/>
      <c r="X336" s="3"/>
      <c r="Y336" s="3"/>
      <c r="AA336" s="1356" t="s">
        <v>2700</v>
      </c>
      <c r="AB336" s="1356"/>
      <c r="AC336" s="1356"/>
      <c r="AD336" s="1356"/>
      <c r="AE336" s="1356"/>
      <c r="AF336" s="1356"/>
      <c r="AG336" s="1356"/>
      <c r="AH336" s="1356"/>
      <c r="AI336" s="1356"/>
      <c r="AJ336" s="1356"/>
      <c r="AK336" s="1356"/>
    </row>
    <row r="337" spans="1:66" ht="13" customHeight="1">
      <c r="B337" s="3" t="s">
        <v>75</v>
      </c>
      <c r="C337" s="3"/>
      <c r="D337" s="3"/>
      <c r="E337" s="3"/>
      <c r="F337" s="3"/>
      <c r="H337" s="1554" t="s">
        <v>2719</v>
      </c>
      <c r="I337" s="1356"/>
      <c r="J337" s="1356"/>
      <c r="K337" s="1356"/>
      <c r="L337" s="1356"/>
      <c r="M337" s="1356"/>
      <c r="N337" s="1356"/>
      <c r="O337" s="1356"/>
      <c r="P337" s="1356"/>
      <c r="Q337" s="1356"/>
      <c r="R337" s="1356"/>
      <c r="T337" s="3" t="s">
        <v>75</v>
      </c>
      <c r="V337" s="3"/>
      <c r="W337" s="3"/>
      <c r="X337" s="3"/>
      <c r="Y337" s="3"/>
      <c r="AA337" s="1554" t="s">
        <v>2701</v>
      </c>
      <c r="AB337" s="1356"/>
      <c r="AC337" s="1356"/>
      <c r="AD337" s="1356"/>
      <c r="AE337" s="1356"/>
      <c r="AF337" s="1356"/>
      <c r="AG337" s="1356"/>
      <c r="AH337" s="1356"/>
      <c r="AI337" s="1356"/>
      <c r="AJ337" s="1356"/>
      <c r="AK337" s="1356"/>
    </row>
    <row r="338" spans="1:66" ht="13" customHeight="1">
      <c r="B338" s="3" t="s">
        <v>87</v>
      </c>
      <c r="C338" s="3"/>
      <c r="D338" s="3"/>
      <c r="E338" s="3"/>
      <c r="F338" s="3"/>
      <c r="G338" s="3"/>
      <c r="H338" s="1554" t="s">
        <v>2723</v>
      </c>
      <c r="I338" s="1356"/>
      <c r="J338" s="1356"/>
      <c r="K338" s="1356"/>
      <c r="L338" s="1356"/>
      <c r="M338" s="1356"/>
      <c r="N338" s="1356"/>
      <c r="O338" s="1356"/>
      <c r="P338" s="1356"/>
      <c r="Q338" s="1356"/>
      <c r="R338" s="1356"/>
      <c r="T338" s="3" t="s">
        <v>87</v>
      </c>
      <c r="V338" s="3"/>
      <c r="W338" s="3"/>
      <c r="X338" s="3"/>
      <c r="Y338" s="3"/>
      <c r="AA338" s="1356" t="s">
        <v>2702</v>
      </c>
      <c r="AB338" s="1356"/>
      <c r="AC338" s="1356"/>
      <c r="AD338" s="1356"/>
      <c r="AE338" s="1356"/>
      <c r="AF338" s="1356"/>
      <c r="AG338" s="1356"/>
      <c r="AH338" s="1356"/>
      <c r="AI338" s="1356"/>
      <c r="AJ338" s="1356"/>
      <c r="AK338" s="1356"/>
    </row>
    <row r="339" spans="1:66" ht="13" customHeight="1">
      <c r="B339" s="3" t="s">
        <v>88</v>
      </c>
      <c r="C339" s="3"/>
      <c r="D339" s="3"/>
      <c r="E339" s="3"/>
      <c r="F339" s="3"/>
      <c r="G339" s="3"/>
      <c r="H339" s="1777" t="s">
        <v>2720</v>
      </c>
      <c r="I339" s="1473"/>
      <c r="J339" s="1473"/>
      <c r="K339" s="1473"/>
      <c r="L339" s="1473"/>
      <c r="M339" s="1473"/>
      <c r="N339" s="4" t="s">
        <v>206</v>
      </c>
      <c r="O339" s="4"/>
      <c r="P339" s="1462"/>
      <c r="Q339" s="1462"/>
      <c r="R339" s="1462"/>
      <c r="S339" s="3"/>
      <c r="T339" s="3" t="s">
        <v>88</v>
      </c>
      <c r="V339" s="3"/>
      <c r="W339" s="3"/>
      <c r="X339" s="3"/>
      <c r="Y339" s="3"/>
      <c r="AA339" s="1777" t="s">
        <v>2734</v>
      </c>
      <c r="AB339" s="1473"/>
      <c r="AC339" s="1473"/>
      <c r="AD339" s="1473"/>
      <c r="AE339" s="1473"/>
      <c r="AF339" s="1473"/>
      <c r="AG339" s="4" t="s">
        <v>206</v>
      </c>
      <c r="AH339" s="4"/>
      <c r="AI339" s="1462"/>
      <c r="AJ339" s="1462"/>
      <c r="AK339" s="1462"/>
    </row>
    <row r="340" spans="1:66" ht="13" customHeight="1">
      <c r="B340" s="3" t="s">
        <v>89</v>
      </c>
      <c r="C340" s="3"/>
      <c r="D340" s="3"/>
      <c r="E340" s="3"/>
      <c r="F340" s="3"/>
      <c r="G340" s="3"/>
      <c r="H340" s="1344"/>
      <c r="I340" s="1344"/>
      <c r="J340" s="1344"/>
      <c r="K340" s="1344"/>
      <c r="L340" s="1344"/>
      <c r="M340" s="1344"/>
      <c r="N340" s="4"/>
      <c r="O340" s="4"/>
      <c r="P340" s="35"/>
      <c r="Q340" s="35"/>
      <c r="R340" s="35"/>
      <c r="S340" s="3"/>
      <c r="T340" s="3" t="s">
        <v>89</v>
      </c>
      <c r="V340" s="3"/>
      <c r="W340" s="3"/>
      <c r="X340" s="3"/>
      <c r="Y340" s="3"/>
      <c r="AA340" s="1344"/>
      <c r="AB340" s="1344"/>
      <c r="AC340" s="1344"/>
      <c r="AD340" s="1344"/>
      <c r="AE340" s="1344"/>
      <c r="AF340" s="1344"/>
      <c r="AG340" s="4"/>
      <c r="AH340" s="4"/>
      <c r="AI340" s="35"/>
      <c r="AJ340" s="35"/>
      <c r="AK340" s="35"/>
    </row>
    <row r="341" spans="1:66" ht="13" customHeight="1">
      <c r="B341" s="3" t="s">
        <v>76</v>
      </c>
      <c r="C341" s="3"/>
      <c r="D341" s="3"/>
      <c r="E341" s="3"/>
      <c r="F341" s="3"/>
      <c r="G341" s="3"/>
      <c r="H341" s="1554" t="s">
        <v>2722</v>
      </c>
      <c r="I341" s="1356"/>
      <c r="J341" s="1356"/>
      <c r="K341" s="1356"/>
      <c r="L341" s="1356"/>
      <c r="M341" s="1356"/>
      <c r="N341" s="1346"/>
      <c r="O341" s="1346"/>
      <c r="P341" s="1346"/>
      <c r="Q341" s="1346"/>
      <c r="R341" s="1346"/>
      <c r="S341" s="3"/>
      <c r="T341" s="3" t="s">
        <v>76</v>
      </c>
      <c r="V341" s="3"/>
      <c r="W341" s="3"/>
      <c r="X341" s="3"/>
      <c r="Y341" s="3"/>
      <c r="AA341" s="1356" t="s">
        <v>2703</v>
      </c>
      <c r="AB341" s="1356"/>
      <c r="AC341" s="1356"/>
      <c r="AD341" s="1356"/>
      <c r="AE341" s="1356"/>
      <c r="AF341" s="1356"/>
      <c r="AG341" s="1346"/>
      <c r="AH341" s="1346"/>
      <c r="AI341" s="1346"/>
      <c r="AJ341" s="1346"/>
      <c r="AK341" s="134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46"/>
      <c r="Q343" s="1346"/>
      <c r="R343" s="1346"/>
      <c r="S343" s="1346"/>
      <c r="T343" s="1346"/>
      <c r="U343" s="1346"/>
      <c r="V343" s="1346"/>
      <c r="W343" s="1346"/>
      <c r="X343" s="1346"/>
      <c r="Y343" s="1346"/>
      <c r="Z343" s="1346"/>
      <c r="AA343" s="1346"/>
      <c r="AB343" s="1346"/>
      <c r="AC343" s="1346"/>
      <c r="AD343" s="1346"/>
      <c r="AE343" s="1346"/>
      <c r="BN343" t="s">
        <v>669</v>
      </c>
    </row>
    <row r="344" spans="1:66" ht="13" customHeight="1">
      <c r="B344" s="4"/>
      <c r="C344" s="4"/>
      <c r="D344" s="4"/>
      <c r="E344" s="4"/>
      <c r="F344" s="4"/>
      <c r="I344" s="4" t="s">
        <v>471</v>
      </c>
      <c r="P344" s="1356"/>
      <c r="Q344" s="1356"/>
      <c r="R344" s="1356"/>
      <c r="S344" s="1356"/>
      <c r="T344" s="1356"/>
      <c r="U344" s="1356"/>
      <c r="V344" s="1356"/>
      <c r="W344" s="1356"/>
      <c r="X344" s="1356"/>
      <c r="Y344" s="1356"/>
      <c r="Z344" s="1356"/>
      <c r="AA344" s="1356"/>
      <c r="AB344" s="1356"/>
      <c r="AC344" s="1356"/>
      <c r="AD344" s="1356"/>
      <c r="AE344" s="1356"/>
      <c r="BN344" t="s">
        <v>545</v>
      </c>
    </row>
    <row r="345" spans="1:66" ht="13" customHeight="1">
      <c r="B345" s="4"/>
      <c r="C345" s="4"/>
      <c r="D345" s="4"/>
      <c r="E345" s="4"/>
      <c r="F345" s="4"/>
      <c r="I345" s="4" t="s">
        <v>75</v>
      </c>
      <c r="P345" s="1356"/>
      <c r="Q345" s="1356"/>
      <c r="R345" s="1356"/>
      <c r="S345" s="1356"/>
      <c r="T345" s="1356"/>
      <c r="U345" s="1356"/>
      <c r="V345" s="1356"/>
      <c r="W345" s="1356"/>
      <c r="X345" s="1356"/>
      <c r="Y345" s="1356"/>
      <c r="Z345" s="1356"/>
      <c r="AA345" s="1356"/>
      <c r="AB345" s="1356"/>
      <c r="AC345" s="1356"/>
      <c r="AD345" s="1356"/>
      <c r="AE345" s="1356"/>
    </row>
    <row r="346" spans="1:66" ht="13" customHeight="1">
      <c r="B346" s="4"/>
      <c r="C346" s="4"/>
      <c r="D346" s="4"/>
      <c r="E346" s="4"/>
      <c r="F346" s="4"/>
      <c r="G346" s="4"/>
      <c r="I346" s="4" t="s">
        <v>87</v>
      </c>
      <c r="P346" s="1356"/>
      <c r="Q346" s="1356"/>
      <c r="R346" s="1356"/>
      <c r="S346" s="1356"/>
      <c r="T346" s="1356"/>
      <c r="U346" s="1356"/>
      <c r="V346" s="1356"/>
      <c r="W346" s="1356"/>
      <c r="X346" s="1356"/>
      <c r="Y346" s="1356"/>
      <c r="Z346" s="1356"/>
      <c r="AA346" s="1356"/>
      <c r="AB346" s="1356"/>
      <c r="AC346" s="1356"/>
      <c r="AD346" s="1356"/>
      <c r="AE346" s="1356"/>
    </row>
    <row r="347" spans="1:66" ht="13" customHeight="1">
      <c r="B347" s="4"/>
      <c r="C347" s="4"/>
      <c r="D347" s="4"/>
      <c r="E347" s="4"/>
      <c r="F347" s="4"/>
      <c r="G347" s="4"/>
      <c r="H347" s="302"/>
      <c r="I347" s="4" t="s">
        <v>88</v>
      </c>
      <c r="P347" s="1344"/>
      <c r="Q347" s="1344"/>
      <c r="R347" s="1344"/>
      <c r="S347" s="1344"/>
      <c r="T347" s="1344"/>
      <c r="U347" s="1344"/>
      <c r="V347" s="1344"/>
      <c r="W347" s="1344"/>
      <c r="X347" s="1344"/>
      <c r="Y347" s="1344"/>
      <c r="Z347" s="1344"/>
      <c r="AA347" s="4" t="s">
        <v>206</v>
      </c>
      <c r="AB347" s="4"/>
      <c r="AC347" s="1484"/>
      <c r="AD347" s="1484"/>
      <c r="AE347" s="1484"/>
      <c r="AF347" s="302"/>
      <c r="AG347" s="4"/>
      <c r="AH347" s="4"/>
      <c r="AI347" s="4"/>
      <c r="AJ347" s="4"/>
      <c r="AK347" s="4"/>
    </row>
    <row r="348" spans="1:66" ht="13" customHeight="1">
      <c r="B348" s="4"/>
      <c r="C348" s="4"/>
      <c r="D348" s="4"/>
      <c r="E348" s="4"/>
      <c r="F348" s="4"/>
      <c r="G348" s="4"/>
      <c r="H348" s="302"/>
      <c r="I348" s="4" t="s">
        <v>89</v>
      </c>
      <c r="P348" s="1344"/>
      <c r="Q348" s="1344"/>
      <c r="R348" s="1344"/>
      <c r="S348" s="1344"/>
      <c r="T348" s="1344"/>
      <c r="U348" s="1344"/>
      <c r="V348" s="1344"/>
      <c r="W348" s="1344"/>
      <c r="X348" s="1344"/>
      <c r="Y348" s="1344"/>
      <c r="Z348" s="1344"/>
      <c r="AF348" s="302"/>
      <c r="AG348" s="4"/>
      <c r="AH348" s="4"/>
      <c r="AI348" s="35"/>
      <c r="AJ348" s="35"/>
      <c r="AK348" s="35"/>
    </row>
    <row r="349" spans="1:66" ht="13" customHeight="1">
      <c r="B349" s="4"/>
      <c r="C349" s="4"/>
      <c r="D349" s="4"/>
      <c r="E349" s="4"/>
      <c r="F349" s="4"/>
      <c r="G349" s="4"/>
      <c r="I349" s="4" t="s">
        <v>76</v>
      </c>
      <c r="P349" s="1346"/>
      <c r="Q349" s="1346"/>
      <c r="R349" s="1346"/>
      <c r="S349" s="1346"/>
      <c r="T349" s="1346"/>
      <c r="U349" s="1346"/>
      <c r="V349" s="1346"/>
      <c r="W349" s="1346"/>
      <c r="X349" s="1346"/>
      <c r="Y349" s="1346"/>
      <c r="Z349" s="1346"/>
      <c r="AA349" s="1346"/>
      <c r="AB349" s="1346"/>
      <c r="AC349" s="1346"/>
      <c r="AD349" s="1346"/>
      <c r="AE349" s="1346"/>
    </row>
    <row r="350" spans="1:66" ht="13" customHeight="1">
      <c r="T350" s="8"/>
      <c r="U350" s="8"/>
      <c r="V350" s="8"/>
      <c r="W350" s="8"/>
      <c r="X350" s="8"/>
      <c r="Y350" s="8"/>
      <c r="Z350" s="8"/>
      <c r="AU350" s="95"/>
      <c r="AV350" s="95"/>
      <c r="AW350" s="95"/>
      <c r="AX350" s="95"/>
      <c r="AY350" s="95"/>
    </row>
    <row r="351" spans="1:66" ht="13" customHeight="1">
      <c r="A351" s="1472" t="s">
        <v>542</v>
      </c>
      <c r="B351" s="1472"/>
      <c r="C351" s="1472"/>
      <c r="D351" s="1472"/>
      <c r="E351" s="1472"/>
      <c r="F351" s="1472"/>
      <c r="G351" s="1472"/>
      <c r="H351" s="1472"/>
      <c r="I351" s="1472"/>
      <c r="J351" s="1472"/>
      <c r="K351" s="1472"/>
      <c r="L351" s="1472"/>
      <c r="M351" s="1472"/>
      <c r="N351" s="1472"/>
      <c r="O351" s="1472"/>
      <c r="P351" s="1472"/>
      <c r="Q351" s="1472"/>
      <c r="R351" s="1472"/>
      <c r="S351" s="1472"/>
      <c r="T351" s="1472"/>
      <c r="U351" s="1472"/>
      <c r="V351" s="1472"/>
      <c r="W351" s="1472"/>
      <c r="X351" s="1472"/>
      <c r="Y351" s="1472"/>
      <c r="Z351" s="1472"/>
      <c r="AA351" s="1472"/>
      <c r="AB351" s="1472"/>
      <c r="AC351" s="1472"/>
      <c r="AD351" s="1472"/>
      <c r="AE351" s="1472"/>
      <c r="AF351" s="1472"/>
      <c r="AG351" s="1472"/>
      <c r="AH351" s="1472"/>
      <c r="AI351" s="1472"/>
      <c r="AJ351" s="1472"/>
      <c r="AK351" s="1472"/>
      <c r="AL351" s="1472"/>
      <c r="AM351" s="1472"/>
      <c r="AN351" s="1472"/>
      <c r="AO351" s="1472"/>
      <c r="AP351" s="1472"/>
      <c r="AQ351" s="1472"/>
      <c r="AR351" s="1472"/>
      <c r="AS351" s="1472"/>
      <c r="AT351" s="1472"/>
      <c r="AU351" s="95"/>
      <c r="AV351" s="95"/>
      <c r="AW351" s="95"/>
      <c r="AX351" s="95"/>
      <c r="AY351" s="95"/>
    </row>
    <row r="352" spans="1:66" ht="13" customHeight="1">
      <c r="A352" s="1472"/>
      <c r="B352" s="1472"/>
      <c r="C352" s="1472"/>
      <c r="D352" s="1472"/>
      <c r="E352" s="1472"/>
      <c r="F352" s="1472"/>
      <c r="G352" s="1472"/>
      <c r="H352" s="1472"/>
      <c r="I352" s="1472"/>
      <c r="J352" s="1472"/>
      <c r="K352" s="1472"/>
      <c r="L352" s="1472"/>
      <c r="M352" s="1472"/>
      <c r="N352" s="1472"/>
      <c r="O352" s="1472"/>
      <c r="P352" s="1472"/>
      <c r="Q352" s="1472"/>
      <c r="R352" s="1472"/>
      <c r="S352" s="1472"/>
      <c r="T352" s="1472"/>
      <c r="U352" s="1472"/>
      <c r="V352" s="1472"/>
      <c r="W352" s="1472"/>
      <c r="X352" s="1472"/>
      <c r="Y352" s="1472"/>
      <c r="Z352" s="1472"/>
      <c r="AA352" s="1472"/>
      <c r="AB352" s="1472"/>
      <c r="AC352" s="1472"/>
      <c r="AD352" s="1472"/>
      <c r="AE352" s="1472"/>
      <c r="AF352" s="1472"/>
      <c r="AG352" s="1472"/>
      <c r="AH352" s="1472"/>
      <c r="AI352" s="1472"/>
      <c r="AJ352" s="1472"/>
      <c r="AK352" s="1472"/>
      <c r="AL352" s="1472"/>
      <c r="AM352" s="1472"/>
      <c r="AN352" s="1472"/>
      <c r="AO352" s="1472"/>
      <c r="AP352" s="1472"/>
      <c r="AQ352" s="1472"/>
      <c r="AR352" s="1472"/>
      <c r="AS352" s="1472"/>
      <c r="AT352" s="147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339" t="s">
        <v>545</v>
      </c>
      <c r="N355" s="1339"/>
      <c r="P355" t="s">
        <v>1650</v>
      </c>
      <c r="AJ355" s="1339" t="s">
        <v>545</v>
      </c>
      <c r="AK355" s="1339"/>
    </row>
    <row r="356" spans="1:46" ht="13" customHeight="1">
      <c r="D356" s="3" t="s">
        <v>1639</v>
      </c>
      <c r="M356" s="1339" t="s">
        <v>591</v>
      </c>
      <c r="N356" s="1339"/>
      <c r="P356" s="3" t="s">
        <v>1719</v>
      </c>
      <c r="AJ356" s="1671">
        <v>0</v>
      </c>
      <c r="AK356" s="1671"/>
    </row>
    <row r="357" spans="1:46" ht="13" customHeight="1">
      <c r="D357" s="3" t="s">
        <v>704</v>
      </c>
      <c r="M357" s="1339" t="s">
        <v>591</v>
      </c>
      <c r="N357" s="1339"/>
      <c r="P357" t="s">
        <v>1649</v>
      </c>
      <c r="AJ357" s="1339" t="s">
        <v>545</v>
      </c>
      <c r="AK357" s="1339"/>
    </row>
    <row r="358" spans="1:46" ht="13" customHeight="1">
      <c r="D358" s="3" t="s">
        <v>705</v>
      </c>
      <c r="M358" s="1339" t="s">
        <v>591</v>
      </c>
      <c r="N358" s="1339"/>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9" t="s">
        <v>591</v>
      </c>
      <c r="O363" s="1339"/>
      <c r="P363" s="40"/>
      <c r="Q363" s="40"/>
      <c r="R363" s="40"/>
      <c r="S363" s="40"/>
      <c r="T363" s="40"/>
      <c r="U363" s="40"/>
      <c r="V363" s="40"/>
      <c r="W363" s="40"/>
      <c r="X363" s="40"/>
      <c r="Y363" s="40"/>
      <c r="Z363" s="40"/>
      <c r="AC363" s="40"/>
      <c r="AD363" s="40"/>
      <c r="AE363" s="40"/>
    </row>
    <row r="364" spans="1:46" ht="13" customHeight="1">
      <c r="E364" t="s">
        <v>370</v>
      </c>
      <c r="Y364" s="1339" t="s">
        <v>591</v>
      </c>
      <c r="Z364" s="1339"/>
    </row>
    <row r="365" spans="1:46" ht="13" customHeight="1">
      <c r="D365" s="4" t="s">
        <v>978</v>
      </c>
      <c r="Q365" s="1346"/>
      <c r="R365" s="1346"/>
      <c r="S365" s="1346"/>
      <c r="T365" s="1346"/>
      <c r="U365" s="1346"/>
      <c r="V365" s="1346"/>
      <c r="W365" s="1346"/>
      <c r="X365" s="1346"/>
      <c r="Y365" s="1346"/>
      <c r="Z365" s="1346"/>
      <c r="AA365" s="1346"/>
      <c r="AB365" s="1346"/>
      <c r="AC365" s="1346"/>
      <c r="AD365" s="1346"/>
      <c r="AE365" s="1346"/>
      <c r="AF365" s="1346"/>
      <c r="AG365" s="134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9" t="s">
        <v>591</v>
      </c>
      <c r="K367" s="1339"/>
      <c r="L367" s="40"/>
      <c r="M367" s="40"/>
      <c r="N367" s="40"/>
      <c r="O367" s="40"/>
      <c r="P367" s="40"/>
      <c r="Q367" s="40"/>
      <c r="R367" s="40"/>
      <c r="S367" s="40"/>
      <c r="T367" s="40"/>
      <c r="U367" s="40"/>
      <c r="V367" s="40"/>
      <c r="W367" s="40"/>
      <c r="X367" s="40"/>
      <c r="Y367" s="40"/>
      <c r="Z367" s="40"/>
      <c r="AC367" s="40"/>
      <c r="AD367" s="40"/>
      <c r="AE367" s="40"/>
    </row>
    <row r="368" spans="1:46" ht="13" customHeight="1">
      <c r="E368" s="1461" t="s">
        <v>706</v>
      </c>
      <c r="F368" s="1461"/>
      <c r="G368" s="1461"/>
      <c r="H368" s="1461"/>
      <c r="I368" s="1461"/>
      <c r="J368" s="1461"/>
      <c r="K368" s="1461"/>
      <c r="L368" s="1461"/>
      <c r="M368" s="1461"/>
      <c r="N368" s="1461"/>
      <c r="O368" s="1461"/>
      <c r="P368" s="1461"/>
      <c r="Q368" s="1461"/>
      <c r="R368" s="1461"/>
      <c r="S368" s="1461"/>
      <c r="T368" s="1461"/>
      <c r="U368" s="1461"/>
      <c r="V368" s="1461"/>
      <c r="W368" s="1461"/>
      <c r="X368" s="1461"/>
      <c r="Y368" s="1461"/>
      <c r="Z368" s="1461"/>
      <c r="AA368" s="1461"/>
      <c r="AB368" s="1461"/>
      <c r="AC368" s="1461"/>
      <c r="AD368" s="1461"/>
      <c r="AE368" s="1461"/>
      <c r="AF368" s="1461"/>
      <c r="AG368" s="1461"/>
      <c r="AH368" s="1461"/>
    </row>
    <row r="369" spans="1:34" ht="13" customHeight="1">
      <c r="E369" s="1461"/>
      <c r="F369" s="1461"/>
      <c r="G369" s="1461"/>
      <c r="H369" s="1461"/>
      <c r="I369" s="1461"/>
      <c r="J369" s="1461"/>
      <c r="K369" s="1461"/>
      <c r="L369" s="1461"/>
      <c r="M369" s="1461"/>
      <c r="N369" s="1461"/>
      <c r="O369" s="1461"/>
      <c r="P369" s="1461"/>
      <c r="Q369" s="1461"/>
      <c r="R369" s="1461"/>
      <c r="S369" s="1461"/>
      <c r="T369" s="1461"/>
      <c r="U369" s="1461"/>
      <c r="V369" s="1461"/>
      <c r="W369" s="1461"/>
      <c r="X369" s="1461"/>
      <c r="Y369" s="1461"/>
      <c r="Z369" s="1461"/>
      <c r="AA369" s="1461"/>
      <c r="AB369" s="1461"/>
      <c r="AC369" s="1461"/>
      <c r="AD369" s="1461"/>
      <c r="AE369" s="1461"/>
      <c r="AF369" s="1461"/>
      <c r="AG369" s="1461"/>
      <c r="AH369" s="1461"/>
    </row>
    <row r="370" spans="1:34" ht="13" customHeight="1">
      <c r="E370" s="4" t="s">
        <v>448</v>
      </c>
      <c r="F370" s="4"/>
      <c r="G370" s="4"/>
      <c r="H370" s="4"/>
      <c r="I370" s="4"/>
      <c r="J370" s="4"/>
      <c r="K370" s="4"/>
      <c r="L370" s="4"/>
      <c r="N370" s="1739"/>
      <c r="O370" s="1739"/>
      <c r="P370" s="1739"/>
      <c r="Q370" s="1739"/>
      <c r="R370" s="4"/>
      <c r="U370" s="4" t="s">
        <v>449</v>
      </c>
      <c r="V370" s="4"/>
      <c r="W370" s="4"/>
      <c r="X370" s="4"/>
      <c r="Y370" s="4"/>
      <c r="Z370" s="4"/>
      <c r="AA370" s="4"/>
      <c r="AB370" s="4"/>
      <c r="AC370" s="1739"/>
      <c r="AD370" s="1739"/>
      <c r="AE370" s="1739"/>
      <c r="AF370" s="1739"/>
    </row>
    <row r="371" spans="1:34" ht="13" customHeight="1">
      <c r="E371" s="4" t="s">
        <v>450</v>
      </c>
      <c r="F371" s="4"/>
      <c r="G371" s="4"/>
      <c r="H371" s="4"/>
      <c r="I371" s="4"/>
      <c r="J371" s="4"/>
      <c r="K371" s="4"/>
      <c r="L371" s="4"/>
      <c r="N371" s="1739"/>
      <c r="O371" s="1739"/>
      <c r="P371" s="1739"/>
      <c r="Q371" s="1739"/>
      <c r="R371" s="4"/>
      <c r="U371" s="4" t="s">
        <v>0</v>
      </c>
      <c r="V371" s="4"/>
      <c r="W371" s="4"/>
      <c r="X371" s="4"/>
      <c r="Y371" s="4"/>
      <c r="Z371" s="4"/>
      <c r="AA371" s="4"/>
      <c r="AB371" s="4"/>
      <c r="AC371" s="1739"/>
      <c r="AD371" s="1739"/>
      <c r="AE371" s="1739"/>
      <c r="AF371" s="1739"/>
    </row>
    <row r="372" spans="1:34" ht="13" customHeight="1">
      <c r="E372" s="4" t="s">
        <v>1</v>
      </c>
      <c r="F372" s="4"/>
      <c r="G372" s="4"/>
      <c r="H372" s="4"/>
      <c r="I372" s="4"/>
      <c r="J372" s="4"/>
      <c r="K372" s="4"/>
      <c r="L372" s="4"/>
      <c r="N372" s="1739"/>
      <c r="O372" s="1739"/>
      <c r="P372" s="1739"/>
      <c r="Q372" s="1739"/>
      <c r="R372" s="4"/>
      <c r="V372" s="4"/>
      <c r="W372" s="4"/>
      <c r="X372" s="4"/>
      <c r="Y372" s="4"/>
      <c r="Z372" s="4"/>
      <c r="AA372" s="4"/>
      <c r="AB372" s="4"/>
    </row>
    <row r="373" spans="1:34" ht="13" customHeight="1">
      <c r="E373" s="4" t="s">
        <v>2</v>
      </c>
      <c r="F373" s="4"/>
      <c r="G373" s="4"/>
      <c r="H373" s="4"/>
      <c r="I373" s="4"/>
      <c r="J373" s="4"/>
      <c r="K373" s="4"/>
      <c r="L373" s="4"/>
      <c r="N373" s="1838"/>
      <c r="O373" s="1838"/>
      <c r="P373" s="1838"/>
      <c r="Q373" s="1838"/>
      <c r="R373" s="1838"/>
      <c r="S373" s="1838"/>
      <c r="T373" s="1838"/>
      <c r="U373" s="1838"/>
      <c r="V373" s="1838"/>
      <c r="W373" s="1838"/>
      <c r="X373" s="1838"/>
      <c r="Y373" s="1838"/>
      <c r="Z373" s="1838"/>
      <c r="AA373" s="1838"/>
      <c r="AB373" s="1838"/>
      <c r="AC373" s="1838"/>
      <c r="AD373" s="1838"/>
      <c r="AE373" s="1838"/>
      <c r="AF373" s="1838"/>
    </row>
    <row r="374" spans="1:34" ht="13" customHeight="1">
      <c r="E374" s="4"/>
      <c r="F374" s="4"/>
      <c r="G374" s="4"/>
      <c r="H374" s="4"/>
      <c r="I374" s="4"/>
      <c r="J374" s="4"/>
      <c r="K374" s="4"/>
      <c r="L374" s="4"/>
      <c r="N374" s="1839"/>
      <c r="O374" s="1839"/>
      <c r="P374" s="1839"/>
      <c r="Q374" s="1839"/>
      <c r="R374" s="1839"/>
      <c r="S374" s="1839"/>
      <c r="T374" s="1839"/>
      <c r="U374" s="1839"/>
      <c r="V374" s="1839"/>
      <c r="W374" s="1839"/>
      <c r="X374" s="1839"/>
      <c r="Y374" s="1839"/>
      <c r="Z374" s="1839"/>
      <c r="AA374" s="1839"/>
      <c r="AB374" s="1839"/>
      <c r="AC374" s="1839"/>
      <c r="AD374" s="1839"/>
      <c r="AE374" s="1839"/>
      <c r="AF374" s="1839"/>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786"/>
      <c r="T377" s="1786"/>
      <c r="U377" s="1" t="s">
        <v>306</v>
      </c>
      <c r="V377" s="1786"/>
      <c r="W377" s="1786"/>
      <c r="Y377" t="s">
        <v>2079</v>
      </c>
      <c r="AC377" s="27" t="s">
        <v>305</v>
      </c>
      <c r="AD377" s="1786"/>
      <c r="AE377" s="1786"/>
      <c r="AF377" s="1" t="s">
        <v>306</v>
      </c>
      <c r="AG377" s="1786"/>
      <c r="AH377" s="1786"/>
    </row>
    <row r="378" spans="1:34" ht="13" customHeight="1">
      <c r="E378" s="4" t="s">
        <v>987</v>
      </c>
      <c r="F378" s="4"/>
      <c r="G378" s="4"/>
      <c r="H378" s="4"/>
      <c r="I378" s="4"/>
      <c r="J378" s="4"/>
      <c r="K378" s="4"/>
      <c r="L378" s="4"/>
      <c r="N378" s="1786"/>
      <c r="O378" s="1786"/>
      <c r="P378" s="1786"/>
    </row>
    <row r="379" spans="1:34" ht="13" customHeight="1">
      <c r="E379" s="204" t="s">
        <v>2085</v>
      </c>
      <c r="F379" s="4"/>
      <c r="G379" s="4"/>
      <c r="H379" s="4"/>
      <c r="I379" s="4"/>
      <c r="J379" s="4"/>
      <c r="K379" s="4"/>
      <c r="L379" s="4"/>
      <c r="AG379" s="1805" t="s">
        <v>591</v>
      </c>
      <c r="AH379" s="1805"/>
    </row>
    <row r="380" spans="1:34" ht="13" customHeight="1">
      <c r="E380" s="4"/>
      <c r="F380" s="4"/>
      <c r="G380" s="4" t="s">
        <v>2086</v>
      </c>
      <c r="H380" s="4"/>
      <c r="I380" s="4"/>
      <c r="J380" s="4"/>
      <c r="K380" s="4"/>
      <c r="L380" s="4"/>
      <c r="AG380" s="1805" t="s">
        <v>591</v>
      </c>
      <c r="AH380" s="1805"/>
    </row>
    <row r="381" spans="1:34" ht="13" customHeight="1">
      <c r="E381" s="4"/>
      <c r="F381" s="4"/>
      <c r="G381" s="320" t="s">
        <v>988</v>
      </c>
      <c r="H381" s="4"/>
      <c r="I381" s="4"/>
      <c r="J381" s="4"/>
      <c r="K381" s="4"/>
      <c r="L381" s="4"/>
      <c r="V381" s="1339" t="s">
        <v>591</v>
      </c>
      <c r="W381" s="1339"/>
      <c r="Y381" s="22" t="s">
        <v>980</v>
      </c>
    </row>
    <row r="382" spans="1:34" ht="13" customHeight="1">
      <c r="E382" s="4" t="s">
        <v>981</v>
      </c>
      <c r="F382" s="4"/>
      <c r="G382" s="4"/>
      <c r="H382" s="4"/>
      <c r="I382" s="4"/>
      <c r="J382" s="4"/>
      <c r="K382" s="4"/>
      <c r="L382" s="4"/>
      <c r="V382" s="1339" t="s">
        <v>591</v>
      </c>
      <c r="W382" s="1339"/>
      <c r="Y382" s="4" t="s">
        <v>982</v>
      </c>
    </row>
    <row r="383" spans="1:34" ht="13" customHeight="1"/>
    <row r="384" spans="1:34" ht="13" customHeight="1">
      <c r="A384" s="2" t="s">
        <v>78</v>
      </c>
      <c r="B384" s="2"/>
    </row>
    <row r="385" spans="4:36" ht="13" customHeight="1">
      <c r="D385" t="s">
        <v>428</v>
      </c>
      <c r="J385" s="1345" t="s">
        <v>2706</v>
      </c>
      <c r="K385" s="1346"/>
      <c r="L385" s="1346"/>
      <c r="M385" s="1346"/>
      <c r="N385" s="1346"/>
      <c r="O385" s="1346"/>
      <c r="P385" s="1346"/>
      <c r="Q385" s="1346"/>
      <c r="R385" s="1346"/>
      <c r="S385" s="1346"/>
      <c r="T385" s="1346"/>
      <c r="U385" s="1346"/>
      <c r="V385" s="8" t="s">
        <v>83</v>
      </c>
      <c r="W385" s="8"/>
      <c r="X385" s="8"/>
      <c r="Y385" s="8"/>
      <c r="Z385" s="8"/>
      <c r="AA385" s="8"/>
      <c r="AB385" s="8"/>
      <c r="AC385" s="1345" t="s">
        <v>2708</v>
      </c>
      <c r="AD385" s="1346"/>
      <c r="AE385" s="1346"/>
      <c r="AF385" s="1346"/>
      <c r="AG385" s="1346"/>
      <c r="AH385" s="1346"/>
      <c r="AI385" s="1346"/>
      <c r="AJ385" s="1346"/>
    </row>
    <row r="386" spans="4:36" ht="13" customHeight="1">
      <c r="D386" s="3" t="s">
        <v>1182</v>
      </c>
      <c r="J386" s="1554" t="s">
        <v>2706</v>
      </c>
      <c r="K386" s="1356"/>
      <c r="L386" s="1356"/>
      <c r="M386" s="1356"/>
      <c r="N386" s="1356"/>
      <c r="O386" s="1356"/>
      <c r="P386" s="1356"/>
      <c r="Q386" s="1356"/>
      <c r="R386" s="1356"/>
      <c r="S386" s="1356"/>
      <c r="T386" s="1356"/>
      <c r="U386" s="1356"/>
      <c r="V386" s="3" t="s">
        <v>1182</v>
      </c>
      <c r="W386" s="8"/>
      <c r="X386" s="8"/>
      <c r="Y386" s="8"/>
      <c r="Z386" s="8"/>
      <c r="AA386" s="8"/>
      <c r="AB386" s="8"/>
      <c r="AC386" s="1346" t="s">
        <v>2708</v>
      </c>
      <c r="AD386" s="1346"/>
      <c r="AE386" s="1346"/>
      <c r="AF386" s="1346"/>
      <c r="AG386" s="1346"/>
      <c r="AH386" s="1346"/>
      <c r="AI386" s="1346"/>
      <c r="AJ386" s="1346"/>
    </row>
    <row r="387" spans="4:36" ht="13" customHeight="1">
      <c r="D387" s="3" t="s">
        <v>441</v>
      </c>
      <c r="J387" s="1554" t="s">
        <v>2707</v>
      </c>
      <c r="K387" s="1356"/>
      <c r="L387" s="1356"/>
      <c r="M387" s="1356"/>
      <c r="N387" s="1356"/>
      <c r="O387" s="1356"/>
      <c r="P387" s="1356"/>
      <c r="Q387" s="1356"/>
      <c r="R387" s="1356"/>
      <c r="S387" s="1356"/>
      <c r="T387" s="1356"/>
      <c r="U387" s="1356"/>
      <c r="V387" s="3" t="s">
        <v>441</v>
      </c>
      <c r="W387" s="8"/>
      <c r="X387" s="8"/>
      <c r="Y387" s="8"/>
      <c r="Z387" s="8"/>
      <c r="AA387" s="8"/>
      <c r="AB387" s="8"/>
      <c r="AC387" s="1346" t="s">
        <v>2707</v>
      </c>
      <c r="AD387" s="1346"/>
      <c r="AE387" s="1346"/>
      <c r="AF387" s="1346"/>
      <c r="AG387" s="1346"/>
      <c r="AH387" s="1346"/>
      <c r="AI387" s="1346"/>
      <c r="AJ387" s="1346"/>
    </row>
    <row r="388" spans="4:36" ht="13" customHeight="1">
      <c r="D388" t="s">
        <v>1178</v>
      </c>
      <c r="J388" s="1830" t="s">
        <v>2724</v>
      </c>
      <c r="K388" s="1403"/>
      <c r="L388" s="1403"/>
      <c r="M388" s="1403"/>
      <c r="N388" s="1403"/>
      <c r="O388" s="1403"/>
      <c r="P388" s="1403"/>
      <c r="Q388" s="1403"/>
      <c r="R388" s="1403"/>
      <c r="S388" s="1403"/>
      <c r="T388" s="1403"/>
      <c r="U388" s="1403"/>
      <c r="V388" s="1346"/>
      <c r="W388" s="1346"/>
      <c r="X388" s="1346"/>
      <c r="Y388" s="1346"/>
      <c r="Z388" s="1346"/>
      <c r="AA388" s="1346"/>
      <c r="AB388" s="1346"/>
      <c r="AC388" s="1346"/>
      <c r="AD388" s="1346"/>
      <c r="AE388" s="1346"/>
      <c r="AF388" s="1346"/>
      <c r="AG388" s="1346"/>
      <c r="AH388" s="1346"/>
      <c r="AI388" s="1346"/>
      <c r="AJ388" s="1346"/>
    </row>
    <row r="389" spans="4:36" ht="13" customHeight="1">
      <c r="D389" t="s">
        <v>4</v>
      </c>
      <c r="Q389" s="1831">
        <v>45706</v>
      </c>
      <c r="R389" s="1831"/>
      <c r="S389" s="1831"/>
      <c r="T389" s="1831"/>
      <c r="U389" s="1831"/>
      <c r="V389" t="s">
        <v>309</v>
      </c>
      <c r="AI389" s="1339" t="s">
        <v>669</v>
      </c>
      <c r="AJ389" s="1339"/>
    </row>
    <row r="390" spans="4:36" ht="13" customHeight="1">
      <c r="D390" t="s">
        <v>5</v>
      </c>
      <c r="Q390" s="1542">
        <v>46096</v>
      </c>
      <c r="R390" s="1845"/>
      <c r="S390" s="1845"/>
      <c r="T390" s="1845"/>
      <c r="U390" s="1845"/>
      <c r="W390" s="21" t="s">
        <v>74</v>
      </c>
      <c r="AG390" s="1827"/>
      <c r="AH390" s="1827"/>
      <c r="AI390" s="1827"/>
      <c r="AJ390" s="1827"/>
    </row>
    <row r="391" spans="4:36" ht="13" customHeight="1">
      <c r="D391" t="s">
        <v>427</v>
      </c>
      <c r="Q391" s="1828">
        <v>3575000</v>
      </c>
      <c r="R391" s="1828"/>
      <c r="S391" s="1828"/>
      <c r="T391" s="1828"/>
      <c r="U391" s="1828"/>
      <c r="V391" s="3" t="s">
        <v>1181</v>
      </c>
      <c r="AG391" s="1833">
        <v>46096</v>
      </c>
      <c r="AH391" s="1833"/>
      <c r="AI391" s="1833"/>
      <c r="AJ391" s="1833"/>
    </row>
    <row r="392" spans="4:36" ht="13" customHeight="1">
      <c r="D392" t="s">
        <v>88</v>
      </c>
      <c r="I392" s="1473"/>
      <c r="J392" s="1473"/>
      <c r="K392" s="1473"/>
      <c r="L392" s="1473"/>
      <c r="M392" s="1473"/>
      <c r="N392" s="1473"/>
      <c r="Q392" s="4" t="s">
        <v>206</v>
      </c>
      <c r="S392" s="1826"/>
      <c r="T392" s="1826"/>
      <c r="U392" s="1826"/>
      <c r="V392" t="s">
        <v>73</v>
      </c>
      <c r="AI392" s="1339" t="s">
        <v>669</v>
      </c>
      <c r="AJ392" s="1339"/>
    </row>
    <row r="393" spans="4:36" ht="13" customHeight="1">
      <c r="D393" t="s">
        <v>310</v>
      </c>
      <c r="Q393" s="1437"/>
      <c r="R393" s="1437"/>
      <c r="S393" s="1437"/>
      <c r="T393" s="1437"/>
      <c r="U393" s="1437"/>
      <c r="V393" t="s">
        <v>311</v>
      </c>
      <c r="AG393" s="1832" t="s">
        <v>591</v>
      </c>
      <c r="AH393" s="1827"/>
      <c r="AI393" s="1827"/>
      <c r="AJ393" s="1827"/>
    </row>
    <row r="394" spans="4:36" ht="13" customHeight="1">
      <c r="D394" t="s">
        <v>312</v>
      </c>
      <c r="Q394" s="1778"/>
      <c r="R394" s="1778"/>
      <c r="S394" s="1778"/>
      <c r="T394" s="1778"/>
      <c r="U394" s="1778"/>
      <c r="V394" t="s">
        <v>1163</v>
      </c>
      <c r="AG394" s="1827"/>
      <c r="AH394" s="1827"/>
      <c r="AI394" s="1827"/>
      <c r="AJ394" s="1827"/>
    </row>
    <row r="395" spans="4:36" ht="13" customHeight="1">
      <c r="D395" t="s">
        <v>1162</v>
      </c>
      <c r="AG395" s="1827"/>
      <c r="AH395" s="1827"/>
      <c r="AI395" s="1827"/>
      <c r="AJ395" s="1827"/>
    </row>
    <row r="396" spans="4:36" ht="13" customHeight="1">
      <c r="AG396" s="456"/>
      <c r="AH396" s="456"/>
      <c r="AI396" s="456"/>
      <c r="AJ396" s="456"/>
    </row>
    <row r="397" spans="4:36" ht="13" customHeight="1">
      <c r="D397" s="3" t="s">
        <v>2142</v>
      </c>
      <c r="AG397" s="456"/>
      <c r="AH397" s="456"/>
      <c r="AI397" s="1339" t="s">
        <v>669</v>
      </c>
      <c r="AJ397" s="1339"/>
    </row>
    <row r="398" spans="4:36" ht="13" customHeight="1">
      <c r="D398" s="3" t="s">
        <v>1667</v>
      </c>
      <c r="T398" s="1772"/>
      <c r="U398" s="1772"/>
      <c r="V398" s="1772"/>
      <c r="W398" s="1772"/>
      <c r="X398" s="1772"/>
      <c r="Y398" s="1772"/>
      <c r="Z398" s="1772"/>
      <c r="AA398" s="1772"/>
      <c r="AB398" s="1772"/>
      <c r="AC398" s="1772"/>
      <c r="AD398" s="1772"/>
      <c r="AE398" s="1772"/>
      <c r="AF398" s="1772"/>
      <c r="AG398" s="1772"/>
      <c r="AH398" s="1772"/>
      <c r="AI398" s="1772"/>
      <c r="AJ398" s="1772"/>
    </row>
    <row r="399" spans="4:36" ht="13" customHeight="1">
      <c r="D399" s="3" t="s">
        <v>1666</v>
      </c>
      <c r="T399" s="1772"/>
      <c r="U399" s="1772"/>
      <c r="V399" s="1772"/>
      <c r="W399" s="1772"/>
      <c r="X399" s="1772"/>
      <c r="Y399" s="1772"/>
      <c r="Z399" s="1772"/>
      <c r="AA399" s="1772"/>
      <c r="AB399" s="1772"/>
      <c r="AC399" s="1772"/>
      <c r="AD399" s="1772"/>
      <c r="AE399" s="1772"/>
      <c r="AF399" s="1772"/>
      <c r="AG399" s="1772"/>
      <c r="AH399" s="1772"/>
      <c r="AI399" s="1772"/>
      <c r="AJ399" s="1772"/>
    </row>
    <row r="400" spans="4:36" ht="13" customHeight="1">
      <c r="AG400" s="456"/>
      <c r="AH400" s="456"/>
      <c r="AI400" s="456"/>
      <c r="AJ400" s="456"/>
    </row>
    <row r="401" spans="1:36" ht="13" customHeight="1">
      <c r="D401" s="3" t="s">
        <v>1660</v>
      </c>
      <c r="S401" s="1772" t="s">
        <v>669</v>
      </c>
      <c r="T401" s="1772"/>
      <c r="U401" s="1772"/>
      <c r="V401" t="s">
        <v>1661</v>
      </c>
      <c r="AG401" s="1846"/>
      <c r="AH401" s="1846"/>
      <c r="AI401" s="1846"/>
      <c r="AJ401" s="1846"/>
    </row>
    <row r="402" spans="1:36" ht="13" customHeight="1">
      <c r="D402" s="3" t="s">
        <v>1658</v>
      </c>
      <c r="S402" s="1772" t="s">
        <v>591</v>
      </c>
      <c r="T402" s="1772"/>
      <c r="U402" s="1772"/>
      <c r="V402" t="s">
        <v>1663</v>
      </c>
      <c r="AE402" s="1783"/>
      <c r="AF402" s="1783"/>
      <c r="AG402" s="1783"/>
      <c r="AH402" s="1783"/>
      <c r="AI402" s="1783"/>
      <c r="AJ402" s="1783"/>
    </row>
    <row r="403" spans="1:36" ht="13" customHeight="1">
      <c r="D403" s="3" t="s">
        <v>1659</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3" customHeight="1">
      <c r="D404" s="3" t="s">
        <v>1662</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3" customHeight="1">
      <c r="D405" s="3" t="s">
        <v>1665</v>
      </c>
      <c r="E405" s="477"/>
      <c r="F405" s="477"/>
      <c r="G405" s="477"/>
      <c r="H405" s="477"/>
      <c r="I405" s="477"/>
      <c r="J405" s="477"/>
      <c r="K405" s="477"/>
      <c r="L405" s="477"/>
      <c r="M405" s="477"/>
      <c r="N405" s="477"/>
      <c r="O405" s="477"/>
      <c r="P405" s="477"/>
      <c r="Q405" s="477"/>
      <c r="R405" s="477"/>
      <c r="S405" s="1825" t="s">
        <v>1184</v>
      </c>
      <c r="T405" s="1825"/>
      <c r="U405" s="1825"/>
      <c r="V405" s="1825"/>
      <c r="W405" s="1825"/>
      <c r="X405" s="1825"/>
      <c r="Y405" s="1825"/>
      <c r="Z405" s="1825"/>
      <c r="AA405" s="1825"/>
      <c r="AB405" s="1825"/>
      <c r="AC405" s="1825"/>
      <c r="AD405" s="1825"/>
      <c r="AE405" s="1825"/>
      <c r="AF405" s="1825"/>
      <c r="AG405" s="1825"/>
      <c r="AH405" s="1825"/>
      <c r="AI405" s="1825"/>
      <c r="AJ405" s="1825"/>
    </row>
    <row r="406" spans="1:36" ht="13" customHeight="1">
      <c r="D406" s="1273" t="s">
        <v>1664</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345" t="s">
        <v>2655</v>
      </c>
      <c r="J410" s="1345"/>
      <c r="K410" s="1345"/>
      <c r="L410" s="1345"/>
      <c r="M410" s="1345"/>
      <c r="N410" s="1345"/>
      <c r="O410" s="1345"/>
      <c r="P410" s="1345"/>
      <c r="Q410" s="1345"/>
      <c r="R410" s="1345"/>
      <c r="S410" s="1345"/>
      <c r="T410" s="1345"/>
      <c r="U410" s="1345"/>
      <c r="V410" s="1345"/>
      <c r="W410" s="1345"/>
      <c r="X410" s="1345"/>
      <c r="Y410" s="1345"/>
      <c r="Z410" s="1345"/>
      <c r="AA410" s="1345"/>
      <c r="AB410" s="1345"/>
      <c r="AC410" s="1345"/>
      <c r="AD410" s="1345"/>
      <c r="AE410" s="1345"/>
    </row>
    <row r="411" spans="1:36" ht="13" customHeight="1">
      <c r="E411" t="s">
        <v>106</v>
      </c>
      <c r="R411" s="1339" t="s">
        <v>545</v>
      </c>
      <c r="S411" s="1339"/>
      <c r="AC411" s="27" t="s">
        <v>570</v>
      </c>
      <c r="AD411" s="1739">
        <v>7</v>
      </c>
      <c r="AE411" s="1739"/>
    </row>
    <row r="412" spans="1:36" ht="13" customHeight="1">
      <c r="E412" t="s">
        <v>107</v>
      </c>
      <c r="R412" s="1339" t="s">
        <v>591</v>
      </c>
      <c r="S412" s="1339"/>
      <c r="AC412" s="27" t="s">
        <v>570</v>
      </c>
      <c r="AD412" s="1739"/>
      <c r="AE412" s="1739"/>
    </row>
    <row r="413" spans="1:36" ht="13" customHeight="1">
      <c r="E413" t="s">
        <v>108</v>
      </c>
      <c r="S413" s="1339" t="s">
        <v>591</v>
      </c>
      <c r="T413" s="1339"/>
    </row>
    <row r="414" spans="1:36" ht="13" customHeight="1">
      <c r="E414" t="s">
        <v>170</v>
      </c>
      <c r="H414" s="1779" t="s">
        <v>2656</v>
      </c>
      <c r="I414" s="1779"/>
      <c r="J414" s="1779"/>
      <c r="K414" s="1779"/>
      <c r="L414" s="1779"/>
      <c r="M414" s="1779"/>
      <c r="N414" s="1779"/>
      <c r="O414" s="1779"/>
      <c r="P414" s="1779"/>
      <c r="Q414" s="1779"/>
      <c r="R414" s="1779"/>
      <c r="S414" s="1779"/>
      <c r="T414" s="1779"/>
      <c r="U414" s="1779"/>
      <c r="V414" s="1779"/>
      <c r="W414" s="1779"/>
      <c r="X414" s="1779"/>
      <c r="Y414" s="1779"/>
      <c r="Z414" s="1779"/>
      <c r="AA414" s="1779"/>
      <c r="AB414" s="1779"/>
      <c r="AC414" s="1779"/>
      <c r="AD414" s="1779"/>
      <c r="AE414" s="1779"/>
    </row>
    <row r="415" spans="1:36" ht="13" customHeight="1">
      <c r="H415" s="1780"/>
      <c r="I415" s="1780"/>
      <c r="J415" s="1780"/>
      <c r="K415" s="1780"/>
      <c r="L415" s="1780"/>
      <c r="M415" s="1780"/>
      <c r="N415" s="1780"/>
      <c r="O415" s="1780"/>
      <c r="P415" s="1780"/>
      <c r="Q415" s="1780"/>
      <c r="R415" s="1780"/>
      <c r="S415" s="1780"/>
      <c r="T415" s="1780"/>
      <c r="U415" s="1780"/>
      <c r="V415" s="1780"/>
      <c r="W415" s="1780"/>
      <c r="X415" s="1780"/>
      <c r="Y415" s="1780"/>
      <c r="Z415" s="1780"/>
      <c r="AA415" s="1780"/>
      <c r="AB415" s="1780"/>
      <c r="AC415" s="1780"/>
      <c r="AD415" s="1780"/>
      <c r="AE415" s="1780"/>
    </row>
    <row r="416" spans="1:36" ht="13" customHeight="1"/>
    <row r="417" spans="1:39" ht="13" customHeight="1">
      <c r="A417" s="2" t="s">
        <v>590</v>
      </c>
      <c r="B417" s="2"/>
      <c r="C417" s="2"/>
      <c r="D417" s="2" t="s">
        <v>114</v>
      </c>
      <c r="AF417" s="2" t="s">
        <v>957</v>
      </c>
    </row>
    <row r="418" spans="1:39" ht="13" customHeight="1">
      <c r="E418" s="1786"/>
      <c r="F418" s="1786"/>
      <c r="G418" s="1786"/>
      <c r="H418" s="13" t="s">
        <v>115</v>
      </c>
      <c r="I418" s="1786"/>
      <c r="J418" s="1786"/>
      <c r="K418" s="1786"/>
      <c r="L418" t="s">
        <v>116</v>
      </c>
      <c r="N418" s="27" t="s">
        <v>575</v>
      </c>
      <c r="P418" s="1836">
        <v>0.3</v>
      </c>
      <c r="Q418" s="1836"/>
      <c r="R418" s="1836"/>
      <c r="S418" t="s">
        <v>117</v>
      </c>
      <c r="W418" s="1834">
        <f>IF(E418&gt;0,(E418*I418),(P418*43560))</f>
        <v>13068</v>
      </c>
      <c r="X418" s="1834"/>
      <c r="Y418" s="1834"/>
      <c r="Z418" t="s">
        <v>118</v>
      </c>
      <c r="AF418" s="1837">
        <f>IFERROR(IF(P418&gt;0,(AG437/P418),(AG437/(W418/43560))),0)</f>
        <v>150</v>
      </c>
      <c r="AG418" s="1837"/>
      <c r="AH418" s="1837"/>
      <c r="AM418" s="3"/>
    </row>
    <row r="419" spans="1:39" ht="13" customHeight="1">
      <c r="E419" t="s">
        <v>51</v>
      </c>
    </row>
    <row r="420" spans="1:39" ht="13" customHeight="1">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c r="AF420" s="1844"/>
      <c r="AG420" s="1844"/>
      <c r="AH420" s="1844"/>
      <c r="AI420" s="1844"/>
      <c r="AJ420" s="1844"/>
    </row>
    <row r="421" spans="1:39" ht="13" customHeight="1">
      <c r="E421" s="118" t="s">
        <v>1736</v>
      </c>
      <c r="F421" s="1013"/>
      <c r="G421" s="1013"/>
      <c r="H421" s="1013"/>
      <c r="I421" s="1835">
        <v>0.3</v>
      </c>
      <c r="J421" s="1835"/>
      <c r="K421" s="1835"/>
      <c r="L421" s="1013"/>
      <c r="M421" s="118"/>
      <c r="N421" s="1013"/>
      <c r="O421" s="1013"/>
      <c r="P421" s="1781">
        <f>(DU755+DU778+DU800)/I421</f>
        <v>310</v>
      </c>
      <c r="Q421" s="1781"/>
      <c r="R421" s="178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9">
        <v>1</v>
      </c>
      <c r="Q424" s="1339"/>
      <c r="S424" t="s">
        <v>189</v>
      </c>
      <c r="AE424" s="1339">
        <v>1</v>
      </c>
      <c r="AF424" s="1339"/>
    </row>
    <row r="425" spans="1:39" ht="13" customHeight="1">
      <c r="E425" t="s">
        <v>190</v>
      </c>
      <c r="P425" s="1339">
        <v>0</v>
      </c>
      <c r="Q425" s="1339"/>
      <c r="S425" t="s">
        <v>131</v>
      </c>
      <c r="AE425" s="1339" t="s">
        <v>591</v>
      </c>
      <c r="AF425" s="1339"/>
    </row>
    <row r="426" spans="1:39" ht="13" customHeight="1">
      <c r="F426" s="28" t="s">
        <v>132</v>
      </c>
    </row>
    <row r="427" spans="1:39" ht="13" customHeight="1">
      <c r="F427" s="1816"/>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3" customHeight="1">
      <c r="F428" s="1760"/>
      <c r="G428" s="1760"/>
      <c r="H428" s="1760"/>
      <c r="I428" s="1760"/>
      <c r="J428" s="1760"/>
      <c r="K428" s="1760"/>
      <c r="L428" s="1760"/>
      <c r="M428" s="1760"/>
      <c r="N428" s="1760"/>
      <c r="O428" s="1760"/>
      <c r="P428" s="1760"/>
      <c r="Q428" s="1760"/>
      <c r="R428" s="1760"/>
      <c r="S428" s="1760"/>
      <c r="T428" s="1760"/>
      <c r="U428" s="1760"/>
      <c r="V428" s="1760"/>
      <c r="W428" s="1760"/>
      <c r="X428" s="1760"/>
      <c r="Y428" s="1760"/>
      <c r="Z428" s="1760"/>
      <c r="AA428" s="1760"/>
      <c r="AB428" s="1760"/>
      <c r="AC428" s="1760"/>
      <c r="AD428" s="1760"/>
      <c r="AE428" s="1760"/>
      <c r="AF428" s="1760"/>
      <c r="AG428" s="1760"/>
      <c r="AH428" s="1760"/>
    </row>
    <row r="429" spans="1:39" ht="13" customHeight="1">
      <c r="E429" t="s">
        <v>608</v>
      </c>
      <c r="P429" s="1"/>
      <c r="Q429" s="1339" t="s">
        <v>545</v>
      </c>
      <c r="R429" s="1339"/>
    </row>
    <row r="430" spans="1:39" ht="13" customHeight="1">
      <c r="F430" t="s">
        <v>609</v>
      </c>
      <c r="P430" s="1"/>
      <c r="Q430" s="1"/>
      <c r="AF430" s="1339" t="s">
        <v>591</v>
      </c>
      <c r="AG430" s="1829"/>
    </row>
    <row r="431" spans="1:39" ht="13" customHeight="1"/>
    <row r="432" spans="1:39" ht="13" customHeight="1">
      <c r="A432" s="2"/>
      <c r="B432" s="2"/>
      <c r="C432" s="2"/>
      <c r="E432" s="4" t="s">
        <v>308</v>
      </c>
      <c r="Z432" s="1339" t="s">
        <v>669</v>
      </c>
      <c r="AA432" s="1339"/>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9" t="s">
        <v>591</v>
      </c>
      <c r="AA434" s="1339"/>
    </row>
    <row r="435" spans="1:55" ht="13" customHeight="1"/>
    <row r="436" spans="1:55" ht="13" customHeight="1">
      <c r="A436" s="2" t="s">
        <v>467</v>
      </c>
      <c r="B436" s="2"/>
      <c r="C436" s="2"/>
      <c r="D436" s="2" t="s">
        <v>764</v>
      </c>
      <c r="AF436" s="48"/>
    </row>
    <row r="437" spans="1:55" ht="13" customHeight="1">
      <c r="D437" s="1629" t="s">
        <v>43</v>
      </c>
      <c r="E437" s="1630"/>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782"/>
      <c r="AG437" s="1775">
        <v>45</v>
      </c>
      <c r="AH437" s="1775"/>
      <c r="AI437" s="1775"/>
      <c r="AJ437" s="1775"/>
    </row>
    <row r="438" spans="1:55" ht="13"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61">
        <v>0</v>
      </c>
      <c r="AH438" s="1613"/>
      <c r="AI438" s="1613"/>
      <c r="AJ438" s="1613"/>
    </row>
    <row r="439" spans="1:55" ht="13"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775">
        <v>44</v>
      </c>
      <c r="AH439" s="1775"/>
      <c r="AI439" s="1775"/>
      <c r="AJ439" s="1775"/>
    </row>
    <row r="440" spans="1:55" ht="13"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775">
        <v>44</v>
      </c>
      <c r="AH440" s="1775"/>
      <c r="AI440" s="1775"/>
      <c r="AJ440" s="1775"/>
    </row>
    <row r="441" spans="1:55" ht="13"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40">
        <f>IF(ISERROR(AG440/AG439),0,AG440/AG439)</f>
        <v>1</v>
      </c>
      <c r="AH441" s="1840"/>
      <c r="AI441" s="1840"/>
      <c r="AJ441" s="1840"/>
    </row>
    <row r="442" spans="1:55" ht="13"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748">
        <f>36655-1118</f>
        <v>35537</v>
      </c>
      <c r="AH442" s="1748"/>
      <c r="AI442" s="1748"/>
      <c r="AJ442" s="1748"/>
    </row>
    <row r="443" spans="1:55" ht="13"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748">
        <f>36655-1118</f>
        <v>35537</v>
      </c>
      <c r="AH443" s="1748"/>
      <c r="AI443" s="1748"/>
      <c r="AJ443" s="1748"/>
    </row>
    <row r="444" spans="1:55" ht="13"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40">
        <f>IF(ISERROR(AG443/AG442),0,AG443/AG442)</f>
        <v>1</v>
      </c>
      <c r="AH444" s="1840"/>
      <c r="AI444" s="1840"/>
      <c r="AJ444" s="1840"/>
    </row>
    <row r="445" spans="1:55" ht="13"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40">
        <f>MIN(IF(AG441&gt;AG444,AG444,AG441),1)</f>
        <v>1</v>
      </c>
      <c r="AH445" s="1840"/>
      <c r="AI445" s="1840"/>
      <c r="AJ445" s="1840"/>
    </row>
    <row r="446" spans="1:55" ht="13" customHeight="1">
      <c r="D446" s="1743" t="s">
        <v>2087</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782"/>
      <c r="AG446" s="1748">
        <v>1600</v>
      </c>
      <c r="AH446" s="1748"/>
      <c r="AI446" s="1748"/>
      <c r="AJ446" s="1748"/>
      <c r="AZ446" s="34"/>
      <c r="BA446" s="34"/>
      <c r="BB446" s="34"/>
      <c r="BC446" s="34"/>
    </row>
    <row r="447" spans="1:55" ht="13" customHeight="1">
      <c r="D447" s="1629" t="s">
        <v>569</v>
      </c>
      <c r="E447" s="1630"/>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F447" s="1782"/>
      <c r="AG447" s="1748">
        <v>0</v>
      </c>
      <c r="AH447" s="1748"/>
      <c r="AI447" s="1748"/>
      <c r="AJ447" s="1748"/>
      <c r="AZ447" s="3"/>
      <c r="BA447" s="3"/>
      <c r="BB447" s="3"/>
      <c r="BC447" s="3"/>
    </row>
    <row r="448" spans="1:55" ht="13" customHeight="1">
      <c r="D448" s="1743" t="s">
        <v>1205</v>
      </c>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c r="Y448" s="1630"/>
      <c r="Z448" s="1630"/>
      <c r="AA448" s="1630"/>
      <c r="AB448" s="1630"/>
      <c r="AC448" s="1630"/>
      <c r="AD448" s="1630"/>
      <c r="AE448" s="1630"/>
      <c r="AF448" s="1782"/>
      <c r="AG448" s="1747">
        <f>800+900+600+700+1118+13145</f>
        <v>17263</v>
      </c>
      <c r="AH448" s="1748"/>
      <c r="AI448" s="1748"/>
      <c r="AJ448" s="1748"/>
      <c r="AZ448" s="3"/>
      <c r="BA448" s="3"/>
      <c r="BB448" s="3"/>
      <c r="BC448" s="3"/>
    </row>
    <row r="449" spans="1:55" ht="13" customHeight="1">
      <c r="D449" s="1743" t="s">
        <v>1038</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782"/>
      <c r="AG449" s="1748">
        <v>0</v>
      </c>
      <c r="AH449" s="1748"/>
      <c r="AI449" s="1748"/>
      <c r="AJ449" s="1748"/>
      <c r="BB449" s="3"/>
      <c r="BC449" s="3"/>
    </row>
    <row r="450" spans="1:55" ht="13" customHeight="1">
      <c r="D450" s="1841" t="s">
        <v>1039</v>
      </c>
      <c r="E450" s="1842"/>
      <c r="F450" s="1842"/>
      <c r="G450" s="1842"/>
      <c r="H450" s="1842"/>
      <c r="I450" s="1842"/>
      <c r="J450" s="1842"/>
      <c r="K450" s="1842"/>
      <c r="L450" s="1842"/>
      <c r="M450" s="1842"/>
      <c r="N450" s="1842"/>
      <c r="O450" s="1842"/>
      <c r="P450" s="1842"/>
      <c r="Q450" s="1842"/>
      <c r="R450" s="1842"/>
      <c r="S450" s="1842"/>
      <c r="T450" s="1842"/>
      <c r="U450" s="1842"/>
      <c r="V450" s="1842"/>
      <c r="W450" s="1842"/>
      <c r="X450" s="1842"/>
      <c r="Y450" s="1842"/>
      <c r="Z450" s="1842"/>
      <c r="AA450" s="1842"/>
      <c r="AB450" s="1842"/>
      <c r="AC450" s="1842"/>
      <c r="AD450" s="1842"/>
      <c r="AE450" s="1842"/>
      <c r="AF450" s="1843"/>
      <c r="AG450" s="1773">
        <f>AG442+AG446+AG448+AG449</f>
        <v>54400</v>
      </c>
      <c r="AH450" s="1773"/>
      <c r="AI450" s="1773"/>
      <c r="AJ450" s="1773"/>
      <c r="AZ450" s="3"/>
      <c r="BA450" s="3"/>
      <c r="BB450" s="3"/>
      <c r="BC450" s="3"/>
    </row>
    <row r="451" spans="1:55" ht="13" customHeight="1">
      <c r="D451" s="1767" t="s">
        <v>1206</v>
      </c>
      <c r="E451" s="1767"/>
      <c r="F451" s="1767"/>
      <c r="G451" s="1767"/>
      <c r="H451" s="1767"/>
      <c r="I451" s="1767"/>
      <c r="J451" s="1767"/>
      <c r="K451" s="1767"/>
      <c r="L451" s="1767"/>
      <c r="M451" s="1767"/>
      <c r="N451" s="1767"/>
      <c r="O451" s="1767"/>
      <c r="P451" s="1767"/>
      <c r="Q451" s="1767"/>
      <c r="R451" s="1767"/>
      <c r="S451" s="1767"/>
      <c r="T451" s="1767"/>
      <c r="U451" s="1767"/>
      <c r="V451" s="1767"/>
      <c r="W451" s="1767"/>
      <c r="X451" s="1767"/>
      <c r="Y451" s="1767"/>
      <c r="Z451" s="1767"/>
      <c r="AA451" s="1767"/>
      <c r="AB451" s="1767"/>
      <c r="AC451" s="1767"/>
      <c r="AD451" s="1767"/>
      <c r="AE451" s="1767"/>
      <c r="AF451" s="1767"/>
      <c r="AG451" s="1767"/>
      <c r="AH451" s="1767"/>
      <c r="AI451" s="1767"/>
      <c r="AJ451" s="1767"/>
      <c r="AZ451" s="3"/>
      <c r="BA451" s="3"/>
      <c r="BB451" s="3"/>
      <c r="BC451" s="3"/>
    </row>
    <row r="452" spans="1:55" ht="13" customHeight="1">
      <c r="D452" s="1768"/>
      <c r="E452" s="1768"/>
      <c r="F452" s="1768"/>
      <c r="G452" s="1768"/>
      <c r="H452" s="1768"/>
      <c r="I452" s="1768"/>
      <c r="J452" s="1768"/>
      <c r="K452" s="1768"/>
      <c r="L452" s="1768"/>
      <c r="M452" s="1768"/>
      <c r="N452" s="1768"/>
      <c r="O452" s="1768"/>
      <c r="P452" s="1768"/>
      <c r="Q452" s="1768"/>
      <c r="R452" s="1768"/>
      <c r="S452" s="1768"/>
      <c r="T452" s="1768"/>
      <c r="U452" s="1768"/>
      <c r="V452" s="1768"/>
      <c r="W452" s="1768"/>
      <c r="X452" s="1768"/>
      <c r="Y452" s="1768"/>
      <c r="Z452" s="1768"/>
      <c r="AA452" s="1768"/>
      <c r="AB452" s="1768"/>
      <c r="AC452" s="1768"/>
      <c r="AD452" s="1768"/>
      <c r="AE452" s="1768"/>
      <c r="AF452" s="1768"/>
      <c r="AG452" s="1768"/>
      <c r="AH452" s="1768"/>
      <c r="AI452" s="1768"/>
      <c r="AJ452" s="176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85">
        <f>IF(AG437=0,"",'Sources and Uses Budget'!B105/Application!AG437)</f>
        <v>864625.1555555556</v>
      </c>
      <c r="AD454" s="1785"/>
      <c r="AE454" s="1785"/>
      <c r="AF454" s="178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85">
        <f>IF(AG437=0,"",'Sources and Uses Budget'!C105/Application!AG437)</f>
        <v>864625.1555555556</v>
      </c>
      <c r="AD455" s="1785"/>
      <c r="AE455" s="1785"/>
      <c r="AF455" s="178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85">
        <f>IF(AG437=0,"",('Sources and Uses Budget'!$S$107+'Sources and Uses Budget'!$T$107)/Application!AG437)</f>
        <v>737916.7111111111</v>
      </c>
      <c r="AD456" s="1785"/>
      <c r="AE456" s="1785"/>
      <c r="AF456" s="1785"/>
      <c r="AG456" s="177"/>
      <c r="AH456" s="177"/>
      <c r="AI456" s="177"/>
      <c r="AJ456" s="183"/>
      <c r="AZ456" s="3"/>
      <c r="BA456" s="3"/>
      <c r="BB456" s="3"/>
      <c r="BC456" s="3"/>
    </row>
    <row r="457" spans="1:55" ht="13" customHeight="1">
      <c r="D457" s="177"/>
      <c r="E457" s="177"/>
      <c r="F457" s="174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2"/>
      <c r="H457" s="1742"/>
      <c r="I457" s="1742"/>
      <c r="J457" s="1742"/>
      <c r="K457" s="1742"/>
      <c r="L457" s="1742"/>
      <c r="M457" s="1742"/>
      <c r="N457" s="1742"/>
      <c r="O457" s="1742"/>
      <c r="P457" s="1742"/>
      <c r="Q457" s="1742"/>
      <c r="R457" s="1742"/>
      <c r="S457" s="1742"/>
      <c r="T457" s="1742"/>
      <c r="U457" s="1742"/>
      <c r="V457" s="1742"/>
      <c r="W457" s="1742"/>
      <c r="X457" s="1742"/>
      <c r="Y457" s="1742"/>
      <c r="Z457" s="1742"/>
      <c r="AA457" s="1742"/>
      <c r="AB457" s="1742"/>
      <c r="AC457" s="515"/>
      <c r="AD457" s="177"/>
      <c r="AE457" s="177"/>
      <c r="AF457" s="177"/>
      <c r="AG457" s="177"/>
      <c r="AH457" s="177"/>
      <c r="AI457" s="177"/>
      <c r="AJ457" s="183"/>
      <c r="AZ457" s="3"/>
      <c r="BA457" s="3"/>
      <c r="BB457" s="3"/>
      <c r="BC457" s="3"/>
    </row>
    <row r="458" spans="1:55" ht="13" customHeight="1">
      <c r="A458" s="2"/>
      <c r="D458" s="2"/>
      <c r="E458" s="177"/>
      <c r="F458" s="1742"/>
      <c r="G458" s="1742"/>
      <c r="H458" s="1742"/>
      <c r="I458" s="1742"/>
      <c r="J458" s="1742"/>
      <c r="K458" s="1742"/>
      <c r="L458" s="1742"/>
      <c r="M458" s="1742"/>
      <c r="N458" s="1742"/>
      <c r="O458" s="1742"/>
      <c r="P458" s="1742"/>
      <c r="Q458" s="1742"/>
      <c r="R458" s="1742"/>
      <c r="S458" s="1742"/>
      <c r="T458" s="1742"/>
      <c r="U458" s="1742"/>
      <c r="V458" s="1742"/>
      <c r="W458" s="1742"/>
      <c r="X458" s="1742"/>
      <c r="Y458" s="1742"/>
      <c r="Z458" s="1742"/>
      <c r="AA458" s="1742"/>
      <c r="AB458" s="1742"/>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2" t="s">
        <v>2099</v>
      </c>
      <c r="E465" s="1763"/>
      <c r="F465" s="1763"/>
      <c r="G465" s="1763"/>
      <c r="H465" s="1763"/>
      <c r="I465" s="1763"/>
      <c r="J465" s="1763"/>
      <c r="K465" s="1763"/>
      <c r="L465" s="1763"/>
      <c r="M465" s="1763"/>
      <c r="N465" s="1763"/>
      <c r="O465" s="1763"/>
      <c r="P465" s="1763"/>
      <c r="Q465" s="1763"/>
      <c r="R465" s="1763"/>
      <c r="S465" s="1763"/>
      <c r="T465" s="1763"/>
      <c r="U465" s="1763"/>
      <c r="V465" s="1764"/>
      <c r="W465" s="1753">
        <v>0</v>
      </c>
      <c r="X465" s="1754"/>
      <c r="Y465" s="175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74" t="s">
        <v>693</v>
      </c>
      <c r="E466" s="1763"/>
      <c r="F466" s="1763"/>
      <c r="G466" s="1763"/>
      <c r="H466" s="1763"/>
      <c r="I466" s="1763"/>
      <c r="J466" s="1763"/>
      <c r="K466" s="1763"/>
      <c r="L466" s="1763"/>
      <c r="M466" s="1763"/>
      <c r="N466" s="1763"/>
      <c r="O466" s="1763"/>
      <c r="P466" s="1763"/>
      <c r="Q466" s="1763"/>
      <c r="R466" s="1763"/>
      <c r="S466" s="1763"/>
      <c r="T466" s="1763"/>
      <c r="U466" s="1763"/>
      <c r="V466" s="1764"/>
      <c r="W466" s="1753">
        <v>0</v>
      </c>
      <c r="X466" s="1754"/>
      <c r="Y466" s="175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74" t="s">
        <v>694</v>
      </c>
      <c r="E467" s="1763"/>
      <c r="F467" s="1763"/>
      <c r="G467" s="1763"/>
      <c r="H467" s="1763"/>
      <c r="I467" s="1763"/>
      <c r="J467" s="1763"/>
      <c r="K467" s="1763"/>
      <c r="L467" s="1763"/>
      <c r="M467" s="1763"/>
      <c r="N467" s="1763"/>
      <c r="O467" s="1763"/>
      <c r="P467" s="1763"/>
      <c r="Q467" s="1763"/>
      <c r="R467" s="1763"/>
      <c r="S467" s="1763"/>
      <c r="T467" s="1763"/>
      <c r="U467" s="1763"/>
      <c r="V467" s="1764"/>
      <c r="W467" s="1753">
        <v>0</v>
      </c>
      <c r="X467" s="1754"/>
      <c r="Y467" s="175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74" t="s">
        <v>695</v>
      </c>
      <c r="E468" s="1763"/>
      <c r="F468" s="1763"/>
      <c r="G468" s="1763"/>
      <c r="H468" s="1763"/>
      <c r="I468" s="1763"/>
      <c r="J468" s="1763"/>
      <c r="K468" s="1763"/>
      <c r="L468" s="1763"/>
      <c r="M468" s="1763"/>
      <c r="N468" s="1763"/>
      <c r="O468" s="1763"/>
      <c r="P468" s="1763"/>
      <c r="Q468" s="1763"/>
      <c r="R468" s="1763"/>
      <c r="S468" s="1763"/>
      <c r="T468" s="1763"/>
      <c r="U468" s="1763"/>
      <c r="V468" s="1764"/>
      <c r="W468" s="1753">
        <v>0</v>
      </c>
      <c r="X468" s="1754"/>
      <c r="Y468" s="175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74" t="s">
        <v>881</v>
      </c>
      <c r="E469" s="1763"/>
      <c r="F469" s="1763"/>
      <c r="G469" s="1763"/>
      <c r="H469" s="1763"/>
      <c r="I469" s="1763"/>
      <c r="J469" s="1763"/>
      <c r="K469" s="1763"/>
      <c r="L469" s="1763"/>
      <c r="M469" s="1763"/>
      <c r="N469" s="1763"/>
      <c r="O469" s="1763"/>
      <c r="P469" s="1763"/>
      <c r="Q469" s="1763"/>
      <c r="R469" s="1763"/>
      <c r="S469" s="1763"/>
      <c r="T469" s="1763"/>
      <c r="U469" s="1763"/>
      <c r="V469" s="1764"/>
      <c r="W469" s="1753">
        <v>0</v>
      </c>
      <c r="X469" s="1754"/>
      <c r="Y469" s="175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74" t="s">
        <v>696</v>
      </c>
      <c r="E470" s="1763"/>
      <c r="F470" s="1763"/>
      <c r="G470" s="1763"/>
      <c r="H470" s="1763"/>
      <c r="I470" s="1763"/>
      <c r="J470" s="1763"/>
      <c r="K470" s="1763"/>
      <c r="L470" s="1763"/>
      <c r="M470" s="1763"/>
      <c r="N470" s="1763"/>
      <c r="O470" s="1763"/>
      <c r="P470" s="1763"/>
      <c r="Q470" s="1763"/>
      <c r="R470" s="1763"/>
      <c r="S470" s="1763"/>
      <c r="T470" s="1763"/>
      <c r="U470" s="1763"/>
      <c r="V470" s="1764"/>
      <c r="W470" s="1753">
        <v>0</v>
      </c>
      <c r="X470" s="1754"/>
      <c r="Y470" s="1755"/>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74" t="s">
        <v>1012</v>
      </c>
      <c r="E471" s="1763"/>
      <c r="F471" s="1763"/>
      <c r="G471" s="1763"/>
      <c r="H471" s="1763"/>
      <c r="I471" s="1763"/>
      <c r="J471" s="1763"/>
      <c r="K471" s="1763"/>
      <c r="L471" s="1763"/>
      <c r="M471" s="1763"/>
      <c r="N471" s="1763"/>
      <c r="O471" s="1763"/>
      <c r="P471" s="1763"/>
      <c r="Q471" s="1763"/>
      <c r="R471" s="1763"/>
      <c r="S471" s="1763"/>
      <c r="T471" s="1763"/>
      <c r="U471" s="1763"/>
      <c r="V471" s="1764"/>
      <c r="W471" s="1753">
        <v>0</v>
      </c>
      <c r="X471" s="1754"/>
      <c r="Y471" s="175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2" t="s">
        <v>2190</v>
      </c>
      <c r="E472" s="1867"/>
      <c r="F472" s="1867"/>
      <c r="G472" s="1867"/>
      <c r="H472" s="1867"/>
      <c r="I472" s="1867"/>
      <c r="J472" s="1867"/>
      <c r="K472" s="1867"/>
      <c r="L472" s="1867"/>
      <c r="M472" s="1867"/>
      <c r="N472" s="1867"/>
      <c r="O472" s="1867"/>
      <c r="P472" s="1867"/>
      <c r="Q472" s="1867"/>
      <c r="R472" s="1867"/>
      <c r="S472" s="1867"/>
      <c r="T472" s="1867"/>
      <c r="U472" s="1867"/>
      <c r="V472" s="1868"/>
      <c r="W472" s="1753">
        <v>0</v>
      </c>
      <c r="X472" s="1754"/>
      <c r="Y472" s="175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1654</v>
      </c>
      <c r="E473" s="1763"/>
      <c r="F473" s="1763"/>
      <c r="G473" s="1763"/>
      <c r="H473" s="1763"/>
      <c r="I473" s="1763"/>
      <c r="J473" s="1763"/>
      <c r="K473" s="1763"/>
      <c r="L473" s="1763"/>
      <c r="M473" s="1763"/>
      <c r="N473" s="1763"/>
      <c r="O473" s="1763"/>
      <c r="P473" s="1763"/>
      <c r="Q473" s="1763"/>
      <c r="R473" s="1763"/>
      <c r="S473" s="1763"/>
      <c r="T473" s="1763"/>
      <c r="U473" s="1763"/>
      <c r="V473" s="1764"/>
      <c r="W473" s="1753">
        <v>7</v>
      </c>
      <c r="X473" s="1754"/>
      <c r="Y473" s="175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749" t="s">
        <v>1041</v>
      </c>
      <c r="H474" s="1750"/>
      <c r="I474" s="1750"/>
      <c r="J474" s="1750"/>
      <c r="K474" s="1750"/>
      <c r="L474" s="1750"/>
      <c r="M474" s="1750"/>
      <c r="N474" s="1750"/>
      <c r="O474" s="1750"/>
      <c r="P474" s="1750"/>
      <c r="Q474" s="1750"/>
      <c r="R474" s="1750"/>
      <c r="S474" s="1750"/>
      <c r="T474" s="1750"/>
      <c r="U474" s="1750"/>
      <c r="V474" s="1751"/>
      <c r="W474" s="1753">
        <v>37</v>
      </c>
      <c r="X474" s="1754"/>
      <c r="Y474" s="175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72" t="s">
        <v>810</v>
      </c>
      <c r="B480" s="1472"/>
      <c r="C480" s="1472"/>
      <c r="D480" s="1472"/>
      <c r="E480" s="1472"/>
      <c r="F480" s="1472"/>
      <c r="G480" s="1472"/>
      <c r="H480" s="1472"/>
      <c r="I480" s="1472"/>
      <c r="J480" s="1472"/>
      <c r="K480" s="1472"/>
      <c r="L480" s="1472"/>
      <c r="M480" s="1472"/>
      <c r="N480" s="1472"/>
      <c r="O480" s="1472"/>
      <c r="P480" s="1472"/>
      <c r="Q480" s="1472"/>
      <c r="R480" s="1472"/>
      <c r="S480" s="1472"/>
      <c r="T480" s="1472"/>
      <c r="U480" s="1472"/>
      <c r="V480" s="1472"/>
      <c r="W480" s="1472"/>
      <c r="X480" s="1472"/>
      <c r="Y480" s="1472"/>
      <c r="Z480" s="1472"/>
      <c r="AA480" s="1472"/>
      <c r="AB480" s="1472"/>
      <c r="AC480" s="1472"/>
      <c r="AD480" s="1472"/>
      <c r="AE480" s="1472"/>
      <c r="AF480" s="1472"/>
      <c r="AG480" s="1472"/>
      <c r="AH480" s="1472"/>
      <c r="AI480" s="1472"/>
      <c r="AJ480" s="1472"/>
      <c r="AK480" s="1472"/>
      <c r="AL480" s="1472"/>
      <c r="AM480" s="1472"/>
      <c r="AN480" s="1472"/>
      <c r="AO480" s="1472"/>
      <c r="AP480" s="1472"/>
      <c r="AQ480" s="1472"/>
      <c r="AR480" s="1472"/>
      <c r="AS480" s="1472"/>
      <c r="AT480" s="1472"/>
      <c r="AU480" s="95"/>
      <c r="AV480" s="95"/>
      <c r="AW480" s="95"/>
      <c r="AX480" s="95"/>
      <c r="AY480" s="95"/>
      <c r="AZ480" s="3"/>
      <c r="BB480" s="3"/>
      <c r="BC480" s="3"/>
    </row>
    <row r="481" spans="1:55" ht="13" customHeight="1">
      <c r="A481" s="1472"/>
      <c r="B481" s="1472"/>
      <c r="C481" s="1472"/>
      <c r="D481" s="1472"/>
      <c r="E481" s="1472"/>
      <c r="F481" s="1472"/>
      <c r="G481" s="1472"/>
      <c r="H481" s="1472"/>
      <c r="I481" s="1472"/>
      <c r="J481" s="1472"/>
      <c r="K481" s="1472"/>
      <c r="L481" s="1472"/>
      <c r="M481" s="1472"/>
      <c r="N481" s="1472"/>
      <c r="O481" s="1472"/>
      <c r="P481" s="1472"/>
      <c r="Q481" s="1472"/>
      <c r="R481" s="1472"/>
      <c r="S481" s="1472"/>
      <c r="T481" s="1472"/>
      <c r="U481" s="1472"/>
      <c r="V481" s="1472"/>
      <c r="W481" s="1472"/>
      <c r="X481" s="1472"/>
      <c r="Y481" s="1472"/>
      <c r="Z481" s="1472"/>
      <c r="AA481" s="1472"/>
      <c r="AB481" s="1472"/>
      <c r="AC481" s="1472"/>
      <c r="AD481" s="1472"/>
      <c r="AE481" s="1472"/>
      <c r="AF481" s="1472"/>
      <c r="AG481" s="1472"/>
      <c r="AH481" s="1472"/>
      <c r="AI481" s="1472"/>
      <c r="AJ481" s="1472"/>
      <c r="AK481" s="1472"/>
      <c r="AL481" s="1472"/>
      <c r="AM481" s="1472"/>
      <c r="AN481" s="1472"/>
      <c r="AO481" s="1472"/>
      <c r="AP481" s="1472"/>
      <c r="AQ481" s="1472"/>
      <c r="AR481" s="1472"/>
      <c r="AS481" s="1472"/>
      <c r="AT481" s="1472"/>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76"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394</v>
      </c>
      <c r="C486" s="5"/>
      <c r="D486" s="5"/>
      <c r="E486" s="5"/>
      <c r="F486" s="5"/>
      <c r="G486" s="5"/>
      <c r="H486" s="5"/>
      <c r="I486" s="5"/>
      <c r="J486" s="5"/>
      <c r="K486" s="5"/>
      <c r="L486" s="5"/>
      <c r="M486" s="5"/>
      <c r="N486" s="5"/>
      <c r="O486" s="5"/>
      <c r="P486" s="5"/>
      <c r="Q486" s="1553" t="s">
        <v>2670</v>
      </c>
      <c r="R486" s="1356"/>
      <c r="S486" s="1356"/>
      <c r="T486" s="1356"/>
      <c r="U486" s="1356"/>
      <c r="V486" s="1356"/>
      <c r="W486" s="1356"/>
      <c r="X486" s="1356"/>
      <c r="Y486" s="1356"/>
      <c r="Z486" s="1356"/>
      <c r="AA486" s="1356"/>
      <c r="AB486" s="1356"/>
      <c r="AC486" s="1356"/>
      <c r="AD486" s="1356"/>
      <c r="AE486" s="1356"/>
      <c r="AF486" s="1356"/>
      <c r="AG486" s="1356"/>
      <c r="AH486" s="1356"/>
      <c r="AI486" s="1356"/>
      <c r="AJ486" s="1356"/>
      <c r="AK486" s="1584"/>
      <c r="AZ486" s="3"/>
      <c r="BB486" s="3"/>
      <c r="BC486" s="3"/>
    </row>
    <row r="487" spans="1:55" ht="13" customHeight="1">
      <c r="B487" s="45" t="s">
        <v>395</v>
      </c>
      <c r="C487" s="5"/>
      <c r="D487" s="5"/>
      <c r="E487" s="5"/>
      <c r="F487" s="5"/>
      <c r="G487" s="5"/>
      <c r="H487" s="5"/>
      <c r="I487" s="5"/>
      <c r="J487" s="5"/>
      <c r="K487" s="5"/>
      <c r="L487" s="5"/>
      <c r="M487" s="5"/>
      <c r="N487" s="5"/>
      <c r="O487" s="5"/>
      <c r="P487" s="5"/>
      <c r="Q487" s="1553" t="s">
        <v>2670</v>
      </c>
      <c r="R487" s="1356"/>
      <c r="S487" s="1356"/>
      <c r="T487" s="1356"/>
      <c r="U487" s="1356"/>
      <c r="V487" s="1356"/>
      <c r="W487" s="1356"/>
      <c r="X487" s="1356"/>
      <c r="Y487" s="1356"/>
      <c r="Z487" s="1356"/>
      <c r="AA487" s="1356"/>
      <c r="AB487" s="1356"/>
      <c r="AC487" s="1356"/>
      <c r="AD487" s="1356"/>
      <c r="AE487" s="1356"/>
      <c r="AF487" s="1356"/>
      <c r="AG487" s="1356"/>
      <c r="AH487" s="1356"/>
      <c r="AI487" s="1356"/>
      <c r="AJ487" s="1356"/>
      <c r="AK487" s="1584"/>
      <c r="AZ487" s="3"/>
      <c r="BB487" s="3"/>
      <c r="BC487" s="3"/>
    </row>
    <row r="488" spans="1:55" ht="13" customHeight="1">
      <c r="B488" s="45" t="s">
        <v>396</v>
      </c>
      <c r="C488" s="5"/>
      <c r="D488" s="5"/>
      <c r="E488" s="5"/>
      <c r="F488" s="5"/>
      <c r="G488" s="5"/>
      <c r="H488" s="5"/>
      <c r="I488" s="5"/>
      <c r="J488" s="5"/>
      <c r="K488" s="5"/>
      <c r="L488" s="5"/>
      <c r="M488" s="5"/>
      <c r="N488" s="5"/>
      <c r="O488" s="5"/>
      <c r="P488" s="5"/>
      <c r="Q488" s="1553" t="s">
        <v>2670</v>
      </c>
      <c r="R488" s="1356"/>
      <c r="S488" s="1356"/>
      <c r="T488" s="1356"/>
      <c r="U488" s="1356"/>
      <c r="V488" s="1356"/>
      <c r="W488" s="1356"/>
      <c r="X488" s="1356"/>
      <c r="Y488" s="1356"/>
      <c r="Z488" s="1356"/>
      <c r="AA488" s="1356"/>
      <c r="AB488" s="1356"/>
      <c r="AC488" s="1356"/>
      <c r="AD488" s="1356"/>
      <c r="AE488" s="1356"/>
      <c r="AF488" s="1356"/>
      <c r="AG488" s="1356"/>
      <c r="AH488" s="1356"/>
      <c r="AI488" s="1356"/>
      <c r="AJ488" s="1356"/>
      <c r="AK488" s="1584"/>
      <c r="AZ488" s="3"/>
      <c r="BA488" s="3"/>
      <c r="BB488" s="3"/>
      <c r="BC488" s="3"/>
    </row>
    <row r="489" spans="1:55" ht="13" customHeight="1">
      <c r="B489" s="1851" t="s">
        <v>397</v>
      </c>
      <c r="C489" s="1852"/>
      <c r="D489" s="1852"/>
      <c r="E489" s="1852"/>
      <c r="F489" s="1852"/>
      <c r="G489" s="1852"/>
      <c r="H489" s="1852"/>
      <c r="I489" s="1852"/>
      <c r="J489" s="1852"/>
      <c r="K489" s="1852"/>
      <c r="L489" s="1852"/>
      <c r="M489" s="1852"/>
      <c r="N489" s="1852"/>
      <c r="O489" s="1852"/>
      <c r="P489" s="1853"/>
      <c r="Q489" s="1857" t="s">
        <v>669</v>
      </c>
      <c r="R489" s="1858"/>
      <c r="S489" s="1756" t="s">
        <v>166</v>
      </c>
      <c r="T489" s="1757"/>
      <c r="U489" s="1757"/>
      <c r="V489" s="1757"/>
      <c r="W489" s="1757"/>
      <c r="X489" s="1757"/>
      <c r="Y489" s="1757"/>
      <c r="Z489" s="1757"/>
      <c r="AA489" s="1757"/>
      <c r="AB489" s="1757"/>
      <c r="AC489" s="1757"/>
      <c r="AD489" s="1757"/>
      <c r="AE489" s="1757"/>
      <c r="AF489" s="1757"/>
      <c r="AG489" s="1757"/>
      <c r="AH489" s="1757"/>
      <c r="AI489" s="1757"/>
      <c r="AJ489" s="1757"/>
      <c r="AK489" s="1758"/>
      <c r="AZ489" s="3"/>
      <c r="BA489" s="3"/>
      <c r="BB489" s="3"/>
      <c r="BC489" s="3"/>
    </row>
    <row r="490" spans="1:55" ht="13" customHeight="1">
      <c r="B490" s="1854"/>
      <c r="C490" s="1855"/>
      <c r="D490" s="1855"/>
      <c r="E490" s="1855"/>
      <c r="F490" s="1855"/>
      <c r="G490" s="1855"/>
      <c r="H490" s="1855"/>
      <c r="I490" s="1855"/>
      <c r="J490" s="1855"/>
      <c r="K490" s="1855"/>
      <c r="L490" s="1855"/>
      <c r="M490" s="1855"/>
      <c r="N490" s="1855"/>
      <c r="O490" s="1855"/>
      <c r="P490" s="1856"/>
      <c r="Q490" s="1859"/>
      <c r="R490" s="1860"/>
      <c r="S490" s="1759"/>
      <c r="T490" s="1760"/>
      <c r="U490" s="1760"/>
      <c r="V490" s="1760"/>
      <c r="W490" s="1760"/>
      <c r="X490" s="1760"/>
      <c r="Y490" s="1760"/>
      <c r="Z490" s="1760"/>
      <c r="AA490" s="1760"/>
      <c r="AB490" s="1760"/>
      <c r="AC490" s="1760"/>
      <c r="AD490" s="1760"/>
      <c r="AE490" s="1760"/>
      <c r="AF490" s="1760"/>
      <c r="AG490" s="1760"/>
      <c r="AH490" s="1760"/>
      <c r="AI490" s="1760"/>
      <c r="AJ490" s="1760"/>
      <c r="AK490" s="1761"/>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64" t="s">
        <v>591</v>
      </c>
      <c r="R491" s="1865"/>
      <c r="S491" s="1865"/>
      <c r="T491" s="1865"/>
      <c r="U491" s="1865"/>
      <c r="V491" s="1865"/>
      <c r="W491" s="1865"/>
      <c r="X491" s="1865"/>
      <c r="Y491" s="1865"/>
      <c r="Z491" s="1865"/>
      <c r="AA491" s="1865"/>
      <c r="AB491" s="1865"/>
      <c r="AC491" s="1865"/>
      <c r="AD491" s="1865"/>
      <c r="AE491" s="1865"/>
      <c r="AF491" s="1865"/>
      <c r="AG491" s="1865"/>
      <c r="AH491" s="1865"/>
      <c r="AI491" s="1865"/>
      <c r="AJ491" s="1865"/>
      <c r="AK491" s="1866"/>
      <c r="AZ491" s="3"/>
      <c r="BA491" s="3"/>
      <c r="BB491" s="3"/>
      <c r="BC491" s="3"/>
    </row>
    <row r="492" spans="1:55" ht="13" customHeight="1">
      <c r="B492" s="45" t="s">
        <v>398</v>
      </c>
      <c r="C492" s="5"/>
      <c r="D492" s="5"/>
      <c r="E492" s="5"/>
      <c r="F492" s="5"/>
      <c r="G492" s="5"/>
      <c r="H492" s="5"/>
      <c r="I492" s="5"/>
      <c r="J492" s="5"/>
      <c r="K492" s="5"/>
      <c r="L492" s="5"/>
      <c r="M492" s="5"/>
      <c r="N492" s="5"/>
      <c r="O492" s="5"/>
      <c r="P492" s="5"/>
      <c r="Q492" s="1553" t="s">
        <v>2738</v>
      </c>
      <c r="R492" s="1356"/>
      <c r="S492" s="1356"/>
      <c r="T492" s="1356"/>
      <c r="U492" s="1356"/>
      <c r="V492" s="1356"/>
      <c r="W492" s="1356"/>
      <c r="X492" s="1356"/>
      <c r="Y492" s="1356"/>
      <c r="Z492" s="1356"/>
      <c r="AA492" s="1356"/>
      <c r="AB492" s="1356"/>
      <c r="AC492" s="1356"/>
      <c r="AD492" s="1356"/>
      <c r="AE492" s="1356"/>
      <c r="AF492" s="1356"/>
      <c r="AG492" s="1356"/>
      <c r="AH492" s="1356"/>
      <c r="AI492" s="1356"/>
      <c r="AJ492" s="1356"/>
      <c r="AK492" s="1584"/>
      <c r="AZ492" s="3"/>
      <c r="BA492" s="3"/>
      <c r="BB492" s="3"/>
      <c r="BC492" s="3"/>
    </row>
    <row r="493" spans="1:55" ht="13" customHeight="1">
      <c r="B493" s="45" t="s">
        <v>399</v>
      </c>
      <c r="C493" s="5"/>
      <c r="D493" s="5"/>
      <c r="E493" s="5"/>
      <c r="F493" s="5"/>
      <c r="G493" s="5"/>
      <c r="H493" s="5"/>
      <c r="I493" s="5"/>
      <c r="J493" s="5"/>
      <c r="K493" s="5"/>
      <c r="L493" s="5"/>
      <c r="M493" s="5"/>
      <c r="N493" s="5"/>
      <c r="O493" s="5"/>
      <c r="P493" s="5"/>
      <c r="Q493" s="1583" t="s">
        <v>2737</v>
      </c>
      <c r="R493" s="1356"/>
      <c r="S493" s="1356"/>
      <c r="T493" s="1356"/>
      <c r="U493" s="1356"/>
      <c r="V493" s="1356"/>
      <c r="W493" s="1356"/>
      <c r="X493" s="1356"/>
      <c r="Y493" s="1356"/>
      <c r="Z493" s="1356"/>
      <c r="AA493" s="1356"/>
      <c r="AB493" s="1356"/>
      <c r="AC493" s="1356"/>
      <c r="AD493" s="1356"/>
      <c r="AE493" s="1356"/>
      <c r="AF493" s="1356"/>
      <c r="AG493" s="1356"/>
      <c r="AH493" s="1356"/>
      <c r="AI493" s="1356"/>
      <c r="AJ493" s="1356"/>
      <c r="AK493" s="158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83">
        <v>11</v>
      </c>
      <c r="R494" s="1356"/>
      <c r="S494" s="1356"/>
      <c r="T494" s="1356"/>
      <c r="U494" s="1356"/>
      <c r="V494" s="1356"/>
      <c r="W494" s="1356"/>
      <c r="X494" s="1356"/>
      <c r="Y494" s="1356"/>
      <c r="Z494" s="1356"/>
      <c r="AA494" s="1356"/>
      <c r="AB494" s="1356"/>
      <c r="AC494" s="1356"/>
      <c r="AD494" s="1356"/>
      <c r="AE494" s="1356"/>
      <c r="AF494" s="1356"/>
      <c r="AG494" s="1356"/>
      <c r="AH494" s="1356"/>
      <c r="AI494" s="1356"/>
      <c r="AJ494" s="1356"/>
      <c r="AK494" s="1584"/>
      <c r="AZ494" s="3"/>
      <c r="BA494" s="3"/>
      <c r="BB494" s="3"/>
      <c r="BC494" s="3"/>
    </row>
    <row r="495" spans="1:55" ht="13" customHeight="1">
      <c r="B495" s="121" t="s">
        <v>1669</v>
      </c>
      <c r="C495" s="5"/>
      <c r="D495" s="5"/>
      <c r="E495" s="5"/>
      <c r="F495" s="5"/>
      <c r="G495" s="5"/>
      <c r="H495" s="5"/>
      <c r="I495" s="5"/>
      <c r="J495" s="5"/>
      <c r="K495" s="5"/>
      <c r="L495" s="5"/>
      <c r="M495" s="1670">
        <v>5</v>
      </c>
      <c r="N495" s="1671"/>
      <c r="O495" s="1671"/>
      <c r="P495" s="1672"/>
      <c r="Q495" s="121" t="s">
        <v>1670</v>
      </c>
      <c r="R495" s="5"/>
      <c r="S495" s="5"/>
      <c r="T495" s="5"/>
      <c r="U495" s="5"/>
      <c r="V495" s="5"/>
      <c r="W495" s="5"/>
      <c r="X495" s="5"/>
      <c r="Y495" s="5"/>
      <c r="Z495" s="5"/>
      <c r="AA495" s="5"/>
      <c r="AB495" s="5"/>
      <c r="AC495" s="5"/>
      <c r="AD495" s="5"/>
      <c r="AE495" s="5"/>
      <c r="AF495" s="5"/>
      <c r="AG495" s="5"/>
      <c r="AH495" s="1670">
        <v>6</v>
      </c>
      <c r="AI495" s="1671"/>
      <c r="AJ495" s="1671"/>
      <c r="AK495" s="1672"/>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6"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6"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67" t="s">
        <v>405</v>
      </c>
      <c r="C501" s="1478"/>
      <c r="D501" s="1478"/>
      <c r="E501" s="1478"/>
      <c r="F501" s="1478"/>
      <c r="G501" s="1478"/>
      <c r="H501" s="1479"/>
      <c r="I501" s="42" t="s">
        <v>406</v>
      </c>
      <c r="J501" s="42"/>
      <c r="K501" s="42"/>
      <c r="L501" s="42"/>
      <c r="M501" s="42"/>
      <c r="N501" s="42"/>
      <c r="O501" s="42"/>
      <c r="P501" s="42"/>
      <c r="Q501" s="42"/>
      <c r="R501" s="42"/>
      <c r="S501" s="42"/>
      <c r="T501" s="42"/>
      <c r="U501" s="42"/>
      <c r="V501" s="42"/>
      <c r="W501" s="42"/>
      <c r="AC501" s="1746">
        <v>12</v>
      </c>
      <c r="AD501" s="1739"/>
      <c r="AE501" s="1739"/>
      <c r="AF501" s="1739"/>
      <c r="AG501" s="13" t="s">
        <v>403</v>
      </c>
      <c r="AH501" s="1403">
        <v>2025</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68"/>
      <c r="C502" s="1480"/>
      <c r="D502" s="1480"/>
      <c r="E502" s="1480"/>
      <c r="F502" s="1480"/>
      <c r="G502" s="1480"/>
      <c r="H502" s="1481"/>
      <c r="I502" s="48" t="s">
        <v>407</v>
      </c>
      <c r="J502" s="48"/>
      <c r="K502" s="48"/>
      <c r="L502" s="48"/>
      <c r="M502" s="48"/>
      <c r="N502" s="48"/>
      <c r="O502" s="48"/>
      <c r="P502" s="48"/>
      <c r="Q502" s="48"/>
      <c r="R502" s="48"/>
      <c r="S502" s="48"/>
      <c r="T502" s="48"/>
      <c r="U502" s="48"/>
      <c r="V502" s="48"/>
      <c r="W502" s="48"/>
      <c r="X502" s="48"/>
      <c r="Y502" s="48"/>
      <c r="Z502" s="48"/>
      <c r="AA502" s="48"/>
      <c r="AB502" s="48"/>
      <c r="AC502" s="1746">
        <v>5</v>
      </c>
      <c r="AD502" s="1739"/>
      <c r="AE502" s="1739"/>
      <c r="AF502" s="1739"/>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67" t="s">
        <v>408</v>
      </c>
      <c r="C503" s="1478"/>
      <c r="D503" s="1478"/>
      <c r="E503" s="1478"/>
      <c r="F503" s="1478"/>
      <c r="G503" s="1478"/>
      <c r="H503" s="1479"/>
      <c r="I503" s="42" t="s">
        <v>409</v>
      </c>
      <c r="J503" s="42"/>
      <c r="K503" s="42"/>
      <c r="L503" s="42"/>
      <c r="M503" s="42"/>
      <c r="N503" s="42"/>
      <c r="O503" s="42"/>
      <c r="P503" s="42"/>
      <c r="Q503" s="42"/>
      <c r="R503" s="42"/>
      <c r="S503" s="42"/>
      <c r="T503" s="42"/>
      <c r="U503" s="42"/>
      <c r="V503" s="42"/>
      <c r="W503" s="42"/>
      <c r="AC503" s="1746" t="s">
        <v>591</v>
      </c>
      <c r="AD503" s="1739"/>
      <c r="AE503" s="1739"/>
      <c r="AF503" s="1739"/>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68"/>
      <c r="C504" s="1480"/>
      <c r="D504" s="1480"/>
      <c r="E504" s="1480"/>
      <c r="F504" s="1480"/>
      <c r="G504" s="1480"/>
      <c r="H504" s="1481"/>
      <c r="I504" t="s">
        <v>410</v>
      </c>
      <c r="AC504" s="1746" t="s">
        <v>591</v>
      </c>
      <c r="AD504" s="1739"/>
      <c r="AE504" s="1739"/>
      <c r="AF504" s="1739"/>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68"/>
      <c r="C505" s="1480"/>
      <c r="D505" s="1480"/>
      <c r="E505" s="1480"/>
      <c r="F505" s="1480"/>
      <c r="G505" s="1480"/>
      <c r="H505" s="1481"/>
      <c r="I505" t="s">
        <v>411</v>
      </c>
      <c r="AC505" s="1746" t="s">
        <v>591</v>
      </c>
      <c r="AD505" s="1739"/>
      <c r="AE505" s="1739"/>
      <c r="AF505" s="1739"/>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668"/>
      <c r="C506" s="1480"/>
      <c r="D506" s="1480"/>
      <c r="E506" s="1480"/>
      <c r="F506" s="1480"/>
      <c r="G506" s="1480"/>
      <c r="H506" s="1481"/>
      <c r="I506" t="s">
        <v>412</v>
      </c>
      <c r="AC506" s="1746" t="s">
        <v>591</v>
      </c>
      <c r="AD506" s="1739"/>
      <c r="AE506" s="1739"/>
      <c r="AF506" s="1739"/>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3" customHeight="1">
      <c r="B507" s="1668"/>
      <c r="C507" s="1480"/>
      <c r="D507" s="1480"/>
      <c r="E507" s="1480"/>
      <c r="F507" s="1480"/>
      <c r="G507" s="1480"/>
      <c r="H507" s="1481"/>
      <c r="I507" s="3" t="s">
        <v>413</v>
      </c>
      <c r="AC507" s="1353" t="s">
        <v>591</v>
      </c>
      <c r="AD507" s="1354"/>
      <c r="AE507" s="1354"/>
      <c r="AF507" s="1354"/>
      <c r="AG507" s="13" t="s">
        <v>403</v>
      </c>
      <c r="AH507" s="1403"/>
      <c r="AI507" s="1403"/>
      <c r="AJ507" s="1403"/>
      <c r="AK507" s="1404"/>
      <c r="AZ507" s="3"/>
      <c r="BA507" s="3"/>
      <c r="BB507" s="3"/>
      <c r="BC507" s="3"/>
      <c r="BD507" s="3"/>
      <c r="BE507" s="3"/>
      <c r="BF507" s="3"/>
      <c r="BG507" s="3"/>
      <c r="BH507" s="3"/>
      <c r="BI507" s="3"/>
      <c r="BJ507" s="3"/>
      <c r="BK507" s="3"/>
      <c r="BL507" s="3"/>
      <c r="BM507" s="3"/>
      <c r="BN507" s="3"/>
    </row>
    <row r="508" spans="1:66" ht="13" customHeight="1">
      <c r="B508" s="1668"/>
      <c r="C508" s="1480"/>
      <c r="D508" s="1480"/>
      <c r="E508" s="1480"/>
      <c r="F508" s="1480"/>
      <c r="G508" s="1480"/>
      <c r="H508" s="1481"/>
      <c r="I508" s="896" t="s">
        <v>170</v>
      </c>
      <c r="J508" s="48"/>
      <c r="K508" s="48"/>
      <c r="L508" s="1771" t="s">
        <v>334</v>
      </c>
      <c r="M508" s="1772"/>
      <c r="N508" s="1772"/>
      <c r="O508" s="1772"/>
      <c r="P508" s="1772"/>
      <c r="Q508" s="1772"/>
      <c r="R508" s="1772"/>
      <c r="S508" s="1772"/>
      <c r="T508" s="1772"/>
      <c r="U508" s="1772"/>
      <c r="V508" s="1772"/>
      <c r="W508" s="1772"/>
      <c r="X508" s="1772"/>
      <c r="Y508" s="1772"/>
      <c r="Z508" s="1772"/>
      <c r="AA508" s="1772"/>
      <c r="AB508" s="1863"/>
      <c r="AC508" s="1746" t="s">
        <v>591</v>
      </c>
      <c r="AD508" s="1739"/>
      <c r="AE508" s="1739"/>
      <c r="AF508" s="1739"/>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775" t="s">
        <v>1184</v>
      </c>
      <c r="AD509" s="1775"/>
      <c r="AE509" s="1775"/>
      <c r="AF509" s="1775"/>
      <c r="AG509" s="13"/>
      <c r="AH509" s="1338"/>
      <c r="AI509" s="1338"/>
      <c r="AJ509" s="1338"/>
      <c r="AK509" s="1687"/>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3"/>
      <c r="AD510" s="1354"/>
      <c r="AE510" s="1354"/>
      <c r="AF510" s="1355"/>
      <c r="AG510" s="13"/>
      <c r="AH510" s="1338"/>
      <c r="AI510" s="1338"/>
      <c r="AJ510" s="1338"/>
      <c r="AK510" s="1687"/>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48"/>
      <c r="AD512" s="1849"/>
      <c r="AE512" s="1849"/>
      <c r="AF512" s="1850"/>
      <c r="AG512" s="38"/>
      <c r="AH512" s="1769"/>
      <c r="AI512" s="1769"/>
      <c r="AJ512" s="1769"/>
      <c r="AK512" s="177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52" t="s">
        <v>402</v>
      </c>
      <c r="AD513" s="1639"/>
      <c r="AE513" s="1639"/>
      <c r="AF513" s="1639"/>
      <c r="AG513" s="38" t="s">
        <v>403</v>
      </c>
      <c r="AH513" s="1639" t="s">
        <v>404</v>
      </c>
      <c r="AI513" s="1639"/>
      <c r="AJ513" s="1639"/>
      <c r="AK513" s="1862"/>
      <c r="AZ513" s="3"/>
      <c r="BA513" s="3"/>
      <c r="BB513" s="3"/>
      <c r="BC513" s="3"/>
      <c r="BD513" s="3"/>
      <c r="BE513" s="3"/>
      <c r="BF513" s="3"/>
      <c r="BG513" s="3"/>
      <c r="BH513" s="3"/>
      <c r="BI513" s="3"/>
      <c r="BJ513" s="3"/>
      <c r="BK513" s="3"/>
      <c r="BL513" s="3"/>
      <c r="BM513" s="3"/>
      <c r="BN513" s="3" t="s">
        <v>2104</v>
      </c>
    </row>
    <row r="514" spans="2:66" ht="13" customHeight="1">
      <c r="B514" s="1667" t="s">
        <v>414</v>
      </c>
      <c r="C514" s="1478"/>
      <c r="D514" s="1478"/>
      <c r="E514" s="1478"/>
      <c r="F514" s="1478"/>
      <c r="G514" s="1478"/>
      <c r="H514" s="1479"/>
      <c r="I514" s="42" t="s">
        <v>415</v>
      </c>
      <c r="J514" s="42"/>
      <c r="K514" s="42"/>
      <c r="L514" s="42"/>
      <c r="M514" s="42"/>
      <c r="N514" s="42"/>
      <c r="O514" s="42"/>
      <c r="P514" s="42"/>
      <c r="Q514" s="42"/>
      <c r="R514" s="42"/>
      <c r="S514" s="42"/>
      <c r="T514" s="42"/>
      <c r="U514" s="42"/>
      <c r="V514" s="42"/>
      <c r="W514" s="42"/>
      <c r="AC514" s="1746">
        <v>9</v>
      </c>
      <c r="AD514" s="1739"/>
      <c r="AE514" s="1739"/>
      <c r="AF514" s="1739"/>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668"/>
      <c r="C515" s="1480"/>
      <c r="D515" s="1480"/>
      <c r="E515" s="1480"/>
      <c r="F515" s="1480"/>
      <c r="G515" s="1480"/>
      <c r="H515" s="1481"/>
      <c r="I515" t="s">
        <v>416</v>
      </c>
      <c r="AC515" s="1746">
        <v>9</v>
      </c>
      <c r="AD515" s="1739"/>
      <c r="AE515" s="1739"/>
      <c r="AF515" s="1739"/>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668"/>
      <c r="C516" s="1480"/>
      <c r="D516" s="1480"/>
      <c r="E516" s="1480"/>
      <c r="F516" s="1480"/>
      <c r="G516" s="1480"/>
      <c r="H516" s="1481"/>
      <c r="I516" s="48" t="s">
        <v>417</v>
      </c>
      <c r="J516" s="48"/>
      <c r="K516" s="48"/>
      <c r="L516" s="48"/>
      <c r="M516" s="48"/>
      <c r="N516" s="48"/>
      <c r="O516" s="48"/>
      <c r="P516" s="48"/>
      <c r="Q516" s="48"/>
      <c r="R516" s="48"/>
      <c r="S516" s="48"/>
      <c r="T516" s="48"/>
      <c r="U516" s="48"/>
      <c r="V516" s="48"/>
      <c r="W516" s="48"/>
      <c r="X516" s="48"/>
      <c r="Y516" s="48"/>
      <c r="Z516" s="48"/>
      <c r="AA516" s="48"/>
      <c r="AB516" s="48"/>
      <c r="AC516" s="1746">
        <v>5</v>
      </c>
      <c r="AD516" s="1739"/>
      <c r="AE516" s="1739"/>
      <c r="AF516" s="1739"/>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667" t="s">
        <v>418</v>
      </c>
      <c r="C517" s="1478"/>
      <c r="D517" s="1478"/>
      <c r="E517" s="1478"/>
      <c r="F517" s="1478"/>
      <c r="G517" s="1478"/>
      <c r="H517" s="1479"/>
      <c r="I517" s="42" t="s">
        <v>415</v>
      </c>
      <c r="J517" s="42"/>
      <c r="K517" s="42"/>
      <c r="L517" s="42"/>
      <c r="M517" s="42"/>
      <c r="N517" s="42"/>
      <c r="O517" s="42"/>
      <c r="P517" s="42"/>
      <c r="Q517" s="42"/>
      <c r="R517" s="42"/>
      <c r="S517" s="42"/>
      <c r="T517" s="42"/>
      <c r="U517" s="42"/>
      <c r="V517" s="42"/>
      <c r="W517" s="42"/>
      <c r="X517" s="42"/>
      <c r="Y517" s="42"/>
      <c r="Z517" s="42"/>
      <c r="AA517" s="42"/>
      <c r="AB517" s="42"/>
      <c r="AC517" s="1353">
        <v>9</v>
      </c>
      <c r="AD517" s="1354"/>
      <c r="AE517" s="1354"/>
      <c r="AF517" s="1354"/>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668"/>
      <c r="C518" s="1480"/>
      <c r="D518" s="1480"/>
      <c r="E518" s="1480"/>
      <c r="F518" s="1480"/>
      <c r="G518" s="1480"/>
      <c r="H518" s="1481"/>
      <c r="I518" t="s">
        <v>416</v>
      </c>
      <c r="AC518" s="1746">
        <v>9</v>
      </c>
      <c r="AD518" s="1739"/>
      <c r="AE518" s="1739"/>
      <c r="AF518" s="1739"/>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669"/>
      <c r="C519" s="1482"/>
      <c r="D519" s="1482"/>
      <c r="E519" s="1482"/>
      <c r="F519" s="1482"/>
      <c r="G519" s="1482"/>
      <c r="H519" s="1483"/>
      <c r="I519" s="48" t="s">
        <v>417</v>
      </c>
      <c r="J519" s="48"/>
      <c r="K519" s="48"/>
      <c r="L519" s="48"/>
      <c r="M519" s="48"/>
      <c r="N519" s="48"/>
      <c r="O519" s="48"/>
      <c r="P519" s="48"/>
      <c r="Q519" s="48"/>
      <c r="R519" s="48"/>
      <c r="S519" s="48"/>
      <c r="T519" s="48"/>
      <c r="U519" s="48"/>
      <c r="V519" s="48"/>
      <c r="W519" s="48"/>
      <c r="X519" s="48"/>
      <c r="Y519" s="48"/>
      <c r="Z519" s="48"/>
      <c r="AA519" s="48"/>
      <c r="AB519" s="48"/>
      <c r="AC519" s="1746">
        <v>8</v>
      </c>
      <c r="AD519" s="1739"/>
      <c r="AE519" s="1739"/>
      <c r="AF519" s="1739"/>
      <c r="AG519" s="38" t="s">
        <v>403</v>
      </c>
      <c r="AH519" s="1403">
        <v>2028</v>
      </c>
      <c r="AI519" s="1403"/>
      <c r="AJ519" s="1403"/>
      <c r="AK519" s="1404"/>
      <c r="BB519" s="3"/>
      <c r="BC519" s="3"/>
      <c r="BD519" s="3"/>
      <c r="BE519" s="3"/>
      <c r="BF519" s="3"/>
      <c r="BG519" s="3"/>
      <c r="BH519" s="3"/>
      <c r="BI519" s="3"/>
      <c r="BJ519" s="3"/>
      <c r="BK519" s="3"/>
      <c r="BL519" s="3"/>
      <c r="BM519" s="3"/>
      <c r="BN519" s="3" t="s">
        <v>2110</v>
      </c>
    </row>
    <row r="520" spans="2:66" ht="13" customHeight="1">
      <c r="B520" s="1667" t="s">
        <v>419</v>
      </c>
      <c r="C520" s="1478"/>
      <c r="D520" s="1478"/>
      <c r="E520" s="1478"/>
      <c r="F520" s="1478"/>
      <c r="G520" s="1478"/>
      <c r="H520" s="1479"/>
      <c r="I520" s="41" t="s">
        <v>420</v>
      </c>
      <c r="J520" s="42"/>
      <c r="K520" s="42"/>
      <c r="L520" s="42"/>
      <c r="M520" s="42"/>
      <c r="N520" s="42"/>
      <c r="O520" s="1771" t="s">
        <v>2739</v>
      </c>
      <c r="P520" s="1772"/>
      <c r="Q520" s="1772"/>
      <c r="R520" s="1772"/>
      <c r="S520" s="1772"/>
      <c r="T520" s="1772"/>
      <c r="U520" s="1772"/>
      <c r="V520" s="1772"/>
      <c r="W520" s="1772"/>
      <c r="X520" s="1772"/>
      <c r="Y520" s="1772"/>
      <c r="Z520" s="1772"/>
      <c r="AA520" s="1772"/>
      <c r="AB520" s="58"/>
      <c r="AC520" s="1353"/>
      <c r="AD520" s="1354"/>
      <c r="AE520" s="1354"/>
      <c r="AF520" s="1354"/>
      <c r="AG520" s="129" t="s">
        <v>403</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668"/>
      <c r="C521" s="1480"/>
      <c r="D521" s="1480"/>
      <c r="E521" s="1480"/>
      <c r="F521" s="1480"/>
      <c r="G521" s="1480"/>
      <c r="H521" s="1481"/>
      <c r="I521" s="114" t="s">
        <v>421</v>
      </c>
      <c r="AB521" s="65"/>
      <c r="AC521" s="1746">
        <v>8</v>
      </c>
      <c r="AD521" s="1739"/>
      <c r="AE521" s="1739"/>
      <c r="AF521" s="1739"/>
      <c r="AG521" s="13" t="s">
        <v>403</v>
      </c>
      <c r="AH521" s="1403">
        <v>2025</v>
      </c>
      <c r="AI521" s="1403"/>
      <c r="AJ521" s="1403"/>
      <c r="AK521" s="1404"/>
      <c r="AZ521" s="3"/>
      <c r="BB521" s="3"/>
      <c r="BC521" s="3"/>
      <c r="BD521" s="3"/>
      <c r="BE521" s="3"/>
      <c r="BF521" s="3"/>
      <c r="BG521" s="3"/>
      <c r="BH521" s="3"/>
      <c r="BI521" s="3"/>
      <c r="BJ521" s="3"/>
      <c r="BK521" s="3"/>
      <c r="BL521" s="3"/>
      <c r="BM521" s="3"/>
      <c r="BN521" s="3" t="s">
        <v>2112</v>
      </c>
    </row>
    <row r="522" spans="2:66" ht="13" customHeight="1">
      <c r="B522" s="1668"/>
      <c r="C522" s="1480"/>
      <c r="D522" s="1480"/>
      <c r="E522" s="1480"/>
      <c r="F522" s="1480"/>
      <c r="G522" s="1480"/>
      <c r="H522" s="1481"/>
      <c r="I522" s="47" t="s">
        <v>422</v>
      </c>
      <c r="J522" s="48"/>
      <c r="K522" s="48"/>
      <c r="L522" s="48"/>
      <c r="M522" s="48"/>
      <c r="N522" s="48"/>
      <c r="O522" s="48"/>
      <c r="P522" s="48"/>
      <c r="Q522" s="48"/>
      <c r="R522" s="48"/>
      <c r="S522" s="48"/>
      <c r="T522" s="48"/>
      <c r="U522" s="48"/>
      <c r="V522" s="48"/>
      <c r="W522" s="48"/>
      <c r="X522" s="48"/>
      <c r="Y522" s="48"/>
      <c r="Z522" s="48"/>
      <c r="AA522" s="48"/>
      <c r="AB522" s="49"/>
      <c r="AC522" s="1746">
        <v>11</v>
      </c>
      <c r="AD522" s="1739"/>
      <c r="AE522" s="1739"/>
      <c r="AF522" s="1739"/>
      <c r="AG522" s="38" t="s">
        <v>403</v>
      </c>
      <c r="AH522" s="1403">
        <v>2025</v>
      </c>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668"/>
      <c r="C523" s="1480"/>
      <c r="D523" s="1480"/>
      <c r="E523" s="1480"/>
      <c r="F523" s="1480"/>
      <c r="G523" s="1480"/>
      <c r="H523" s="1481"/>
      <c r="I523" s="42" t="s">
        <v>423</v>
      </c>
      <c r="J523" s="42"/>
      <c r="K523" s="42"/>
      <c r="L523" s="42"/>
      <c r="M523" s="42"/>
      <c r="N523" s="42"/>
      <c r="O523" s="1771" t="s">
        <v>334</v>
      </c>
      <c r="P523" s="1772"/>
      <c r="Q523" s="1772"/>
      <c r="R523" s="1772"/>
      <c r="S523" s="1772"/>
      <c r="T523" s="1772"/>
      <c r="U523" s="1772"/>
      <c r="V523" s="1772"/>
      <c r="W523" s="1772"/>
      <c r="X523" s="1772"/>
      <c r="Y523" s="1772"/>
      <c r="Z523" s="1772"/>
      <c r="AA523" s="1772"/>
      <c r="AC523" s="1746" t="s">
        <v>591</v>
      </c>
      <c r="AD523" s="1739"/>
      <c r="AE523" s="1739"/>
      <c r="AF523" s="1739"/>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668"/>
      <c r="C524" s="1480"/>
      <c r="D524" s="1480"/>
      <c r="E524" s="1480"/>
      <c r="F524" s="1480"/>
      <c r="G524" s="1480"/>
      <c r="H524" s="1481"/>
      <c r="I524" t="s">
        <v>421</v>
      </c>
      <c r="AC524" s="1746" t="s">
        <v>591</v>
      </c>
      <c r="AD524" s="1739"/>
      <c r="AE524" s="1739"/>
      <c r="AF524" s="1739"/>
      <c r="AG524" s="13" t="s">
        <v>403</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668"/>
      <c r="C525" s="1480"/>
      <c r="D525" s="1480"/>
      <c r="E525" s="1480"/>
      <c r="F525" s="1480"/>
      <c r="G525" s="1480"/>
      <c r="H525" s="1481"/>
      <c r="I525" s="48" t="s">
        <v>422</v>
      </c>
      <c r="J525" s="48"/>
      <c r="K525" s="48"/>
      <c r="L525" s="48"/>
      <c r="M525" s="48"/>
      <c r="N525" s="48"/>
      <c r="O525" s="48"/>
      <c r="P525" s="48"/>
      <c r="Q525" s="48"/>
      <c r="R525" s="48"/>
      <c r="S525" s="48"/>
      <c r="T525" s="48"/>
      <c r="U525" s="48"/>
      <c r="V525" s="48"/>
      <c r="W525" s="48"/>
      <c r="X525" s="48"/>
      <c r="Y525" s="48"/>
      <c r="Z525" s="48"/>
      <c r="AA525" s="48"/>
      <c r="AB525" s="48"/>
      <c r="AC525" s="1746" t="s">
        <v>591</v>
      </c>
      <c r="AD525" s="1739"/>
      <c r="AE525" s="1739"/>
      <c r="AF525" s="1739"/>
      <c r="AG525" s="38" t="s">
        <v>403</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668"/>
      <c r="C526" s="1480"/>
      <c r="D526" s="1480"/>
      <c r="E526" s="1480"/>
      <c r="F526" s="1480"/>
      <c r="G526" s="1480"/>
      <c r="H526" s="1481"/>
      <c r="I526" s="42" t="s">
        <v>423</v>
      </c>
      <c r="J526" s="42"/>
      <c r="K526" s="42"/>
      <c r="L526" s="42"/>
      <c r="M526" s="42"/>
      <c r="N526" s="42"/>
      <c r="O526" s="1771" t="s">
        <v>334</v>
      </c>
      <c r="P526" s="1772"/>
      <c r="Q526" s="1772"/>
      <c r="R526" s="1772"/>
      <c r="S526" s="1772"/>
      <c r="T526" s="1772"/>
      <c r="U526" s="1772"/>
      <c r="V526" s="1772"/>
      <c r="W526" s="1772"/>
      <c r="X526" s="1772"/>
      <c r="Y526" s="1772"/>
      <c r="Z526" s="1772"/>
      <c r="AA526" s="1772"/>
      <c r="AC526" s="1746" t="s">
        <v>591</v>
      </c>
      <c r="AD526" s="1739"/>
      <c r="AE526" s="1739"/>
      <c r="AF526" s="1739"/>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668"/>
      <c r="C527" s="1480"/>
      <c r="D527" s="1480"/>
      <c r="E527" s="1480"/>
      <c r="F527" s="1480"/>
      <c r="G527" s="1480"/>
      <c r="H527" s="1481"/>
      <c r="I527" t="s">
        <v>421</v>
      </c>
      <c r="AC527" s="1746" t="s">
        <v>591</v>
      </c>
      <c r="AD527" s="1739"/>
      <c r="AE527" s="1739"/>
      <c r="AF527" s="1739"/>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668"/>
      <c r="C528" s="1480"/>
      <c r="D528" s="1480"/>
      <c r="E528" s="1480"/>
      <c r="F528" s="1480"/>
      <c r="G528" s="1480"/>
      <c r="H528" s="1481"/>
      <c r="I528" s="48" t="s">
        <v>422</v>
      </c>
      <c r="J528" s="48"/>
      <c r="K528" s="48"/>
      <c r="L528" s="48"/>
      <c r="M528" s="48"/>
      <c r="N528" s="48"/>
      <c r="O528" s="48"/>
      <c r="P528" s="48"/>
      <c r="Q528" s="48"/>
      <c r="R528" s="48"/>
      <c r="S528" s="48"/>
      <c r="T528" s="48"/>
      <c r="U528" s="48"/>
      <c r="V528" s="48"/>
      <c r="W528" s="48"/>
      <c r="X528" s="48"/>
      <c r="Y528" s="48"/>
      <c r="Z528" s="48"/>
      <c r="AA528" s="48"/>
      <c r="AB528" s="48"/>
      <c r="AC528" s="1746" t="s">
        <v>591</v>
      </c>
      <c r="AD528" s="1739"/>
      <c r="AE528" s="1739"/>
      <c r="AF528" s="1739"/>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668"/>
      <c r="C529" s="1480"/>
      <c r="D529" s="1480"/>
      <c r="E529" s="1480"/>
      <c r="F529" s="1480"/>
      <c r="G529" s="1480"/>
      <c r="H529" s="1481"/>
      <c r="I529" s="42" t="s">
        <v>423</v>
      </c>
      <c r="J529" s="42"/>
      <c r="K529" s="42"/>
      <c r="L529" s="42"/>
      <c r="M529" s="42"/>
      <c r="N529" s="42"/>
      <c r="O529" s="1771" t="s">
        <v>334</v>
      </c>
      <c r="P529" s="1772"/>
      <c r="Q529" s="1772"/>
      <c r="R529" s="1772"/>
      <c r="S529" s="1772"/>
      <c r="T529" s="1772"/>
      <c r="U529" s="1772"/>
      <c r="V529" s="1772"/>
      <c r="W529" s="1772"/>
      <c r="X529" s="1772"/>
      <c r="Y529" s="1772"/>
      <c r="Z529" s="1772"/>
      <c r="AA529" s="1772"/>
      <c r="AC529" s="1746" t="s">
        <v>591</v>
      </c>
      <c r="AD529" s="1739"/>
      <c r="AE529" s="1739"/>
      <c r="AF529" s="1739"/>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668"/>
      <c r="C530" s="1480"/>
      <c r="D530" s="1480"/>
      <c r="E530" s="1480"/>
      <c r="F530" s="1480"/>
      <c r="G530" s="1480"/>
      <c r="H530" s="1481"/>
      <c r="I530" t="s">
        <v>421</v>
      </c>
      <c r="AC530" s="1746" t="s">
        <v>591</v>
      </c>
      <c r="AD530" s="1739"/>
      <c r="AE530" s="1739"/>
      <c r="AF530" s="1739"/>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668"/>
      <c r="C531" s="1480"/>
      <c r="D531" s="1480"/>
      <c r="E531" s="1480"/>
      <c r="F531" s="1480"/>
      <c r="G531" s="1480"/>
      <c r="H531" s="1481"/>
      <c r="I531" s="48" t="s">
        <v>422</v>
      </c>
      <c r="J531" s="48"/>
      <c r="K531" s="48"/>
      <c r="L531" s="48"/>
      <c r="M531" s="48"/>
      <c r="N531" s="48"/>
      <c r="O531" s="48"/>
      <c r="P531" s="48"/>
      <c r="Q531" s="48"/>
      <c r="R531" s="48"/>
      <c r="S531" s="48"/>
      <c r="T531" s="48"/>
      <c r="U531" s="48"/>
      <c r="V531" s="48"/>
      <c r="W531" s="48"/>
      <c r="X531" s="48"/>
      <c r="Y531" s="48"/>
      <c r="Z531" s="48"/>
      <c r="AA531" s="48"/>
      <c r="AB531" s="48"/>
      <c r="AC531" s="1746" t="s">
        <v>591</v>
      </c>
      <c r="AD531" s="1739"/>
      <c r="AE531" s="1739"/>
      <c r="AF531" s="1739"/>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668"/>
      <c r="C532" s="1480"/>
      <c r="D532" s="1480"/>
      <c r="E532" s="1480"/>
      <c r="F532" s="1480"/>
      <c r="G532" s="1480"/>
      <c r="H532" s="1481"/>
      <c r="I532" s="42" t="s">
        <v>423</v>
      </c>
      <c r="J532" s="42"/>
      <c r="K532" s="42"/>
      <c r="L532" s="42"/>
      <c r="M532" s="42"/>
      <c r="N532" s="42"/>
      <c r="O532" s="1771" t="s">
        <v>334</v>
      </c>
      <c r="P532" s="1772"/>
      <c r="Q532" s="1772"/>
      <c r="R532" s="1772"/>
      <c r="S532" s="1772"/>
      <c r="T532" s="1772"/>
      <c r="U532" s="1772"/>
      <c r="V532" s="1772"/>
      <c r="W532" s="1772"/>
      <c r="X532" s="1772"/>
      <c r="Y532" s="1772"/>
      <c r="Z532" s="1772"/>
      <c r="AA532" s="1772"/>
      <c r="AC532" s="1746" t="s">
        <v>591</v>
      </c>
      <c r="AD532" s="1739"/>
      <c r="AE532" s="1739"/>
      <c r="AF532" s="1739"/>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668"/>
      <c r="C533" s="1480"/>
      <c r="D533" s="1480"/>
      <c r="E533" s="1480"/>
      <c r="F533" s="1480"/>
      <c r="G533" s="1480"/>
      <c r="H533" s="1481"/>
      <c r="I533" t="s">
        <v>421</v>
      </c>
      <c r="AC533" s="1746" t="s">
        <v>591</v>
      </c>
      <c r="AD533" s="1739"/>
      <c r="AE533" s="1739"/>
      <c r="AF533" s="1739"/>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668"/>
      <c r="C534" s="1480"/>
      <c r="D534" s="1480"/>
      <c r="E534" s="1480"/>
      <c r="F534" s="1480"/>
      <c r="G534" s="1480"/>
      <c r="H534" s="1481"/>
      <c r="I534" s="48" t="s">
        <v>422</v>
      </c>
      <c r="J534" s="48"/>
      <c r="K534" s="48"/>
      <c r="L534" s="48"/>
      <c r="M534" s="48"/>
      <c r="N534" s="48"/>
      <c r="O534" s="48"/>
      <c r="P534" s="48"/>
      <c r="Q534" s="48"/>
      <c r="R534" s="48"/>
      <c r="S534" s="48"/>
      <c r="T534" s="48"/>
      <c r="U534" s="48"/>
      <c r="V534" s="48"/>
      <c r="W534" s="48"/>
      <c r="X534" s="48"/>
      <c r="Y534" s="48"/>
      <c r="Z534" s="48"/>
      <c r="AA534" s="48"/>
      <c r="AB534" s="48"/>
      <c r="AC534" s="1746" t="s">
        <v>591</v>
      </c>
      <c r="AD534" s="1739"/>
      <c r="AE534" s="1739"/>
      <c r="AF534" s="1739"/>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668"/>
      <c r="C535" s="1480"/>
      <c r="D535" s="1480"/>
      <c r="E535" s="1480"/>
      <c r="F535" s="1480"/>
      <c r="G535" s="1480"/>
      <c r="H535" s="1481"/>
      <c r="I535" s="42" t="s">
        <v>423</v>
      </c>
      <c r="J535" s="42"/>
      <c r="K535" s="42"/>
      <c r="L535" s="42"/>
      <c r="M535" s="42"/>
      <c r="N535" s="42"/>
      <c r="O535" s="1771" t="s">
        <v>334</v>
      </c>
      <c r="P535" s="1772"/>
      <c r="Q535" s="1772"/>
      <c r="R535" s="1772"/>
      <c r="S535" s="1772"/>
      <c r="T535" s="1772"/>
      <c r="U535" s="1772"/>
      <c r="V535" s="1772"/>
      <c r="W535" s="1772"/>
      <c r="X535" s="1772"/>
      <c r="Y535" s="1772"/>
      <c r="Z535" s="1772"/>
      <c r="AA535" s="1772"/>
      <c r="AC535" s="1746" t="s">
        <v>591</v>
      </c>
      <c r="AD535" s="1739"/>
      <c r="AE535" s="1739"/>
      <c r="AF535" s="1739"/>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668"/>
      <c r="C536" s="1480"/>
      <c r="D536" s="1480"/>
      <c r="E536" s="1480"/>
      <c r="F536" s="1480"/>
      <c r="G536" s="1480"/>
      <c r="H536" s="1481"/>
      <c r="I536" t="s">
        <v>421</v>
      </c>
      <c r="AC536" s="1746" t="s">
        <v>591</v>
      </c>
      <c r="AD536" s="1739"/>
      <c r="AE536" s="1739"/>
      <c r="AF536" s="1739"/>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668"/>
      <c r="C537" s="1480"/>
      <c r="D537" s="1480"/>
      <c r="E537" s="1480"/>
      <c r="F537" s="1480"/>
      <c r="G537" s="1480"/>
      <c r="H537" s="1481"/>
      <c r="I537" s="48" t="s">
        <v>422</v>
      </c>
      <c r="J537" s="48"/>
      <c r="K537" s="48"/>
      <c r="L537" s="48"/>
      <c r="M537" s="48"/>
      <c r="N537" s="48"/>
      <c r="O537" s="48"/>
      <c r="P537" s="48"/>
      <c r="Q537" s="48"/>
      <c r="R537" s="48"/>
      <c r="S537" s="48"/>
      <c r="T537" s="48"/>
      <c r="U537" s="48"/>
      <c r="V537" s="48"/>
      <c r="W537" s="48"/>
      <c r="X537" s="48"/>
      <c r="Y537" s="48"/>
      <c r="Z537" s="48"/>
      <c r="AA537" s="48"/>
      <c r="AB537" s="48"/>
      <c r="AC537" s="1746" t="s">
        <v>591</v>
      </c>
      <c r="AD537" s="1739"/>
      <c r="AE537" s="1739"/>
      <c r="AF537" s="1739"/>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668"/>
      <c r="C538" s="1480"/>
      <c r="D538" s="1480"/>
      <c r="E538" s="1480"/>
      <c r="F538" s="1480"/>
      <c r="G538" s="1480"/>
      <c r="H538" s="1481"/>
      <c r="I538" s="42" t="s">
        <v>562</v>
      </c>
      <c r="J538" s="42"/>
      <c r="K538" s="42"/>
      <c r="L538" s="42"/>
      <c r="M538" s="42"/>
      <c r="N538" s="42"/>
      <c r="O538" s="42"/>
      <c r="P538" s="42"/>
      <c r="Q538" s="42"/>
      <c r="R538" s="42"/>
      <c r="S538" s="42"/>
      <c r="T538" s="42"/>
      <c r="U538" s="42"/>
      <c r="V538" s="42"/>
      <c r="W538" s="42"/>
      <c r="AC538" s="1746" t="s">
        <v>591</v>
      </c>
      <c r="AD538" s="1739"/>
      <c r="AE538" s="1739"/>
      <c r="AF538" s="1739"/>
      <c r="AG538" s="38" t="s">
        <v>403</v>
      </c>
      <c r="AH538" s="1403"/>
      <c r="AI538" s="1403"/>
      <c r="AJ538" s="1403"/>
      <c r="AK538" s="1404"/>
      <c r="AZ538" s="3"/>
      <c r="BA538" s="3"/>
      <c r="BB538" s="3"/>
      <c r="BC538" s="3"/>
      <c r="BD538" s="3"/>
      <c r="BE538" s="3"/>
      <c r="BF538" s="3"/>
      <c r="BG538" s="3"/>
      <c r="BH538" s="3"/>
      <c r="BI538" s="3"/>
      <c r="BJ538" s="3"/>
      <c r="BK538" s="3"/>
      <c r="BL538" s="3"/>
      <c r="BM538" s="3"/>
      <c r="BN538" s="3"/>
    </row>
    <row r="539" spans="1:66" ht="13" customHeight="1">
      <c r="B539" s="1668"/>
      <c r="C539" s="1480"/>
      <c r="D539" s="1480"/>
      <c r="E539" s="1480"/>
      <c r="F539" s="1480"/>
      <c r="G539" s="1480"/>
      <c r="H539" s="1481"/>
      <c r="I539" t="s">
        <v>563</v>
      </c>
      <c r="AC539" s="1746">
        <v>6</v>
      </c>
      <c r="AD539" s="1739"/>
      <c r="AE539" s="1739"/>
      <c r="AF539" s="1739"/>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68"/>
      <c r="C540" s="1480"/>
      <c r="D540" s="1480"/>
      <c r="E540" s="1480"/>
      <c r="F540" s="1480"/>
      <c r="G540" s="1480"/>
      <c r="H540" s="1481"/>
      <c r="I540" t="s">
        <v>564</v>
      </c>
      <c r="AC540" s="1746">
        <v>3</v>
      </c>
      <c r="AD540" s="1739"/>
      <c r="AE540" s="1739"/>
      <c r="AF540" s="1739"/>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68"/>
      <c r="C541" s="1480"/>
      <c r="D541" s="1480"/>
      <c r="E541" s="1480"/>
      <c r="F541" s="1480"/>
      <c r="G541" s="1480"/>
      <c r="H541" s="1481"/>
      <c r="I541" t="s">
        <v>565</v>
      </c>
      <c r="AC541" s="1746">
        <v>3</v>
      </c>
      <c r="AD541" s="1739"/>
      <c r="AE541" s="1739"/>
      <c r="AF541" s="1739"/>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69"/>
      <c r="C542" s="1482"/>
      <c r="D542" s="1482"/>
      <c r="E542" s="1482"/>
      <c r="F542" s="1482"/>
      <c r="G542" s="1482"/>
      <c r="H542" s="1483"/>
      <c r="I542" s="48" t="s">
        <v>451</v>
      </c>
      <c r="J542" s="48"/>
      <c r="K542" s="48"/>
      <c r="L542" s="48"/>
      <c r="M542" s="48"/>
      <c r="N542" s="48"/>
      <c r="O542" s="48"/>
      <c r="P542" s="48"/>
      <c r="Q542" s="48"/>
      <c r="R542" s="48"/>
      <c r="S542" s="48"/>
      <c r="T542" s="48"/>
      <c r="U542" s="48"/>
      <c r="V542" s="48"/>
      <c r="W542" s="48"/>
      <c r="X542" s="48"/>
      <c r="Y542" s="48"/>
      <c r="Z542" s="48"/>
      <c r="AA542" s="48"/>
      <c r="AB542" s="48"/>
      <c r="AC542" s="1746">
        <v>6</v>
      </c>
      <c r="AD542" s="1739"/>
      <c r="AE542" s="1739"/>
      <c r="AF542" s="1739"/>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6" t="s">
        <v>543</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No</v>
      </c>
    </row>
    <row r="551" spans="1:61" ht="13" customHeight="1">
      <c r="B551" s="1667" t="s">
        <v>2102</v>
      </c>
      <c r="C551" s="1478"/>
      <c r="D551" s="1478"/>
      <c r="E551" s="1478"/>
      <c r="F551" s="1478"/>
      <c r="G551" s="1478"/>
      <c r="H551" s="1478"/>
      <c r="I551" s="1478"/>
      <c r="J551" s="1478"/>
      <c r="K551" s="1478"/>
      <c r="L551" s="1479"/>
      <c r="M551" s="1667" t="s">
        <v>2103</v>
      </c>
      <c r="N551" s="1478"/>
      <c r="O551" s="1478"/>
      <c r="P551" s="1479"/>
      <c r="Q551" s="1667" t="s">
        <v>2129</v>
      </c>
      <c r="R551" s="1478"/>
      <c r="S551" s="1479"/>
      <c r="T551" s="1667" t="s">
        <v>2130</v>
      </c>
      <c r="U551" s="1478"/>
      <c r="V551" s="1479"/>
      <c r="W551" s="1667" t="s">
        <v>453</v>
      </c>
      <c r="X551" s="1478"/>
      <c r="Y551" s="1479"/>
      <c r="Z551" s="1667" t="s">
        <v>1851</v>
      </c>
      <c r="AA551" s="1478"/>
      <c r="AB551" s="1478"/>
      <c r="AC551" s="1478"/>
      <c r="AD551" s="1479"/>
      <c r="AE551" s="1667" t="s">
        <v>1676</v>
      </c>
      <c r="AF551" s="1478"/>
      <c r="AG551" s="1478"/>
      <c r="AH551" s="1479"/>
      <c r="AI551" s="1667" t="s">
        <v>1677</v>
      </c>
      <c r="AJ551" s="1478"/>
      <c r="AK551" s="1478"/>
      <c r="AL551" s="1479"/>
      <c r="AM551" s="1667" t="s">
        <v>454</v>
      </c>
      <c r="AN551" s="1478"/>
      <c r="AO551" s="1478"/>
      <c r="AP551" s="1478"/>
      <c r="AQ551" s="1478"/>
      <c r="AR551" s="1478"/>
      <c r="AS551" s="1479"/>
      <c r="BB551" s="3"/>
      <c r="BC551" s="3"/>
      <c r="BD551" s="3"/>
      <c r="BE551" s="3"/>
      <c r="BF551" s="3"/>
      <c r="BG551" s="3"/>
      <c r="BH551" s="3" t="s">
        <v>581</v>
      </c>
      <c r="BI551" s="3" t="str">
        <f>AG657</f>
        <v>No</v>
      </c>
    </row>
    <row r="552" spans="1:61" ht="13" customHeight="1">
      <c r="B552" s="1668"/>
      <c r="C552" s="1480"/>
      <c r="D552" s="1480"/>
      <c r="E552" s="1480"/>
      <c r="F552" s="1480"/>
      <c r="G552" s="1480"/>
      <c r="H552" s="1480"/>
      <c r="I552" s="1480"/>
      <c r="J552" s="1480"/>
      <c r="K552" s="1480"/>
      <c r="L552" s="1481"/>
      <c r="M552" s="1668"/>
      <c r="N552" s="1480"/>
      <c r="O552" s="1480"/>
      <c r="P552" s="1481"/>
      <c r="Q552" s="1668"/>
      <c r="R552" s="1480"/>
      <c r="S552" s="1481"/>
      <c r="T552" s="1668"/>
      <c r="U552" s="1480"/>
      <c r="V552" s="1481"/>
      <c r="W552" s="1668"/>
      <c r="X552" s="1480"/>
      <c r="Y552" s="1481"/>
      <c r="Z552" s="1668"/>
      <c r="AA552" s="1480"/>
      <c r="AB552" s="1480"/>
      <c r="AC552" s="1480"/>
      <c r="AD552" s="1481"/>
      <c r="AE552" s="1668"/>
      <c r="AF552" s="1480"/>
      <c r="AG552" s="1480"/>
      <c r="AH552" s="1481"/>
      <c r="AI552" s="1668"/>
      <c r="AJ552" s="1480"/>
      <c r="AK552" s="1480"/>
      <c r="AL552" s="1481"/>
      <c r="AM552" s="1668"/>
      <c r="AN552" s="1480"/>
      <c r="AO552" s="1480"/>
      <c r="AP552" s="1480"/>
      <c r="AQ552" s="1480"/>
      <c r="AR552" s="1480"/>
      <c r="AS552" s="1481"/>
      <c r="AU552" s="1147"/>
      <c r="BB552" s="3"/>
      <c r="BC552" s="3"/>
      <c r="BD552" s="3"/>
      <c r="BE552" s="3"/>
      <c r="BF552" s="3"/>
      <c r="BG552" s="3"/>
      <c r="BH552" s="3"/>
      <c r="BI552" s="3"/>
    </row>
    <row r="553" spans="1:61" ht="13" customHeight="1">
      <c r="B553" s="1669"/>
      <c r="C553" s="1482"/>
      <c r="D553" s="1482"/>
      <c r="E553" s="1482"/>
      <c r="F553" s="1482"/>
      <c r="G553" s="1482"/>
      <c r="H553" s="1482"/>
      <c r="I553" s="1482"/>
      <c r="J553" s="1482"/>
      <c r="K553" s="1482"/>
      <c r="L553" s="1483"/>
      <c r="M553" s="1669"/>
      <c r="N553" s="1482"/>
      <c r="O553" s="1482"/>
      <c r="P553" s="1483"/>
      <c r="Q553" s="1669"/>
      <c r="R553" s="1482"/>
      <c r="S553" s="1483"/>
      <c r="T553" s="1669"/>
      <c r="U553" s="1482"/>
      <c r="V553" s="1483"/>
      <c r="W553" s="1669"/>
      <c r="X553" s="1482"/>
      <c r="Y553" s="1483"/>
      <c r="Z553" s="1669"/>
      <c r="AA553" s="1482"/>
      <c r="AB553" s="1482"/>
      <c r="AC553" s="1482"/>
      <c r="AD553" s="1483"/>
      <c r="AE553" s="1669"/>
      <c r="AF553" s="1482"/>
      <c r="AG553" s="1482"/>
      <c r="AH553" s="1483"/>
      <c r="AI553" s="1669"/>
      <c r="AJ553" s="1482"/>
      <c r="AK553" s="1482"/>
      <c r="AL553" s="1483"/>
      <c r="AM553" s="1669"/>
      <c r="AN553" s="1482"/>
      <c r="AO553" s="1482"/>
      <c r="AP553" s="1482"/>
      <c r="AQ553" s="1482"/>
      <c r="AR553" s="1482"/>
      <c r="AS553" s="1483"/>
      <c r="AU553" s="1147"/>
      <c r="BB553" s="3"/>
      <c r="BC553" s="3"/>
      <c r="BD553" s="3"/>
      <c r="BE553" s="3"/>
      <c r="BF553" s="3"/>
      <c r="BG553" s="3"/>
      <c r="BH553" s="3"/>
      <c r="BI553" s="3"/>
    </row>
    <row r="554" spans="1:61" ht="13" customHeight="1">
      <c r="B554" s="51" t="s">
        <v>112</v>
      </c>
      <c r="C554" s="1702" t="s">
        <v>2711</v>
      </c>
      <c r="D554" s="1702"/>
      <c r="E554" s="1702"/>
      <c r="F554" s="1702"/>
      <c r="G554" s="1702"/>
      <c r="H554" s="1702"/>
      <c r="I554" s="1702"/>
      <c r="J554" s="1702"/>
      <c r="K554" s="1702"/>
      <c r="L554" s="1702"/>
      <c r="M554" s="1702" t="s">
        <v>2119</v>
      </c>
      <c r="N554" s="1702"/>
      <c r="O554" s="1702"/>
      <c r="P554" s="1702"/>
      <c r="Q554" s="1695">
        <v>27</v>
      </c>
      <c r="R554" s="1695"/>
      <c r="S554" s="1696"/>
      <c r="T554" s="1694"/>
      <c r="U554" s="1695"/>
      <c r="V554" s="1696"/>
      <c r="W554" s="1703">
        <v>0.06</v>
      </c>
      <c r="X554" s="1704"/>
      <c r="Y554" s="1705"/>
      <c r="Z554" s="1701" t="s">
        <v>2717</v>
      </c>
      <c r="AA554" s="1701"/>
      <c r="AB554" s="1701"/>
      <c r="AC554" s="1701"/>
      <c r="AD554" s="1701"/>
      <c r="AE554" s="1688"/>
      <c r="AF554" s="1689"/>
      <c r="AG554" s="1689"/>
      <c r="AH554" s="1690"/>
      <c r="AI554" s="1691"/>
      <c r="AJ554" s="1692"/>
      <c r="AK554" s="1692"/>
      <c r="AL554" s="1693"/>
      <c r="AM554" s="1653">
        <v>10000000</v>
      </c>
      <c r="AN554" s="1654"/>
      <c r="AO554" s="1654"/>
      <c r="AP554" s="1654"/>
      <c r="AQ554" s="1654"/>
      <c r="AR554" s="1654"/>
      <c r="AS554" s="1655"/>
      <c r="AT554" s="1148"/>
      <c r="AU554" s="1147"/>
      <c r="BB554" s="3"/>
      <c r="BC554" s="3"/>
      <c r="BD554" s="3"/>
      <c r="BE554" s="3"/>
      <c r="BF554" s="3"/>
      <c r="BG554" s="3"/>
      <c r="BH554" s="3"/>
      <c r="BI554" s="3"/>
    </row>
    <row r="555" spans="1:61" ht="13" customHeight="1">
      <c r="B555" s="52" t="s">
        <v>113</v>
      </c>
      <c r="C555" s="1698" t="s">
        <v>2712</v>
      </c>
      <c r="D555" s="1698"/>
      <c r="E555" s="1698"/>
      <c r="F555" s="1698"/>
      <c r="G555" s="1698"/>
      <c r="H555" s="1698"/>
      <c r="I555" s="1698"/>
      <c r="J555" s="1698"/>
      <c r="K555" s="1698"/>
      <c r="L555" s="1698"/>
      <c r="M555" s="1702" t="s">
        <v>2118</v>
      </c>
      <c r="N555" s="1702"/>
      <c r="O555" s="1702"/>
      <c r="P555" s="1702"/>
      <c r="Q555" s="1694">
        <v>27</v>
      </c>
      <c r="R555" s="1695"/>
      <c r="S555" s="1696"/>
      <c r="T555" s="1694"/>
      <c r="U555" s="1695"/>
      <c r="V555" s="1696"/>
      <c r="W555" s="1703">
        <v>6.5000000000000002E-2</v>
      </c>
      <c r="X555" s="1704"/>
      <c r="Y555" s="1705"/>
      <c r="Z555" s="1701" t="s">
        <v>2717</v>
      </c>
      <c r="AA555" s="1701"/>
      <c r="AB555" s="1701"/>
      <c r="AC555" s="1701"/>
      <c r="AD555" s="1701"/>
      <c r="AE555" s="1688"/>
      <c r="AF555" s="1689"/>
      <c r="AG555" s="1689"/>
      <c r="AH555" s="1690"/>
      <c r="AI555" s="1691"/>
      <c r="AJ555" s="1692"/>
      <c r="AK555" s="1692"/>
      <c r="AL555" s="1693"/>
      <c r="AM555" s="1653">
        <v>21053733</v>
      </c>
      <c r="AN555" s="1654"/>
      <c r="AO555" s="1654"/>
      <c r="AP555" s="1654"/>
      <c r="AQ555" s="1654"/>
      <c r="AR555" s="1654"/>
      <c r="AS555" s="1655"/>
      <c r="AT555" s="1148" t="str">
        <f>IF(AND(NOT(C554=""),C555="",NOT(C556="")),"!","")</f>
        <v/>
      </c>
      <c r="AU555" s="1147"/>
      <c r="BB555" s="3"/>
      <c r="BC555" s="3"/>
      <c r="BD555" s="3"/>
      <c r="BE555" s="3"/>
      <c r="BF555" s="3"/>
      <c r="BG555" s="3"/>
      <c r="BH555" s="3"/>
      <c r="BI555" s="3"/>
    </row>
    <row r="556" spans="1:61" ht="13" customHeight="1">
      <c r="B556" s="52" t="s">
        <v>119</v>
      </c>
      <c r="C556" s="1698" t="s">
        <v>2762</v>
      </c>
      <c r="D556" s="1698"/>
      <c r="E556" s="1698"/>
      <c r="F556" s="1698"/>
      <c r="G556" s="1698"/>
      <c r="H556" s="1698"/>
      <c r="I556" s="1698"/>
      <c r="J556" s="1698"/>
      <c r="K556" s="1698"/>
      <c r="L556" s="1698"/>
      <c r="M556" s="1702" t="s">
        <v>2120</v>
      </c>
      <c r="N556" s="1702"/>
      <c r="O556" s="1702"/>
      <c r="P556" s="1702"/>
      <c r="Q556" s="1694">
        <v>27</v>
      </c>
      <c r="R556" s="1695"/>
      <c r="S556" s="1696"/>
      <c r="T556" s="1694"/>
      <c r="U556" s="1695"/>
      <c r="V556" s="1696"/>
      <c r="W556" s="1703">
        <v>6.5000000000000002E-2</v>
      </c>
      <c r="X556" s="1704"/>
      <c r="Y556" s="1705"/>
      <c r="Z556" s="1701" t="s">
        <v>2717</v>
      </c>
      <c r="AA556" s="1701"/>
      <c r="AB556" s="1701"/>
      <c r="AC556" s="1701"/>
      <c r="AD556" s="1701"/>
      <c r="AE556" s="1688"/>
      <c r="AF556" s="1689"/>
      <c r="AG556" s="1689"/>
      <c r="AH556" s="1690"/>
      <c r="AI556" s="1691"/>
      <c r="AJ556" s="1692"/>
      <c r="AK556" s="1692"/>
      <c r="AL556" s="1693"/>
      <c r="AM556" s="1653">
        <v>2000000</v>
      </c>
      <c r="AN556" s="1654"/>
      <c r="AO556" s="1654"/>
      <c r="AP556" s="1654"/>
      <c r="AQ556" s="1654"/>
      <c r="AR556" s="1654"/>
      <c r="AS556" s="1655"/>
      <c r="AT556" s="1148" t="str">
        <f>IF(AND(NOT(C555=""),C556="",NOT(C557="")),"!","")</f>
        <v/>
      </c>
      <c r="AU556" s="1147"/>
      <c r="BB556" s="3"/>
      <c r="BC556" s="3"/>
      <c r="BD556" s="3"/>
      <c r="BE556" s="3"/>
      <c r="BF556" s="3"/>
      <c r="BG556" s="3"/>
      <c r="BH556" s="3"/>
      <c r="BI556" s="3"/>
    </row>
    <row r="557" spans="1:61" ht="13" customHeight="1">
      <c r="B557" s="52" t="s">
        <v>581</v>
      </c>
      <c r="C557" s="1698" t="s">
        <v>2713</v>
      </c>
      <c r="D557" s="1698"/>
      <c r="E557" s="1698"/>
      <c r="F557" s="1698"/>
      <c r="G557" s="1698"/>
      <c r="H557" s="1698"/>
      <c r="I557" s="1698"/>
      <c r="J557" s="1698"/>
      <c r="K557" s="1698"/>
      <c r="L557" s="1698"/>
      <c r="M557" s="1702" t="s">
        <v>2110</v>
      </c>
      <c r="N557" s="1702"/>
      <c r="O557" s="1702"/>
      <c r="P557" s="1702"/>
      <c r="Q557" s="1694"/>
      <c r="R557" s="1695"/>
      <c r="S557" s="1696"/>
      <c r="T557" s="1694"/>
      <c r="U557" s="1695"/>
      <c r="V557" s="1696"/>
      <c r="W557" s="1703"/>
      <c r="X557" s="1704"/>
      <c r="Y557" s="1705"/>
      <c r="Z557" s="1701" t="s">
        <v>591</v>
      </c>
      <c r="AA557" s="1701"/>
      <c r="AB557" s="1701"/>
      <c r="AC557" s="1701"/>
      <c r="AD557" s="1701"/>
      <c r="AE557" s="1688"/>
      <c r="AF557" s="1689"/>
      <c r="AG557" s="1689"/>
      <c r="AH557" s="1690"/>
      <c r="AI557" s="1691"/>
      <c r="AJ557" s="1692"/>
      <c r="AK557" s="1692"/>
      <c r="AL557" s="1693"/>
      <c r="AM557" s="1653">
        <v>1415773</v>
      </c>
      <c r="AN557" s="1654"/>
      <c r="AO557" s="1654"/>
      <c r="AP557" s="1654"/>
      <c r="AQ557" s="1654"/>
      <c r="AR557" s="1654"/>
      <c r="AS557" s="1655"/>
      <c r="AT557" s="1148" t="str">
        <f>IF(AND(NOT(C556=""),C557="",NOT(C558="")),"!","")</f>
        <v/>
      </c>
      <c r="AU557" s="1147"/>
      <c r="BB557" s="3"/>
      <c r="BC557" s="3"/>
      <c r="BD557" s="3"/>
      <c r="BE557" s="3"/>
      <c r="BF557" s="3"/>
      <c r="BG557" s="3"/>
      <c r="BH557" s="3"/>
      <c r="BI557" s="3"/>
    </row>
    <row r="558" spans="1:61" ht="13" customHeight="1">
      <c r="B558" s="52" t="s">
        <v>763</v>
      </c>
      <c r="C558" s="1698" t="s">
        <v>2714</v>
      </c>
      <c r="D558" s="1698"/>
      <c r="E558" s="1698"/>
      <c r="F558" s="1698"/>
      <c r="G558" s="1698"/>
      <c r="H558" s="1698"/>
      <c r="I558" s="1698"/>
      <c r="J558" s="1698"/>
      <c r="K558" s="1698"/>
      <c r="L558" s="1698"/>
      <c r="M558" s="1702" t="s">
        <v>2110</v>
      </c>
      <c r="N558" s="1702"/>
      <c r="O558" s="1702"/>
      <c r="P558" s="1702"/>
      <c r="Q558" s="1694"/>
      <c r="R558" s="1695"/>
      <c r="S558" s="1696"/>
      <c r="T558" s="1694"/>
      <c r="U558" s="1695"/>
      <c r="V558" s="1696"/>
      <c r="W558" s="1703"/>
      <c r="X558" s="1704"/>
      <c r="Y558" s="1705"/>
      <c r="Z558" s="1701" t="s">
        <v>591</v>
      </c>
      <c r="AA558" s="1701"/>
      <c r="AB558" s="1701"/>
      <c r="AC558" s="1701"/>
      <c r="AD558" s="1701"/>
      <c r="AE558" s="1688"/>
      <c r="AF558" s="1689"/>
      <c r="AG558" s="1689"/>
      <c r="AH558" s="1690"/>
      <c r="AI558" s="1691"/>
      <c r="AJ558" s="1692"/>
      <c r="AK558" s="1692"/>
      <c r="AL558" s="1693"/>
      <c r="AM558" s="1653">
        <v>391500</v>
      </c>
      <c r="AN558" s="1654"/>
      <c r="AO558" s="1654"/>
      <c r="AP558" s="1654"/>
      <c r="AQ558" s="1654"/>
      <c r="AR558" s="1654"/>
      <c r="AS558" s="1655"/>
      <c r="AT558" s="1148" t="str">
        <f t="shared" ref="AT558:AT565" si="0">IF(AND(NOT(C557=""),C558="",NOT(C559="")),"!","")</f>
        <v/>
      </c>
      <c r="AU558" s="1147"/>
      <c r="BB558" s="3"/>
      <c r="BC558" s="3"/>
      <c r="BD558" s="3"/>
      <c r="BE558" s="3"/>
      <c r="BF558" s="3"/>
      <c r="BG558" s="3"/>
      <c r="BH558" s="3" t="s">
        <v>763</v>
      </c>
      <c r="BI558" s="3" t="str">
        <f>N665</f>
        <v>No</v>
      </c>
    </row>
    <row r="559" spans="1:61" ht="13" customHeight="1">
      <c r="B559" s="52" t="s">
        <v>584</v>
      </c>
      <c r="C559" s="1700" t="s">
        <v>2715</v>
      </c>
      <c r="D559" s="1700"/>
      <c r="E559" s="1700"/>
      <c r="F559" s="1700"/>
      <c r="G559" s="1700"/>
      <c r="H559" s="1700"/>
      <c r="I559" s="1700"/>
      <c r="J559" s="1700"/>
      <c r="K559" s="1700"/>
      <c r="L559" s="1700"/>
      <c r="M559" s="1697" t="s">
        <v>2105</v>
      </c>
      <c r="N559" s="1697"/>
      <c r="O559" s="1697"/>
      <c r="P559" s="1697"/>
      <c r="Q559" s="1694"/>
      <c r="R559" s="1695"/>
      <c r="S559" s="1696"/>
      <c r="T559" s="1694"/>
      <c r="U559" s="1695"/>
      <c r="V559" s="1696"/>
      <c r="W559" s="1703"/>
      <c r="X559" s="1704"/>
      <c r="Y559" s="1705"/>
      <c r="Z559" s="1701" t="s">
        <v>591</v>
      </c>
      <c r="AA559" s="1701"/>
      <c r="AB559" s="1701"/>
      <c r="AC559" s="1701"/>
      <c r="AD559" s="1701"/>
      <c r="AE559" s="1688"/>
      <c r="AF559" s="1689"/>
      <c r="AG559" s="1689"/>
      <c r="AH559" s="1690"/>
      <c r="AI559" s="1691"/>
      <c r="AJ559" s="1692"/>
      <c r="AK559" s="1692"/>
      <c r="AL559" s="1693"/>
      <c r="AM559" s="1653">
        <f>AO641-(AM554+AM555+AM556+AM557+AM558)</f>
        <v>4047126</v>
      </c>
      <c r="AN559" s="1654"/>
      <c r="AO559" s="1654"/>
      <c r="AP559" s="1654"/>
      <c r="AQ559" s="1654"/>
      <c r="AR559" s="1654"/>
      <c r="AS559" s="1655"/>
      <c r="AT559" s="1148" t="str">
        <f t="shared" si="0"/>
        <v/>
      </c>
      <c r="AU559" s="1147"/>
      <c r="BB559" s="3"/>
      <c r="BC559" s="3"/>
      <c r="BD559" s="3"/>
      <c r="BE559" s="3"/>
      <c r="BF559" s="3"/>
      <c r="BG559" s="3"/>
      <c r="BH559" s="3" t="s">
        <v>584</v>
      </c>
      <c r="BI559" s="3" t="str">
        <f>AG665</f>
        <v>No</v>
      </c>
    </row>
    <row r="560" spans="1:61" ht="13" customHeight="1">
      <c r="B560" s="52" t="s">
        <v>455</v>
      </c>
      <c r="C560" s="1700"/>
      <c r="D560" s="1700"/>
      <c r="E560" s="1700"/>
      <c r="F560" s="1700"/>
      <c r="G560" s="1700"/>
      <c r="H560" s="1700"/>
      <c r="I560" s="1700"/>
      <c r="J560" s="1700"/>
      <c r="K560" s="1700"/>
      <c r="L560" s="1700"/>
      <c r="M560" s="1697" t="s">
        <v>1184</v>
      </c>
      <c r="N560" s="1697"/>
      <c r="O560" s="1697"/>
      <c r="P560" s="1697"/>
      <c r="Q560" s="1694"/>
      <c r="R560" s="1695"/>
      <c r="S560" s="1696"/>
      <c r="T560" s="1694"/>
      <c r="U560" s="1695"/>
      <c r="V560" s="1696"/>
      <c r="W560" s="1703"/>
      <c r="X560" s="1704"/>
      <c r="Y560" s="1705"/>
      <c r="Z560" s="1701" t="s">
        <v>1184</v>
      </c>
      <c r="AA560" s="1701"/>
      <c r="AB560" s="1701"/>
      <c r="AC560" s="1701"/>
      <c r="AD560" s="1701"/>
      <c r="AE560" s="1688"/>
      <c r="AF560" s="1689"/>
      <c r="AG560" s="1689"/>
      <c r="AH560" s="1690"/>
      <c r="AI560" s="1691"/>
      <c r="AJ560" s="1692"/>
      <c r="AK560" s="1692"/>
      <c r="AL560" s="1693"/>
      <c r="AM560" s="1653"/>
      <c r="AN560" s="1654"/>
      <c r="AO560" s="1654"/>
      <c r="AP560" s="1654"/>
      <c r="AQ560" s="1654"/>
      <c r="AR560" s="1654"/>
      <c r="AS560" s="1655"/>
      <c r="AT560" s="1148" t="str">
        <f t="shared" si="0"/>
        <v/>
      </c>
      <c r="AU560" s="1147"/>
      <c r="BB560" s="3"/>
      <c r="BC560" s="3"/>
      <c r="BD560" s="3"/>
      <c r="BE560" s="3"/>
      <c r="BF560" s="3"/>
      <c r="BG560" s="3"/>
      <c r="BH560" s="3"/>
      <c r="BI560" s="3"/>
    </row>
    <row r="561" spans="1:61" ht="13" customHeight="1">
      <c r="B561" s="52" t="s">
        <v>456</v>
      </c>
      <c r="C561" s="1700"/>
      <c r="D561" s="1700"/>
      <c r="E561" s="1700"/>
      <c r="F561" s="1700"/>
      <c r="G561" s="1700"/>
      <c r="H561" s="1700"/>
      <c r="I561" s="1700"/>
      <c r="J561" s="1700"/>
      <c r="K561" s="1700"/>
      <c r="L561" s="1700"/>
      <c r="M561" s="1697" t="s">
        <v>1184</v>
      </c>
      <c r="N561" s="1697"/>
      <c r="O561" s="1697"/>
      <c r="P561" s="1697"/>
      <c r="Q561" s="1694"/>
      <c r="R561" s="1695"/>
      <c r="S561" s="1696"/>
      <c r="T561" s="1694"/>
      <c r="U561" s="1695"/>
      <c r="V561" s="1696"/>
      <c r="W561" s="1703"/>
      <c r="X561" s="1704"/>
      <c r="Y561" s="1705"/>
      <c r="Z561" s="1701" t="s">
        <v>1184</v>
      </c>
      <c r="AA561" s="1701"/>
      <c r="AB561" s="1701"/>
      <c r="AC561" s="1701"/>
      <c r="AD561" s="1701"/>
      <c r="AE561" s="1688"/>
      <c r="AF561" s="1689"/>
      <c r="AG561" s="1689"/>
      <c r="AH561" s="1690"/>
      <c r="AI561" s="1691"/>
      <c r="AJ561" s="1692"/>
      <c r="AK561" s="1692"/>
      <c r="AL561" s="1693"/>
      <c r="AM561" s="1653"/>
      <c r="AN561" s="1654"/>
      <c r="AO561" s="1654"/>
      <c r="AP561" s="1654"/>
      <c r="AQ561" s="1654"/>
      <c r="AR561" s="1654"/>
      <c r="AS561" s="1655"/>
      <c r="AT561" s="1148" t="str">
        <f t="shared" si="0"/>
        <v/>
      </c>
      <c r="AU561" s="1147"/>
      <c r="BB561" s="3"/>
      <c r="BC561" s="3"/>
      <c r="BD561" s="3"/>
      <c r="BE561" s="3"/>
      <c r="BF561" s="3"/>
      <c r="BG561" s="3"/>
      <c r="BH561" s="3"/>
      <c r="BI561" s="3"/>
    </row>
    <row r="562" spans="1:61" ht="13" customHeight="1">
      <c r="B562" s="52" t="s">
        <v>461</v>
      </c>
      <c r="C562" s="1700"/>
      <c r="D562" s="1700"/>
      <c r="E562" s="1700"/>
      <c r="F562" s="1700"/>
      <c r="G562" s="1700"/>
      <c r="H562" s="1700"/>
      <c r="I562" s="1700"/>
      <c r="J562" s="1700"/>
      <c r="K562" s="1700"/>
      <c r="L562" s="1700"/>
      <c r="M562" s="1697" t="s">
        <v>1184</v>
      </c>
      <c r="N562" s="1697"/>
      <c r="O562" s="1697"/>
      <c r="P562" s="1697"/>
      <c r="Q562" s="1694"/>
      <c r="R562" s="1695"/>
      <c r="S562" s="1696"/>
      <c r="T562" s="1694"/>
      <c r="U562" s="1695"/>
      <c r="V562" s="1696"/>
      <c r="W562" s="1703"/>
      <c r="X562" s="1704"/>
      <c r="Y562" s="1705"/>
      <c r="Z562" s="1701" t="s">
        <v>1184</v>
      </c>
      <c r="AA562" s="1701"/>
      <c r="AB562" s="1701"/>
      <c r="AC562" s="1701"/>
      <c r="AD562" s="1701"/>
      <c r="AE562" s="1688"/>
      <c r="AF562" s="1689"/>
      <c r="AG562" s="1689"/>
      <c r="AH562" s="1690"/>
      <c r="AI562" s="1691"/>
      <c r="AJ562" s="1692"/>
      <c r="AK562" s="1692"/>
      <c r="AL562" s="1693"/>
      <c r="AM562" s="1653"/>
      <c r="AN562" s="1654"/>
      <c r="AO562" s="1654"/>
      <c r="AP562" s="1654"/>
      <c r="AQ562" s="1654"/>
      <c r="AR562" s="1654"/>
      <c r="AS562" s="1655"/>
      <c r="AT562" s="1148" t="str">
        <f t="shared" si="0"/>
        <v/>
      </c>
      <c r="AU562" s="1147"/>
      <c r="BB562" s="3"/>
      <c r="BC562" s="3"/>
      <c r="BD562" s="3"/>
      <c r="BE562" s="3"/>
      <c r="BF562" s="3"/>
      <c r="BG562" s="3"/>
      <c r="BH562" s="3"/>
      <c r="BI562" s="3"/>
    </row>
    <row r="563" spans="1:61" ht="13" customHeight="1">
      <c r="B563" s="52" t="s">
        <v>646</v>
      </c>
      <c r="C563" s="1700"/>
      <c r="D563" s="1700"/>
      <c r="E563" s="1700"/>
      <c r="F563" s="1700"/>
      <c r="G563" s="1700"/>
      <c r="H563" s="1700"/>
      <c r="I563" s="1700"/>
      <c r="J563" s="1700"/>
      <c r="K563" s="1700"/>
      <c r="L563" s="1700"/>
      <c r="M563" s="1697" t="s">
        <v>1184</v>
      </c>
      <c r="N563" s="1697"/>
      <c r="O563" s="1697"/>
      <c r="P563" s="1697"/>
      <c r="Q563" s="1694"/>
      <c r="R563" s="1695"/>
      <c r="S563" s="1696"/>
      <c r="T563" s="1694"/>
      <c r="U563" s="1695"/>
      <c r="V563" s="1696"/>
      <c r="W563" s="1703"/>
      <c r="X563" s="1704"/>
      <c r="Y563" s="1705"/>
      <c r="Z563" s="1701" t="s">
        <v>1184</v>
      </c>
      <c r="AA563" s="1701"/>
      <c r="AB563" s="1701"/>
      <c r="AC563" s="1701"/>
      <c r="AD563" s="1701"/>
      <c r="AE563" s="1688"/>
      <c r="AF563" s="1689"/>
      <c r="AG563" s="1689"/>
      <c r="AH563" s="1690"/>
      <c r="AI563" s="1691"/>
      <c r="AJ563" s="1692"/>
      <c r="AK563" s="1692"/>
      <c r="AL563" s="1693"/>
      <c r="AM563" s="1653"/>
      <c r="AN563" s="1654"/>
      <c r="AO563" s="1654"/>
      <c r="AP563" s="1654"/>
      <c r="AQ563" s="1654"/>
      <c r="AR563" s="1654"/>
      <c r="AS563" s="1655"/>
      <c r="AT563" s="1148" t="str">
        <f t="shared" si="0"/>
        <v/>
      </c>
      <c r="BB563" s="3"/>
      <c r="BC563" s="3"/>
      <c r="BD563" s="3"/>
      <c r="BE563" s="3"/>
      <c r="BF563" s="3"/>
      <c r="BG563" s="3"/>
      <c r="BH563" s="3"/>
      <c r="BI563" s="3"/>
    </row>
    <row r="564" spans="1:61" ht="13" customHeight="1">
      <c r="B564" s="52" t="s">
        <v>362</v>
      </c>
      <c r="C564" s="1700"/>
      <c r="D564" s="1700"/>
      <c r="E564" s="1700"/>
      <c r="F564" s="1700"/>
      <c r="G564" s="1700"/>
      <c r="H564" s="1700"/>
      <c r="I564" s="1700"/>
      <c r="J564" s="1700"/>
      <c r="K564" s="1700"/>
      <c r="L564" s="1700"/>
      <c r="M564" s="1697" t="s">
        <v>1184</v>
      </c>
      <c r="N564" s="1697"/>
      <c r="O564" s="1697"/>
      <c r="P564" s="1697"/>
      <c r="Q564" s="1694"/>
      <c r="R564" s="1695"/>
      <c r="S564" s="1696"/>
      <c r="T564" s="1694"/>
      <c r="U564" s="1695"/>
      <c r="V564" s="1696"/>
      <c r="W564" s="1703"/>
      <c r="X564" s="1704"/>
      <c r="Y564" s="1705"/>
      <c r="Z564" s="1701" t="s">
        <v>1184</v>
      </c>
      <c r="AA564" s="1701"/>
      <c r="AB564" s="1701"/>
      <c r="AC564" s="1701"/>
      <c r="AD564" s="1701"/>
      <c r="AE564" s="1688"/>
      <c r="AF564" s="1689"/>
      <c r="AG564" s="1689"/>
      <c r="AH564" s="1690"/>
      <c r="AI564" s="1691"/>
      <c r="AJ564" s="1692"/>
      <c r="AK564" s="1692"/>
      <c r="AL564" s="1693"/>
      <c r="AM564" s="1653"/>
      <c r="AN564" s="1654"/>
      <c r="AO564" s="1654"/>
      <c r="AP564" s="1654"/>
      <c r="AQ564" s="1654"/>
      <c r="AR564" s="1654"/>
      <c r="AS564" s="1655"/>
      <c r="AT564" s="1148" t="str">
        <f t="shared" si="0"/>
        <v/>
      </c>
      <c r="BB564" s="3"/>
      <c r="BC564" s="3"/>
      <c r="BD564" s="3"/>
      <c r="BE564" s="3"/>
      <c r="BF564" s="3"/>
      <c r="BG564" s="3"/>
      <c r="BH564" s="3"/>
      <c r="BI564" s="3"/>
    </row>
    <row r="565" spans="1:61" ht="13" customHeight="1">
      <c r="B565" s="52" t="s">
        <v>363</v>
      </c>
      <c r="C565" s="1700"/>
      <c r="D565" s="1700"/>
      <c r="E565" s="1700"/>
      <c r="F565" s="1700"/>
      <c r="G565" s="1700"/>
      <c r="H565" s="1700"/>
      <c r="I565" s="1700"/>
      <c r="J565" s="1700"/>
      <c r="K565" s="1700"/>
      <c r="L565" s="1700"/>
      <c r="M565" s="1697" t="s">
        <v>1184</v>
      </c>
      <c r="N565" s="1697"/>
      <c r="O565" s="1697"/>
      <c r="P565" s="1697"/>
      <c r="Q565" s="1694"/>
      <c r="R565" s="1695"/>
      <c r="S565" s="1696"/>
      <c r="T565" s="1694"/>
      <c r="U565" s="1695"/>
      <c r="V565" s="1696"/>
      <c r="W565" s="1703"/>
      <c r="X565" s="1704"/>
      <c r="Y565" s="1705"/>
      <c r="Z565" s="1701" t="s">
        <v>1184</v>
      </c>
      <c r="AA565" s="1701"/>
      <c r="AB565" s="1701"/>
      <c r="AC565" s="1701"/>
      <c r="AD565" s="1701"/>
      <c r="AE565" s="1688"/>
      <c r="AF565" s="1689"/>
      <c r="AG565" s="1689"/>
      <c r="AH565" s="1690"/>
      <c r="AI565" s="1691"/>
      <c r="AJ565" s="1692"/>
      <c r="AK565" s="1692"/>
      <c r="AL565" s="1693"/>
      <c r="AM565" s="1653"/>
      <c r="AN565" s="1654"/>
      <c r="AO565" s="1654"/>
      <c r="AP565" s="1654"/>
      <c r="AQ565" s="1654"/>
      <c r="AR565" s="1654"/>
      <c r="AS565" s="1655"/>
      <c r="AT565" s="1148" t="str">
        <f t="shared" si="0"/>
        <v/>
      </c>
      <c r="BB565" s="3"/>
      <c r="BC565" s="3"/>
      <c r="BD565" s="3"/>
      <c r="BE565" s="3"/>
      <c r="BF565" s="3"/>
      <c r="BG565" s="3"/>
      <c r="BH565" s="3"/>
      <c r="BI565" s="3"/>
    </row>
    <row r="566" spans="1:61" ht="13" customHeight="1">
      <c r="B566" s="1643" t="s">
        <v>127</v>
      </c>
      <c r="C566" s="1644"/>
      <c r="D566" s="1644"/>
      <c r="E566" s="1644"/>
      <c r="F566" s="1644"/>
      <c r="G566" s="1644"/>
      <c r="H566" s="1644"/>
      <c r="I566" s="1644"/>
      <c r="J566" s="1644"/>
      <c r="K566" s="1644"/>
      <c r="L566" s="1644"/>
      <c r="M566" s="1644"/>
      <c r="N566" s="1644"/>
      <c r="O566" s="1644"/>
      <c r="P566" s="1644"/>
      <c r="Q566" s="1644"/>
      <c r="R566" s="1644"/>
      <c r="S566" s="1644"/>
      <c r="T566" s="1644"/>
      <c r="U566" s="1470"/>
      <c r="V566" s="1644"/>
      <c r="W566" s="1644"/>
      <c r="X566" s="1644"/>
      <c r="Y566" s="1644"/>
      <c r="Z566" s="1644"/>
      <c r="AA566" s="1644"/>
      <c r="AB566" s="1644"/>
      <c r="AC566" s="1644"/>
      <c r="AD566" s="1644"/>
      <c r="AE566" s="1644"/>
      <c r="AF566" s="1644"/>
      <c r="AG566" s="1644"/>
      <c r="AH566" s="1644"/>
      <c r="AI566" s="1644"/>
      <c r="AJ566" s="1644"/>
      <c r="AK566" s="1644"/>
      <c r="AL566" s="1645"/>
      <c r="AM566" s="1610">
        <f>SUM(AM554:AS565)</f>
        <v>38908132</v>
      </c>
      <c r="AN566" s="1611"/>
      <c r="AO566" s="1611"/>
      <c r="AP566" s="1611"/>
      <c r="AQ566" s="1611"/>
      <c r="AR566" s="1611"/>
      <c r="AS566" s="1612"/>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6" t="str">
        <f>C554</f>
        <v>Construction Loan (Tax- Exempt)</v>
      </c>
      <c r="H568" s="1366"/>
      <c r="I568" s="1366"/>
      <c r="J568" s="1366"/>
      <c r="K568" s="1366"/>
      <c r="L568" s="1366"/>
      <c r="M568" s="1366"/>
      <c r="N568" s="1366"/>
      <c r="O568" s="1366"/>
      <c r="P568" s="1366"/>
      <c r="Q568" s="1366"/>
      <c r="R568" s="1366"/>
      <c r="S568" s="8"/>
      <c r="T568" s="55" t="s">
        <v>113</v>
      </c>
      <c r="U568" t="s">
        <v>463</v>
      </c>
      <c r="Z568" s="1366" t="str">
        <f>C555</f>
        <v>Construction Loan (Taxable)</v>
      </c>
      <c r="AA568" s="1366"/>
      <c r="AB568" s="1366"/>
      <c r="AC568" s="1366"/>
      <c r="AD568" s="1366"/>
      <c r="AE568" s="1366"/>
      <c r="AF568" s="1366"/>
      <c r="AG568" s="1366"/>
      <c r="AH568" s="1366"/>
      <c r="AI568" s="1366"/>
      <c r="AJ568" s="1366"/>
      <c r="AK568" s="1366"/>
      <c r="BB568" s="3"/>
      <c r="BC568" s="3"/>
      <c r="BD568" s="3"/>
      <c r="BE568" s="3"/>
      <c r="BF568" s="3"/>
      <c r="BG568" s="3"/>
      <c r="BH568" s="3"/>
      <c r="BI568" s="3"/>
    </row>
    <row r="569" spans="1:61" ht="13" customHeight="1">
      <c r="A569" s="22"/>
      <c r="B569" t="s">
        <v>85</v>
      </c>
      <c r="G569" s="1260" t="s">
        <v>2730</v>
      </c>
      <c r="H569" s="1260"/>
      <c r="I569" s="1260"/>
      <c r="J569" s="1260"/>
      <c r="K569" s="1260"/>
      <c r="L569" s="1260"/>
      <c r="M569" s="1260"/>
      <c r="N569" s="1260"/>
      <c r="O569" s="1260"/>
      <c r="P569" s="1260"/>
      <c r="Q569" s="1260"/>
      <c r="R569" s="1260"/>
      <c r="S569" s="8"/>
      <c r="T569" s="22"/>
      <c r="U569" t="s">
        <v>85</v>
      </c>
      <c r="Z569" s="1346" t="s">
        <v>2730</v>
      </c>
      <c r="AA569" s="1346"/>
      <c r="AB569" s="1346"/>
      <c r="AC569" s="1346" t="s">
        <v>2730</v>
      </c>
      <c r="AD569" s="1346"/>
      <c r="AE569" s="1346"/>
      <c r="AF569" s="1346" t="s">
        <v>2730</v>
      </c>
      <c r="AG569" s="1346"/>
      <c r="AH569" s="1346"/>
      <c r="AI569" s="1346" t="s">
        <v>2730</v>
      </c>
      <c r="AJ569" s="1346"/>
      <c r="AK569" s="1346"/>
      <c r="BB569" s="3"/>
      <c r="BC569" s="3"/>
      <c r="BD569" s="3"/>
      <c r="BE569" s="3"/>
      <c r="BF569" s="3"/>
      <c r="BG569" s="3"/>
      <c r="BH569" s="3"/>
      <c r="BI569" s="3"/>
    </row>
    <row r="570" spans="1:61" ht="13" customHeight="1">
      <c r="A570" s="22"/>
      <c r="B570" t="s">
        <v>580</v>
      </c>
      <c r="G570" s="1260" t="s">
        <v>2731</v>
      </c>
      <c r="H570" s="1260"/>
      <c r="I570" s="1260"/>
      <c r="J570" s="1260"/>
      <c r="K570" s="1260"/>
      <c r="L570" s="1260"/>
      <c r="M570" s="1260"/>
      <c r="N570" s="1260"/>
      <c r="O570" s="1260"/>
      <c r="P570" s="1260"/>
      <c r="Q570" s="1260"/>
      <c r="R570" s="1260"/>
      <c r="T570" s="22"/>
      <c r="U570" t="s">
        <v>580</v>
      </c>
      <c r="Z570" s="1356" t="s">
        <v>2731</v>
      </c>
      <c r="AA570" s="1356"/>
      <c r="AB570" s="1356"/>
      <c r="AC570" s="1356" t="s">
        <v>2731</v>
      </c>
      <c r="AD570" s="1356"/>
      <c r="AE570" s="1356"/>
      <c r="AF570" s="1356" t="s">
        <v>2731</v>
      </c>
      <c r="AG570" s="1356"/>
      <c r="AH570" s="1356"/>
      <c r="AI570" s="1356" t="s">
        <v>2731</v>
      </c>
      <c r="AJ570" s="1356"/>
      <c r="AK570" s="1356"/>
      <c r="BB570" s="3"/>
      <c r="BC570" s="3"/>
      <c r="BD570" s="3"/>
      <c r="BE570" s="3"/>
      <c r="BF570" s="3"/>
      <c r="BG570" s="3"/>
      <c r="BH570" s="3"/>
      <c r="BI570" s="3"/>
    </row>
    <row r="571" spans="1:61" ht="13" customHeight="1">
      <c r="A571" s="22"/>
      <c r="B571" t="s">
        <v>17</v>
      </c>
      <c r="G571" s="1260" t="s">
        <v>2732</v>
      </c>
      <c r="H571" s="1260"/>
      <c r="I571" s="1260"/>
      <c r="J571" s="1260"/>
      <c r="K571" s="1260"/>
      <c r="L571" s="1260"/>
      <c r="M571" s="1260"/>
      <c r="N571" s="1260"/>
      <c r="O571" s="1260"/>
      <c r="P571" s="1260"/>
      <c r="Q571" s="1260"/>
      <c r="R571" s="1260"/>
      <c r="S571" s="8"/>
      <c r="T571" s="22"/>
      <c r="U571" t="s">
        <v>17</v>
      </c>
      <c r="Z571" s="1356" t="s">
        <v>2732</v>
      </c>
      <c r="AA571" s="1356"/>
      <c r="AB571" s="1356"/>
      <c r="AC571" s="1356" t="s">
        <v>2732</v>
      </c>
      <c r="AD571" s="1356"/>
      <c r="AE571" s="1356"/>
      <c r="AF571" s="1356" t="s">
        <v>2732</v>
      </c>
      <c r="AG571" s="1356"/>
      <c r="AH571" s="1356"/>
      <c r="AI571" s="1356" t="s">
        <v>2732</v>
      </c>
      <c r="AJ571" s="1356"/>
      <c r="AK571" s="1356"/>
      <c r="BB571" s="3"/>
      <c r="BC571" s="3"/>
      <c r="BD571" s="3"/>
      <c r="BE571" s="3"/>
      <c r="BF571" s="3"/>
      <c r="BG571" s="3"/>
      <c r="BH571" s="3"/>
      <c r="BI571" s="3"/>
    </row>
    <row r="572" spans="1:61" ht="13" customHeight="1">
      <c r="A572" s="22"/>
      <c r="B572" t="s">
        <v>316</v>
      </c>
      <c r="G572" s="1344">
        <v>2122391914</v>
      </c>
      <c r="H572" s="1344"/>
      <c r="I572" s="1344"/>
      <c r="J572" s="1344"/>
      <c r="K572" s="1344"/>
      <c r="L572" s="1344"/>
      <c r="O572" s="33" t="s">
        <v>206</v>
      </c>
      <c r="P572" s="1484"/>
      <c r="Q572" s="1484"/>
      <c r="R572" s="1484"/>
      <c r="S572" s="10"/>
      <c r="T572" s="22"/>
      <c r="U572" t="s">
        <v>316</v>
      </c>
      <c r="Z572" s="1344">
        <v>2122391914</v>
      </c>
      <c r="AA572" s="1344"/>
      <c r="AB572" s="1344"/>
      <c r="AC572" s="1344"/>
      <c r="AD572" s="1344"/>
      <c r="AE572" s="1344"/>
      <c r="AH572" s="33" t="s">
        <v>206</v>
      </c>
      <c r="AI572" s="1484"/>
      <c r="AJ572" s="1484"/>
      <c r="AK572" s="1484"/>
      <c r="BB572" s="3"/>
      <c r="BC572" s="3"/>
      <c r="BD572" s="3"/>
      <c r="BE572" s="3"/>
      <c r="BF572" s="3"/>
      <c r="BG572" s="3"/>
      <c r="BH572" s="3"/>
      <c r="BI572" s="3"/>
    </row>
    <row r="573" spans="1:61" ht="13" customHeight="1">
      <c r="A573" s="22"/>
      <c r="B573" t="s">
        <v>18</v>
      </c>
      <c r="H573" s="1346" t="s">
        <v>2733</v>
      </c>
      <c r="I573" s="1346"/>
      <c r="J573" s="1346"/>
      <c r="K573" s="1346"/>
      <c r="L573" s="1346"/>
      <c r="M573" s="1346"/>
      <c r="N573" s="1346"/>
      <c r="O573" s="1346"/>
      <c r="P573" s="1346"/>
      <c r="Q573" s="1346"/>
      <c r="R573" s="1346"/>
      <c r="S573" s="8"/>
      <c r="T573" s="22"/>
      <c r="U573" t="s">
        <v>18</v>
      </c>
      <c r="AA573" s="1345" t="s">
        <v>2735</v>
      </c>
      <c r="AB573" s="1346"/>
      <c r="AC573" s="1346"/>
      <c r="AD573" s="1346"/>
      <c r="AE573" s="1346"/>
      <c r="AF573" s="1346"/>
      <c r="AG573" s="1346"/>
      <c r="AH573" s="1346"/>
      <c r="AI573" s="1346"/>
      <c r="AJ573" s="1346"/>
      <c r="AK573" s="1346"/>
      <c r="BB573" s="3"/>
      <c r="BC573" s="3"/>
      <c r="BD573" s="3"/>
      <c r="BE573" s="3"/>
      <c r="BF573" s="3"/>
      <c r="BG573" s="3"/>
      <c r="BH573" s="3"/>
      <c r="BI573" s="3"/>
    </row>
    <row r="574" spans="1:61" ht="13" customHeight="1">
      <c r="A574" s="22"/>
      <c r="B574" s="320" t="s">
        <v>1185</v>
      </c>
      <c r="H574" s="8"/>
      <c r="I574" s="8"/>
      <c r="J574" s="8"/>
      <c r="K574" s="8"/>
      <c r="L574" s="8"/>
      <c r="M574" s="1699"/>
      <c r="N574" s="1699"/>
      <c r="O574" s="1699"/>
      <c r="P574" s="1699"/>
      <c r="Q574" s="1699"/>
      <c r="R574" s="1699"/>
      <c r="S574" s="8"/>
      <c r="T574" s="22"/>
      <c r="U574" s="320" t="s">
        <v>1185</v>
      </c>
      <c r="AA574" s="8"/>
      <c r="AB574" s="8"/>
      <c r="AC574" s="8"/>
      <c r="AD574" s="8"/>
      <c r="AE574" s="8"/>
      <c r="AF574" s="1699"/>
      <c r="AG574" s="1699"/>
      <c r="AH574" s="1699"/>
      <c r="AI574" s="1699"/>
      <c r="AJ574" s="1699"/>
      <c r="AK574" s="1699"/>
      <c r="BB574" s="3"/>
      <c r="BC574" s="3"/>
      <c r="BD574" s="3"/>
      <c r="BE574" s="3"/>
      <c r="BF574" s="3"/>
      <c r="BG574" s="3"/>
      <c r="BH574" s="3"/>
      <c r="BI574" s="3"/>
    </row>
    <row r="575" spans="1:61" ht="13" customHeight="1">
      <c r="A575" s="22"/>
      <c r="B575" t="s">
        <v>20</v>
      </c>
      <c r="N575" s="1339" t="s">
        <v>545</v>
      </c>
      <c r="O575" s="1339"/>
      <c r="T575" s="22"/>
      <c r="U575" t="s">
        <v>20</v>
      </c>
      <c r="AG575" s="1339" t="s">
        <v>545</v>
      </c>
      <c r="AH575" s="1339"/>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6" t="str">
        <f>C556</f>
        <v xml:space="preserve">Construction loan(recycled bonds) </v>
      </c>
      <c r="H577" s="1366"/>
      <c r="I577" s="1366"/>
      <c r="J577" s="1366"/>
      <c r="K577" s="1366"/>
      <c r="L577" s="1366"/>
      <c r="M577" s="1366"/>
      <c r="N577" s="1366"/>
      <c r="O577" s="1366"/>
      <c r="P577" s="1366"/>
      <c r="Q577" s="1366"/>
      <c r="R577" s="1366"/>
      <c r="T577" s="55" t="s">
        <v>581</v>
      </c>
      <c r="U577" t="s">
        <v>463</v>
      </c>
      <c r="Z577" s="1366" t="str">
        <f>C557</f>
        <v>Federal LIHTC Equity</v>
      </c>
      <c r="AA577" s="1366"/>
      <c r="AB577" s="1366"/>
      <c r="AC577" s="1366"/>
      <c r="AD577" s="1366"/>
      <c r="AE577" s="1366"/>
      <c r="AF577" s="1366"/>
      <c r="AG577" s="1366"/>
      <c r="AH577" s="1366"/>
      <c r="AI577" s="1366"/>
      <c r="AJ577" s="1366"/>
      <c r="AK577" s="1366"/>
      <c r="BB577" s="3"/>
      <c r="BC577" s="3"/>
    </row>
    <row r="578" spans="1:55" ht="13" customHeight="1">
      <c r="A578" s="22"/>
      <c r="B578" t="s">
        <v>85</v>
      </c>
      <c r="G578" s="1346" t="s">
        <v>2730</v>
      </c>
      <c r="H578" s="1346"/>
      <c r="I578" s="1346"/>
      <c r="J578" s="1346" t="s">
        <v>2730</v>
      </c>
      <c r="K578" s="1346"/>
      <c r="L578" s="1346"/>
      <c r="M578" s="1346" t="s">
        <v>2730</v>
      </c>
      <c r="N578" s="1346"/>
      <c r="O578" s="1346"/>
      <c r="P578" s="1346" t="s">
        <v>2730</v>
      </c>
      <c r="Q578" s="1346"/>
      <c r="R578" s="1346"/>
      <c r="T578" s="22"/>
      <c r="U578" t="s">
        <v>85</v>
      </c>
      <c r="Z578" s="1706" t="s">
        <v>2679</v>
      </c>
      <c r="AA578" s="1706"/>
      <c r="AB578" s="1706"/>
      <c r="AC578" s="1706"/>
      <c r="AD578" s="1706"/>
      <c r="AE578" s="1706"/>
      <c r="AF578" s="1706"/>
      <c r="AG578" s="1706"/>
      <c r="AH578" s="1706"/>
      <c r="AI578" s="1706"/>
      <c r="AJ578" s="1706"/>
      <c r="AK578" s="1706"/>
      <c r="BB578" s="3"/>
      <c r="BC578" s="3"/>
    </row>
    <row r="579" spans="1:55" ht="13" customHeight="1">
      <c r="A579" s="22"/>
      <c r="B579" t="s">
        <v>580</v>
      </c>
      <c r="G579" s="1356" t="s">
        <v>2731</v>
      </c>
      <c r="H579" s="1356"/>
      <c r="I579" s="1356"/>
      <c r="J579" s="1356" t="s">
        <v>2731</v>
      </c>
      <c r="K579" s="1356"/>
      <c r="L579" s="1356"/>
      <c r="M579" s="1356" t="s">
        <v>2731</v>
      </c>
      <c r="N579" s="1356"/>
      <c r="O579" s="1356"/>
      <c r="P579" s="1356" t="s">
        <v>2731</v>
      </c>
      <c r="Q579" s="1356"/>
      <c r="R579" s="1356"/>
      <c r="T579" s="22"/>
      <c r="U579" t="s">
        <v>580</v>
      </c>
      <c r="Z579" s="1793" t="s">
        <v>2725</v>
      </c>
      <c r="AA579" s="1793"/>
      <c r="AB579" s="1793"/>
      <c r="AC579" s="1793"/>
      <c r="AD579" s="1793"/>
      <c r="AE579" s="1793"/>
      <c r="AF579" s="1793"/>
      <c r="AG579" s="1793"/>
      <c r="AH579" s="1793"/>
      <c r="AI579" s="1793"/>
      <c r="AJ579" s="1793"/>
      <c r="AK579" s="1793"/>
      <c r="BB579" s="3"/>
      <c r="BC579" s="3"/>
    </row>
    <row r="580" spans="1:55" ht="13" customHeight="1">
      <c r="A580" s="22"/>
      <c r="B580" t="s">
        <v>17</v>
      </c>
      <c r="G580" s="1356" t="s">
        <v>2732</v>
      </c>
      <c r="H580" s="1356"/>
      <c r="I580" s="1356"/>
      <c r="J580" s="1356" t="s">
        <v>2732</v>
      </c>
      <c r="K580" s="1356"/>
      <c r="L580" s="1356"/>
      <c r="M580" s="1356" t="s">
        <v>2732</v>
      </c>
      <c r="N580" s="1356"/>
      <c r="O580" s="1356"/>
      <c r="P580" s="1356" t="s">
        <v>2732</v>
      </c>
      <c r="Q580" s="1356"/>
      <c r="R580" s="1356"/>
      <c r="T580" s="22"/>
      <c r="U580" t="s">
        <v>17</v>
      </c>
      <c r="Z580" s="1793" t="s">
        <v>2681</v>
      </c>
      <c r="AA580" s="1793"/>
      <c r="AB580" s="1793"/>
      <c r="AC580" s="1793"/>
      <c r="AD580" s="1793"/>
      <c r="AE580" s="1793"/>
      <c r="AF580" s="1793"/>
      <c r="AG580" s="1793"/>
      <c r="AH580" s="1793"/>
      <c r="AI580" s="1793"/>
      <c r="AJ580" s="1793"/>
      <c r="AK580" s="1793"/>
      <c r="BB580" s="3"/>
      <c r="BC580" s="3"/>
    </row>
    <row r="581" spans="1:55" ht="13" customHeight="1">
      <c r="A581" s="22"/>
      <c r="B581" t="s">
        <v>316</v>
      </c>
      <c r="G581" s="1344">
        <v>2122391914</v>
      </c>
      <c r="H581" s="1344"/>
      <c r="I581" s="1344"/>
      <c r="J581" s="1344"/>
      <c r="K581" s="1344"/>
      <c r="L581" s="1344"/>
      <c r="O581" s="33" t="s">
        <v>206</v>
      </c>
      <c r="P581" s="1484"/>
      <c r="Q581" s="1484"/>
      <c r="R581" s="1484"/>
      <c r="T581" s="22"/>
      <c r="U581" t="s">
        <v>316</v>
      </c>
      <c r="Z581" s="1707" t="s">
        <v>2682</v>
      </c>
      <c r="AA581" s="1707"/>
      <c r="AB581" s="1707"/>
      <c r="AC581" s="1707"/>
      <c r="AD581" s="1707"/>
      <c r="AE581" s="1707"/>
      <c r="AH581" s="33" t="s">
        <v>206</v>
      </c>
      <c r="AI581" s="1484"/>
      <c r="AJ581" s="1484"/>
      <c r="AK581" s="1484"/>
      <c r="BB581" s="3"/>
      <c r="BC581" s="3"/>
    </row>
    <row r="582" spans="1:55" ht="13" customHeight="1">
      <c r="A582" s="22"/>
      <c r="B582" t="s">
        <v>18</v>
      </c>
      <c r="H582" s="1345" t="s">
        <v>2760</v>
      </c>
      <c r="I582" s="1346"/>
      <c r="J582" s="1346"/>
      <c r="K582" s="1346"/>
      <c r="L582" s="1346"/>
      <c r="M582" s="1346"/>
      <c r="N582" s="1346"/>
      <c r="O582" s="1346"/>
      <c r="P582" s="1346"/>
      <c r="Q582" s="1346"/>
      <c r="R582" s="1346"/>
      <c r="T582" s="22"/>
      <c r="U582" t="s">
        <v>18</v>
      </c>
      <c r="AA582" s="1706" t="s">
        <v>2726</v>
      </c>
      <c r="AB582" s="1706"/>
      <c r="AC582" s="1706"/>
      <c r="AD582" s="1706"/>
      <c r="AE582" s="1706"/>
      <c r="AF582" s="1706"/>
      <c r="AG582" s="1706"/>
      <c r="AH582" s="1706"/>
      <c r="AI582" s="1706"/>
      <c r="AJ582" s="1706"/>
      <c r="AK582" s="1706"/>
      <c r="BB582" s="3"/>
      <c r="BC582" s="3"/>
    </row>
    <row r="583" spans="1:55" ht="13" customHeight="1">
      <c r="A583" s="22"/>
      <c r="B583" t="s">
        <v>20</v>
      </c>
      <c r="N583" s="1339" t="s">
        <v>545</v>
      </c>
      <c r="O583" s="1339"/>
      <c r="T583" s="22"/>
      <c r="U583" t="s">
        <v>20</v>
      </c>
      <c r="AG583" s="1339" t="s">
        <v>545</v>
      </c>
      <c r="AH583" s="1339"/>
      <c r="BB583" s="3"/>
      <c r="BC583" s="3"/>
    </row>
    <row r="584" spans="1:55" ht="13" customHeight="1">
      <c r="A584" s="22"/>
      <c r="T584" s="22"/>
      <c r="BB584" s="3"/>
      <c r="BC584" s="3"/>
    </row>
    <row r="585" spans="1:55" ht="13" customHeight="1">
      <c r="A585" s="55" t="s">
        <v>763</v>
      </c>
      <c r="B585" t="s">
        <v>463</v>
      </c>
      <c r="G585" s="1366" t="str">
        <f>C558</f>
        <v>State LIHTC Equity</v>
      </c>
      <c r="H585" s="1366"/>
      <c r="I585" s="1366"/>
      <c r="J585" s="1366"/>
      <c r="K585" s="1366"/>
      <c r="L585" s="1366"/>
      <c r="M585" s="1366"/>
      <c r="N585" s="1366"/>
      <c r="O585" s="1366"/>
      <c r="P585" s="1366"/>
      <c r="Q585" s="1366"/>
      <c r="R585" s="1366"/>
      <c r="T585" s="55" t="s">
        <v>584</v>
      </c>
      <c r="U585" t="s">
        <v>463</v>
      </c>
      <c r="Z585" s="1366" t="str">
        <f>C559</f>
        <v>Deferred Costs</v>
      </c>
      <c r="AA585" s="1366"/>
      <c r="AB585" s="1366"/>
      <c r="AC585" s="1366"/>
      <c r="AD585" s="1366"/>
      <c r="AE585" s="1366"/>
      <c r="AF585" s="1366"/>
      <c r="AG585" s="1366"/>
      <c r="AH585" s="1366"/>
      <c r="AI585" s="1366"/>
      <c r="AJ585" s="1366"/>
      <c r="AK585" s="1366"/>
      <c r="BB585" s="3"/>
      <c r="BC585" s="3"/>
    </row>
    <row r="586" spans="1:55" ht="13" customHeight="1">
      <c r="A586" s="22"/>
      <c r="B586" t="s">
        <v>85</v>
      </c>
      <c r="G586" s="1346" t="s">
        <v>2679</v>
      </c>
      <c r="H586" s="1346"/>
      <c r="I586" s="1346"/>
      <c r="J586" s="1346"/>
      <c r="K586" s="1346"/>
      <c r="L586" s="1346"/>
      <c r="M586" s="1346"/>
      <c r="N586" s="1346"/>
      <c r="O586" s="1346"/>
      <c r="P586" s="1346"/>
      <c r="Q586" s="1346"/>
      <c r="R586" s="1346"/>
      <c r="T586" s="22"/>
      <c r="U586" t="s">
        <v>85</v>
      </c>
      <c r="Z586" s="1706" t="s">
        <v>2727</v>
      </c>
      <c r="AA586" s="1706"/>
      <c r="AB586" s="1706"/>
      <c r="AC586" s="1706"/>
      <c r="AD586" s="1706"/>
      <c r="AE586" s="1706"/>
      <c r="AF586" s="1706"/>
      <c r="AG586" s="1706"/>
      <c r="AH586" s="1706"/>
      <c r="AI586" s="1706"/>
      <c r="AJ586" s="1706"/>
      <c r="AK586" s="1706"/>
      <c r="BB586" s="3"/>
      <c r="BC586" s="3"/>
    </row>
    <row r="587" spans="1:55" ht="13" customHeight="1">
      <c r="A587" s="22"/>
      <c r="B587" t="s">
        <v>580</v>
      </c>
      <c r="G587" s="1346" t="s">
        <v>2725</v>
      </c>
      <c r="H587" s="1346"/>
      <c r="I587" s="1346"/>
      <c r="J587" s="1346"/>
      <c r="K587" s="1346"/>
      <c r="L587" s="1346"/>
      <c r="M587" s="1346"/>
      <c r="N587" s="1346"/>
      <c r="O587" s="1346"/>
      <c r="P587" s="1346"/>
      <c r="Q587" s="1346"/>
      <c r="R587" s="1346"/>
      <c r="T587" s="22"/>
      <c r="U587" t="s">
        <v>580</v>
      </c>
      <c r="Z587" s="1706" t="s">
        <v>2728</v>
      </c>
      <c r="AA587" s="1706"/>
      <c r="AB587" s="1706"/>
      <c r="AC587" s="1706"/>
      <c r="AD587" s="1706"/>
      <c r="AE587" s="1706"/>
      <c r="AF587" s="1706"/>
      <c r="AG587" s="1706"/>
      <c r="AH587" s="1706"/>
      <c r="AI587" s="1706"/>
      <c r="AJ587" s="1706"/>
      <c r="AK587" s="1706"/>
      <c r="BB587" s="3"/>
      <c r="BC587" s="3"/>
    </row>
    <row r="588" spans="1:55" ht="13" customHeight="1">
      <c r="A588" s="22"/>
      <c r="B588" t="s">
        <v>17</v>
      </c>
      <c r="G588" s="1346" t="s">
        <v>2681</v>
      </c>
      <c r="H588" s="1346"/>
      <c r="I588" s="1346"/>
      <c r="J588" s="1346"/>
      <c r="K588" s="1346"/>
      <c r="L588" s="1346"/>
      <c r="M588" s="1346"/>
      <c r="N588" s="1346"/>
      <c r="O588" s="1346"/>
      <c r="P588" s="1346"/>
      <c r="Q588" s="1346"/>
      <c r="R588" s="1346"/>
      <c r="T588" s="22"/>
      <c r="U588" t="s">
        <v>17</v>
      </c>
      <c r="Z588" s="1706" t="s">
        <v>2619</v>
      </c>
      <c r="AA588" s="1706"/>
      <c r="AB588" s="1706"/>
      <c r="AC588" s="1706"/>
      <c r="AD588" s="1706"/>
      <c r="AE588" s="1706"/>
      <c r="AF588" s="1706"/>
      <c r="AG588" s="1706"/>
      <c r="AH588" s="1706"/>
      <c r="AI588" s="1706"/>
      <c r="AJ588" s="1706"/>
      <c r="AK588" s="1706"/>
    </row>
    <row r="589" spans="1:55" ht="13" customHeight="1">
      <c r="A589" s="22"/>
      <c r="B589" t="s">
        <v>316</v>
      </c>
      <c r="G589" s="1344" t="s">
        <v>2682</v>
      </c>
      <c r="H589" s="1344"/>
      <c r="I589" s="1344"/>
      <c r="J589" s="1344"/>
      <c r="K589" s="1344"/>
      <c r="L589" s="1344"/>
      <c r="O589" s="33" t="s">
        <v>206</v>
      </c>
      <c r="P589" s="1484"/>
      <c r="Q589" s="1484"/>
      <c r="R589" s="1484"/>
      <c r="T589" s="22"/>
      <c r="U589" t="s">
        <v>316</v>
      </c>
      <c r="Z589" s="1707" t="s">
        <v>2672</v>
      </c>
      <c r="AA589" s="1707"/>
      <c r="AB589" s="1707"/>
      <c r="AC589" s="1707"/>
      <c r="AD589" s="1707"/>
      <c r="AE589" s="1707"/>
      <c r="AH589" s="33" t="s">
        <v>206</v>
      </c>
      <c r="AI589" s="1484"/>
      <c r="AJ589" s="1484"/>
      <c r="AK589" s="1484"/>
      <c r="AZ589" s="3"/>
      <c r="BA589" s="3"/>
      <c r="BB589" s="3"/>
      <c r="BC589" s="3"/>
    </row>
    <row r="590" spans="1:55" ht="13" customHeight="1">
      <c r="A590" s="22"/>
      <c r="B590" t="s">
        <v>18</v>
      </c>
      <c r="H590" s="1346" t="s">
        <v>2726</v>
      </c>
      <c r="I590" s="1346"/>
      <c r="J590" s="1346"/>
      <c r="K590" s="1346"/>
      <c r="L590" s="1346"/>
      <c r="M590" s="1346"/>
      <c r="N590" s="1346"/>
      <c r="O590" s="1346"/>
      <c r="P590" s="1346"/>
      <c r="Q590" s="1346"/>
      <c r="R590" s="1346"/>
      <c r="T590" s="22"/>
      <c r="U590" t="s">
        <v>18</v>
      </c>
      <c r="AA590" s="1706" t="s">
        <v>2729</v>
      </c>
      <c r="AB590" s="1706"/>
      <c r="AC590" s="1706"/>
      <c r="AD590" s="1706"/>
      <c r="AE590" s="1706"/>
      <c r="AF590" s="1706"/>
      <c r="AG590" s="1706"/>
      <c r="AH590" s="1706"/>
      <c r="AI590" s="1706"/>
      <c r="AJ590" s="1706"/>
      <c r="AK590" s="1706"/>
      <c r="AZ590" s="3"/>
      <c r="BA590" s="3"/>
      <c r="BB590" s="3"/>
      <c r="BC590" s="3"/>
    </row>
    <row r="591" spans="1:55" ht="13" customHeight="1">
      <c r="A591" s="22"/>
      <c r="B591" t="s">
        <v>20</v>
      </c>
      <c r="N591" s="1339" t="s">
        <v>545</v>
      </c>
      <c r="O591" s="1339"/>
      <c r="T591" s="22"/>
      <c r="U591" t="s">
        <v>20</v>
      </c>
      <c r="AG591" s="1339" t="s">
        <v>545</v>
      </c>
      <c r="AH591" s="1339"/>
      <c r="AZ591" s="3"/>
      <c r="BA591" s="3"/>
      <c r="BB591" s="3"/>
      <c r="BC591" s="3"/>
    </row>
    <row r="592" spans="1:55" ht="13" customHeight="1">
      <c r="A592" s="22"/>
      <c r="T592" s="22"/>
      <c r="AZ592" s="3"/>
      <c r="BA592" s="3"/>
      <c r="BB592" s="3"/>
      <c r="BC592" s="3"/>
    </row>
    <row r="593" spans="1:55" ht="13" customHeight="1">
      <c r="A593" s="55" t="s">
        <v>455</v>
      </c>
      <c r="B593" t="s">
        <v>463</v>
      </c>
      <c r="G593" s="1366">
        <f>C560</f>
        <v>0</v>
      </c>
      <c r="H593" s="1366"/>
      <c r="I593" s="1366"/>
      <c r="J593" s="1366"/>
      <c r="K593" s="1366"/>
      <c r="L593" s="1366"/>
      <c r="M593" s="1366"/>
      <c r="N593" s="1366"/>
      <c r="O593" s="1366"/>
      <c r="P593" s="1366"/>
      <c r="Q593" s="1366"/>
      <c r="R593" s="1366"/>
      <c r="T593" s="55" t="s">
        <v>456</v>
      </c>
      <c r="U593" t="s">
        <v>463</v>
      </c>
      <c r="Z593" s="1366">
        <f>C561</f>
        <v>0</v>
      </c>
      <c r="AA593" s="1366"/>
      <c r="AB593" s="1366"/>
      <c r="AC593" s="1366"/>
      <c r="AD593" s="1366"/>
      <c r="AE593" s="1366"/>
      <c r="AF593" s="1366"/>
      <c r="AG593" s="1366"/>
      <c r="AH593" s="1366"/>
      <c r="AI593" s="1366"/>
      <c r="AJ593" s="1366"/>
      <c r="AK593" s="1366"/>
      <c r="AZ593" s="3"/>
      <c r="BA593" s="3"/>
      <c r="BB593" s="3"/>
      <c r="BC593" s="3"/>
    </row>
    <row r="594" spans="1:55" s="4" customFormat="1" ht="13" customHeight="1">
      <c r="A594" s="22"/>
      <c r="B594" t="s">
        <v>85</v>
      </c>
      <c r="C594"/>
      <c r="D594"/>
      <c r="E594"/>
      <c r="F594"/>
      <c r="G594" s="1346"/>
      <c r="H594" s="1346"/>
      <c r="I594" s="1346"/>
      <c r="J594" s="1346"/>
      <c r="K594" s="1346"/>
      <c r="L594" s="1346"/>
      <c r="M594" s="1346"/>
      <c r="N594" s="1346"/>
      <c r="O594" s="1346"/>
      <c r="P594" s="1346"/>
      <c r="Q594" s="1346"/>
      <c r="R594" s="1346"/>
      <c r="S594"/>
      <c r="T594" s="22"/>
      <c r="U594" t="s">
        <v>85</v>
      </c>
      <c r="V594"/>
      <c r="W594"/>
      <c r="X594"/>
      <c r="Y594"/>
      <c r="Z594" s="1346"/>
      <c r="AA594" s="1346"/>
      <c r="AB594" s="1346"/>
      <c r="AC594" s="1346"/>
      <c r="AD594" s="1346"/>
      <c r="AE594" s="1346"/>
      <c r="AF594" s="1346"/>
      <c r="AG594" s="1346"/>
      <c r="AH594" s="1346"/>
      <c r="AI594" s="1346"/>
      <c r="AJ594" s="1346"/>
      <c r="AK594" s="1346"/>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46"/>
      <c r="H595" s="1346"/>
      <c r="I595" s="1346"/>
      <c r="J595" s="1346"/>
      <c r="K595" s="1346"/>
      <c r="L595" s="1346"/>
      <c r="M595" s="1346"/>
      <c r="N595" s="1346"/>
      <c r="O595" s="1346"/>
      <c r="P595" s="1346"/>
      <c r="Q595" s="1346"/>
      <c r="R595" s="1346"/>
      <c r="S595"/>
      <c r="T595" s="22"/>
      <c r="U595" t="s">
        <v>580</v>
      </c>
      <c r="V595"/>
      <c r="W595"/>
      <c r="X595"/>
      <c r="Y595"/>
      <c r="Z595" s="1356"/>
      <c r="AA595" s="1356"/>
      <c r="AB595" s="1356"/>
      <c r="AC595" s="1356"/>
      <c r="AD595" s="1356"/>
      <c r="AE595" s="1356"/>
      <c r="AF595" s="1356"/>
      <c r="AG595" s="1356"/>
      <c r="AH595" s="1356"/>
      <c r="AI595" s="1356"/>
      <c r="AJ595" s="1356"/>
      <c r="AK595" s="1356"/>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46"/>
      <c r="H596" s="1346"/>
      <c r="I596" s="1346"/>
      <c r="J596" s="1346"/>
      <c r="K596" s="1346"/>
      <c r="L596" s="1346"/>
      <c r="M596" s="1346"/>
      <c r="N596" s="1346"/>
      <c r="O596" s="1346"/>
      <c r="P596" s="1346"/>
      <c r="Q596" s="1346"/>
      <c r="R596" s="1346"/>
      <c r="S596"/>
      <c r="T596" s="22"/>
      <c r="U596" t="s">
        <v>17</v>
      </c>
      <c r="V596"/>
      <c r="W596"/>
      <c r="X596"/>
      <c r="Y596"/>
      <c r="Z596" s="1356"/>
      <c r="AA596" s="1356"/>
      <c r="AB596" s="1356"/>
      <c r="AC596" s="1356"/>
      <c r="AD596" s="1356"/>
      <c r="AE596" s="1356"/>
      <c r="AF596" s="1356"/>
      <c r="AG596" s="1356"/>
      <c r="AH596" s="1356"/>
      <c r="AI596" s="1356"/>
      <c r="AJ596" s="1356"/>
      <c r="AK596" s="1356"/>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4"/>
      <c r="H597" s="1344"/>
      <c r="I597" s="1344"/>
      <c r="J597" s="1344"/>
      <c r="K597" s="1344"/>
      <c r="L597" s="1344"/>
      <c r="M597"/>
      <c r="N597"/>
      <c r="O597" s="33" t="s">
        <v>206</v>
      </c>
      <c r="P597" s="1484"/>
      <c r="Q597" s="1484"/>
      <c r="R597" s="1484"/>
      <c r="S597"/>
      <c r="T597" s="22"/>
      <c r="U597" t="s">
        <v>316</v>
      </c>
      <c r="V597"/>
      <c r="W597"/>
      <c r="X597"/>
      <c r="Y597"/>
      <c r="Z597" s="1344"/>
      <c r="AA597" s="1344"/>
      <c r="AB597" s="1344"/>
      <c r="AC597" s="1344"/>
      <c r="AD597" s="1344"/>
      <c r="AE597" s="1344"/>
      <c r="AF597"/>
      <c r="AG597"/>
      <c r="AH597" s="33" t="s">
        <v>206</v>
      </c>
      <c r="AI597" s="1484"/>
      <c r="AJ597" s="1484"/>
      <c r="AK597" s="148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46"/>
      <c r="I598" s="1346"/>
      <c r="J598" s="1346"/>
      <c r="K598" s="1346"/>
      <c r="L598" s="1346"/>
      <c r="M598" s="1346"/>
      <c r="N598" s="1346"/>
      <c r="O598" s="1346"/>
      <c r="P598" s="1346"/>
      <c r="Q598" s="1346"/>
      <c r="R598" s="1346"/>
      <c r="S598"/>
      <c r="T598" s="22"/>
      <c r="U598" t="s">
        <v>18</v>
      </c>
      <c r="V598"/>
      <c r="W598"/>
      <c r="X598"/>
      <c r="Y598"/>
      <c r="Z598"/>
      <c r="AA598" s="1346"/>
      <c r="AB598" s="1346"/>
      <c r="AC598" s="1346"/>
      <c r="AD598" s="1346"/>
      <c r="AE598" s="1346"/>
      <c r="AF598" s="1346"/>
      <c r="AG598" s="1346"/>
      <c r="AH598" s="1346"/>
      <c r="AI598" s="1346"/>
      <c r="AJ598" s="1346"/>
      <c r="AK598" s="1346"/>
      <c r="AL598"/>
      <c r="AM598"/>
      <c r="AN598"/>
      <c r="AO598"/>
      <c r="AP598"/>
      <c r="AQ598"/>
      <c r="AR598"/>
      <c r="AS598"/>
      <c r="AT598"/>
      <c r="AU598"/>
      <c r="AV598"/>
      <c r="AW598"/>
      <c r="AX598"/>
      <c r="AY598"/>
      <c r="BB598" s="3"/>
      <c r="BC598" s="3"/>
    </row>
    <row r="599" spans="1:55" ht="13" customHeight="1">
      <c r="A599" s="22"/>
      <c r="B599" t="s">
        <v>20</v>
      </c>
      <c r="N599" s="1339" t="s">
        <v>669</v>
      </c>
      <c r="O599" s="1339"/>
      <c r="T599" s="22"/>
      <c r="U599" t="s">
        <v>20</v>
      </c>
      <c r="AG599" s="1339" t="s">
        <v>669</v>
      </c>
      <c r="AH599" s="1339"/>
      <c r="BB599" s="3"/>
      <c r="BC599" s="3"/>
    </row>
    <row r="600" spans="1:55" ht="13" customHeight="1">
      <c r="A600" s="22"/>
      <c r="T600" s="22"/>
      <c r="BB600" s="3"/>
      <c r="BC600" s="3"/>
    </row>
    <row r="601" spans="1:55" ht="13" customHeight="1">
      <c r="A601" s="55" t="s">
        <v>461</v>
      </c>
      <c r="B601" t="s">
        <v>463</v>
      </c>
      <c r="G601" s="1366">
        <f>C562</f>
        <v>0</v>
      </c>
      <c r="H601" s="1366"/>
      <c r="I601" s="1366"/>
      <c r="J601" s="1366"/>
      <c r="K601" s="1366"/>
      <c r="L601" s="1366"/>
      <c r="M601" s="1366"/>
      <c r="N601" s="1366"/>
      <c r="O601" s="1366"/>
      <c r="P601" s="1366"/>
      <c r="Q601" s="1366"/>
      <c r="R601" s="1366"/>
      <c r="T601" s="55" t="s">
        <v>646</v>
      </c>
      <c r="U601" t="s">
        <v>463</v>
      </c>
      <c r="Z601" s="1366">
        <f>C563</f>
        <v>0</v>
      </c>
      <c r="AA601" s="1366"/>
      <c r="AB601" s="1366"/>
      <c r="AC601" s="1366"/>
      <c r="AD601" s="1366"/>
      <c r="AE601" s="1366"/>
      <c r="AF601" s="1366"/>
      <c r="AG601" s="1366"/>
      <c r="AH601" s="1366"/>
      <c r="AI601" s="1366"/>
      <c r="AJ601" s="1366"/>
      <c r="AK601" s="1366"/>
      <c r="BB601" s="3"/>
      <c r="BC601" s="3"/>
    </row>
    <row r="602" spans="1:55" ht="13" customHeight="1">
      <c r="A602" s="22"/>
      <c r="B602" t="s">
        <v>85</v>
      </c>
      <c r="G602" s="1346"/>
      <c r="H602" s="1346"/>
      <c r="I602" s="1346"/>
      <c r="J602" s="1346"/>
      <c r="K602" s="1346"/>
      <c r="L602" s="1346"/>
      <c r="M602" s="1346"/>
      <c r="N602" s="1346"/>
      <c r="O602" s="1346"/>
      <c r="P602" s="1346"/>
      <c r="Q602" s="1346"/>
      <c r="R602" s="1346"/>
      <c r="T602" s="22"/>
      <c r="U602" t="s">
        <v>85</v>
      </c>
      <c r="Z602" s="1346"/>
      <c r="AA602" s="1346"/>
      <c r="AB602" s="1346"/>
      <c r="AC602" s="1346"/>
      <c r="AD602" s="1346"/>
      <c r="AE602" s="1346"/>
      <c r="AF602" s="1346"/>
      <c r="AG602" s="1346"/>
      <c r="AH602" s="1346"/>
      <c r="AI602" s="1346"/>
      <c r="AJ602" s="1346"/>
      <c r="AK602" s="1346"/>
      <c r="AZ602" s="3"/>
      <c r="BA602" s="3"/>
      <c r="BB602" s="3"/>
      <c r="BC602" s="3"/>
    </row>
    <row r="603" spans="1:55" ht="13" customHeight="1">
      <c r="A603" s="22"/>
      <c r="B603" t="s">
        <v>580</v>
      </c>
      <c r="G603" s="1346"/>
      <c r="H603" s="1346"/>
      <c r="I603" s="1346"/>
      <c r="J603" s="1346"/>
      <c r="K603" s="1346"/>
      <c r="L603" s="1346"/>
      <c r="M603" s="1346"/>
      <c r="N603" s="1346"/>
      <c r="O603" s="1346"/>
      <c r="P603" s="1346"/>
      <c r="Q603" s="1346"/>
      <c r="R603" s="1346"/>
      <c r="T603" s="22"/>
      <c r="U603" t="s">
        <v>580</v>
      </c>
      <c r="Z603" s="1356"/>
      <c r="AA603" s="1356"/>
      <c r="AB603" s="1356"/>
      <c r="AC603" s="1356"/>
      <c r="AD603" s="1356"/>
      <c r="AE603" s="1356"/>
      <c r="AF603" s="1356"/>
      <c r="AG603" s="1356"/>
      <c r="AH603" s="1356"/>
      <c r="AI603" s="1356"/>
      <c r="AJ603" s="1356"/>
      <c r="AK603" s="1356"/>
      <c r="AZ603" s="3"/>
      <c r="BA603" s="3"/>
      <c r="BB603" s="3"/>
      <c r="BC603" s="3"/>
    </row>
    <row r="604" spans="1:55" ht="13" customHeight="1">
      <c r="A604" s="22"/>
      <c r="B604" t="s">
        <v>17</v>
      </c>
      <c r="G604" s="1346"/>
      <c r="H604" s="1346"/>
      <c r="I604" s="1346"/>
      <c r="J604" s="1346"/>
      <c r="K604" s="1346"/>
      <c r="L604" s="1346"/>
      <c r="M604" s="1346"/>
      <c r="N604" s="1346"/>
      <c r="O604" s="1346"/>
      <c r="P604" s="1346"/>
      <c r="Q604" s="1346"/>
      <c r="R604" s="1346"/>
      <c r="T604" s="22"/>
      <c r="U604" t="s">
        <v>17</v>
      </c>
      <c r="Z604" s="1356"/>
      <c r="AA604" s="1356"/>
      <c r="AB604" s="1356"/>
      <c r="AC604" s="1356"/>
      <c r="AD604" s="1356"/>
      <c r="AE604" s="1356"/>
      <c r="AF604" s="1356"/>
      <c r="AG604" s="1356"/>
      <c r="AH604" s="1356"/>
      <c r="AI604" s="1356"/>
      <c r="AJ604" s="1356"/>
      <c r="AK604" s="1356"/>
      <c r="AZ604" s="3"/>
      <c r="BA604" s="3"/>
      <c r="BB604" s="3"/>
      <c r="BC604" s="3"/>
    </row>
    <row r="605" spans="1:55" s="4" customFormat="1" ht="13" customHeight="1">
      <c r="A605" s="22"/>
      <c r="B605" t="s">
        <v>316</v>
      </c>
      <c r="C605"/>
      <c r="D605"/>
      <c r="E605"/>
      <c r="F605"/>
      <c r="G605" s="1344"/>
      <c r="H605" s="1344"/>
      <c r="I605" s="1344"/>
      <c r="J605" s="1344"/>
      <c r="K605" s="1344"/>
      <c r="L605" s="1344"/>
      <c r="M605"/>
      <c r="N605"/>
      <c r="O605" s="33" t="s">
        <v>206</v>
      </c>
      <c r="P605" s="1484"/>
      <c r="Q605" s="1484"/>
      <c r="R605" s="1484"/>
      <c r="S605"/>
      <c r="T605" s="22"/>
      <c r="U605" t="s">
        <v>316</v>
      </c>
      <c r="V605"/>
      <c r="W605"/>
      <c r="X605"/>
      <c r="Y605"/>
      <c r="Z605" s="1344"/>
      <c r="AA605" s="1344"/>
      <c r="AB605" s="1344"/>
      <c r="AC605" s="1344"/>
      <c r="AD605" s="1344"/>
      <c r="AE605" s="1344"/>
      <c r="AF605"/>
      <c r="AG605"/>
      <c r="AH605" s="33" t="s">
        <v>206</v>
      </c>
      <c r="AI605" s="1484"/>
      <c r="AJ605" s="1484"/>
      <c r="AK605" s="148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46"/>
      <c r="I606" s="1346"/>
      <c r="J606" s="1346"/>
      <c r="K606" s="1346"/>
      <c r="L606" s="1346"/>
      <c r="M606" s="1346"/>
      <c r="N606" s="1346"/>
      <c r="O606" s="1346"/>
      <c r="P606" s="1346"/>
      <c r="Q606" s="1346"/>
      <c r="R606" s="1346"/>
      <c r="S606"/>
      <c r="T606" s="22"/>
      <c r="U606" t="s">
        <v>18</v>
      </c>
      <c r="V606"/>
      <c r="W606"/>
      <c r="X606"/>
      <c r="Y606"/>
      <c r="Z606"/>
      <c r="AA606" s="1346"/>
      <c r="AB606" s="1346"/>
      <c r="AC606" s="1346"/>
      <c r="AD606" s="1346"/>
      <c r="AE606" s="1346"/>
      <c r="AF606" s="1346"/>
      <c r="AG606" s="1346"/>
      <c r="AH606" s="1346"/>
      <c r="AI606" s="1346"/>
      <c r="AJ606" s="1346"/>
      <c r="AK606" s="1346"/>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9" t="s">
        <v>669</v>
      </c>
      <c r="O607" s="1339"/>
      <c r="P607"/>
      <c r="Q607"/>
      <c r="R607"/>
      <c r="S607"/>
      <c r="T607" s="22"/>
      <c r="U607" t="s">
        <v>20</v>
      </c>
      <c r="V607"/>
      <c r="W607"/>
      <c r="X607"/>
      <c r="Y607"/>
      <c r="Z607"/>
      <c r="AA607"/>
      <c r="AB607"/>
      <c r="AC607"/>
      <c r="AD607"/>
      <c r="AE607"/>
      <c r="AF607"/>
      <c r="AG607" s="1339" t="s">
        <v>669</v>
      </c>
      <c r="AH607" s="1339"/>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366">
        <f>C564</f>
        <v>0</v>
      </c>
      <c r="H609" s="1366"/>
      <c r="I609" s="1366"/>
      <c r="J609" s="1366"/>
      <c r="K609" s="1366"/>
      <c r="L609" s="1366"/>
      <c r="M609" s="1366"/>
      <c r="N609" s="1366"/>
      <c r="O609" s="1366"/>
      <c r="P609" s="1366"/>
      <c r="Q609" s="1366"/>
      <c r="R609" s="1366"/>
      <c r="T609" s="55" t="s">
        <v>363</v>
      </c>
      <c r="U609" t="s">
        <v>463</v>
      </c>
      <c r="Z609" s="1366">
        <f>C565</f>
        <v>0</v>
      </c>
      <c r="AA609" s="1366"/>
      <c r="AB609" s="1366"/>
      <c r="AC609" s="1366"/>
      <c r="AD609" s="1366"/>
      <c r="AE609" s="1366"/>
      <c r="AF609" s="1366"/>
      <c r="AG609" s="1366"/>
      <c r="AH609" s="1366"/>
      <c r="AI609" s="1366"/>
      <c r="AJ609" s="1366"/>
      <c r="AK609" s="1366"/>
      <c r="AZ609" s="3"/>
      <c r="BA609" s="3"/>
      <c r="BB609" s="3"/>
      <c r="BC609" s="3"/>
    </row>
    <row r="610" spans="1:55" ht="13" customHeight="1">
      <c r="B610" t="s">
        <v>85</v>
      </c>
      <c r="G610" s="1346"/>
      <c r="H610" s="1346"/>
      <c r="I610" s="1346"/>
      <c r="J610" s="1346"/>
      <c r="K610" s="1346"/>
      <c r="L610" s="1346"/>
      <c r="M610" s="1346"/>
      <c r="N610" s="1346"/>
      <c r="O610" s="1346"/>
      <c r="P610" s="1346"/>
      <c r="Q610" s="1346"/>
      <c r="R610" s="1346"/>
      <c r="U610" t="s">
        <v>85</v>
      </c>
      <c r="Z610" s="1346"/>
      <c r="AA610" s="1346"/>
      <c r="AB610" s="1346"/>
      <c r="AC610" s="1346"/>
      <c r="AD610" s="1346"/>
      <c r="AE610" s="1346"/>
      <c r="AF610" s="1346"/>
      <c r="AG610" s="1346"/>
      <c r="AH610" s="1346"/>
      <c r="AI610" s="1346"/>
      <c r="AJ610" s="1346"/>
      <c r="AK610" s="1346"/>
      <c r="AZ610" s="3"/>
      <c r="BA610" s="3"/>
      <c r="BB610" s="3"/>
      <c r="BC610" s="3"/>
    </row>
    <row r="611" spans="1:55" ht="13" customHeight="1">
      <c r="B611" t="s">
        <v>580</v>
      </c>
      <c r="G611" s="1346"/>
      <c r="H611" s="1346"/>
      <c r="I611" s="1346"/>
      <c r="J611" s="1346"/>
      <c r="K611" s="1346"/>
      <c r="L611" s="1346"/>
      <c r="M611" s="1346"/>
      <c r="N611" s="1346"/>
      <c r="O611" s="1346"/>
      <c r="P611" s="1346"/>
      <c r="Q611" s="1346"/>
      <c r="R611" s="1346"/>
      <c r="U611" t="s">
        <v>580</v>
      </c>
      <c r="Z611" s="1356"/>
      <c r="AA611" s="1356"/>
      <c r="AB611" s="1356"/>
      <c r="AC611" s="1356"/>
      <c r="AD611" s="1356"/>
      <c r="AE611" s="1356"/>
      <c r="AF611" s="1356"/>
      <c r="AG611" s="1356"/>
      <c r="AH611" s="1356"/>
      <c r="AI611" s="1356"/>
      <c r="AJ611" s="1356"/>
      <c r="AK611" s="1356"/>
      <c r="AZ611" s="3"/>
      <c r="BA611" s="3"/>
      <c r="BB611" s="3"/>
      <c r="BC611" s="3"/>
    </row>
    <row r="612" spans="1:55" ht="13" customHeight="1">
      <c r="B612" t="s">
        <v>17</v>
      </c>
      <c r="G612" s="1346"/>
      <c r="H612" s="1346"/>
      <c r="I612" s="1346"/>
      <c r="J612" s="1346"/>
      <c r="K612" s="1346"/>
      <c r="L612" s="1346"/>
      <c r="M612" s="1346"/>
      <c r="N612" s="1346"/>
      <c r="O612" s="1346"/>
      <c r="P612" s="1346"/>
      <c r="Q612" s="1346"/>
      <c r="R612" s="1346"/>
      <c r="U612" t="s">
        <v>17</v>
      </c>
      <c r="Z612" s="1356"/>
      <c r="AA612" s="1356"/>
      <c r="AB612" s="1356"/>
      <c r="AC612" s="1356"/>
      <c r="AD612" s="1356"/>
      <c r="AE612" s="1356"/>
      <c r="AF612" s="1356"/>
      <c r="AG612" s="1356"/>
      <c r="AH612" s="1356"/>
      <c r="AI612" s="1356"/>
      <c r="AJ612" s="1356"/>
      <c r="AK612" s="1356"/>
      <c r="AZ612" s="3"/>
      <c r="BA612" s="3"/>
      <c r="BB612" s="3"/>
      <c r="BC612" s="3"/>
    </row>
    <row r="613" spans="1:55" ht="13" customHeight="1">
      <c r="B613" t="s">
        <v>316</v>
      </c>
      <c r="G613" s="1344"/>
      <c r="H613" s="1344"/>
      <c r="I613" s="1344"/>
      <c r="J613" s="1344"/>
      <c r="K613" s="1344"/>
      <c r="L613" s="1344"/>
      <c r="O613" s="33" t="s">
        <v>206</v>
      </c>
      <c r="P613" s="1484"/>
      <c r="Q613" s="1484"/>
      <c r="R613" s="1484"/>
      <c r="U613" t="s">
        <v>316</v>
      </c>
      <c r="Z613" s="1344"/>
      <c r="AA613" s="1344"/>
      <c r="AB613" s="1344"/>
      <c r="AC613" s="1344"/>
      <c r="AD613" s="1344"/>
      <c r="AE613" s="1344"/>
      <c r="AH613" s="33" t="s">
        <v>206</v>
      </c>
      <c r="AI613" s="1484"/>
      <c r="AJ613" s="1484"/>
      <c r="AK613" s="1484"/>
      <c r="AZ613" s="3"/>
      <c r="BA613" s="3"/>
      <c r="BB613" s="3"/>
      <c r="BC613" s="3"/>
    </row>
    <row r="614" spans="1:55" ht="13" customHeight="1">
      <c r="B614" t="s">
        <v>18</v>
      </c>
      <c r="H614" s="1346"/>
      <c r="I614" s="1346"/>
      <c r="J614" s="1346"/>
      <c r="K614" s="1346"/>
      <c r="L614" s="1346"/>
      <c r="M614" s="1346"/>
      <c r="N614" s="1346"/>
      <c r="O614" s="1346"/>
      <c r="P614" s="1346"/>
      <c r="Q614" s="1346"/>
      <c r="R614" s="1346"/>
      <c r="U614" t="s">
        <v>18</v>
      </c>
      <c r="AA614" s="1346"/>
      <c r="AB614" s="1346"/>
      <c r="AC614" s="1346"/>
      <c r="AD614" s="1346"/>
      <c r="AE614" s="1346"/>
      <c r="AF614" s="1346"/>
      <c r="AG614" s="1346"/>
      <c r="AH614" s="1346"/>
      <c r="AI614" s="1346"/>
      <c r="AJ614" s="1346"/>
      <c r="AK614" s="1346"/>
      <c r="AU614" s="899"/>
      <c r="AV614" s="899"/>
      <c r="AW614" s="899"/>
      <c r="AX614" s="899"/>
      <c r="AY614" s="899"/>
      <c r="AZ614" s="3"/>
      <c r="BA614" s="3"/>
      <c r="BB614" s="3"/>
      <c r="BC614" s="3"/>
    </row>
    <row r="615" spans="1:55" ht="13" customHeight="1">
      <c r="B615" t="s">
        <v>20</v>
      </c>
      <c r="N615" s="1339" t="s">
        <v>669</v>
      </c>
      <c r="O615" s="1339"/>
      <c r="U615" t="s">
        <v>20</v>
      </c>
      <c r="AG615" s="1339" t="s">
        <v>669</v>
      </c>
      <c r="AH615" s="1339"/>
      <c r="AU615" s="899"/>
      <c r="AV615" s="899"/>
      <c r="AW615" s="899"/>
      <c r="AX615" s="899"/>
      <c r="AY615" s="899"/>
      <c r="AZ615" s="3"/>
      <c r="BA615" s="3"/>
      <c r="BB615" s="3"/>
      <c r="BC615" s="3"/>
    </row>
    <row r="616" spans="1:55" ht="13" customHeight="1">
      <c r="AZ616" s="3"/>
      <c r="BA616" s="3"/>
      <c r="BB616" s="3"/>
      <c r="BC616" s="3"/>
    </row>
    <row r="617" spans="1:55" ht="13" customHeight="1">
      <c r="A617" s="1266" t="s">
        <v>544</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row>
    <row r="618" spans="1:55" ht="13"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8" t="s">
        <v>2102</v>
      </c>
      <c r="C624" s="1708"/>
      <c r="D624" s="1708"/>
      <c r="E624" s="1708"/>
      <c r="F624" s="1708"/>
      <c r="G624" s="1708"/>
      <c r="H624" s="1708"/>
      <c r="I624" s="1708"/>
      <c r="J624" s="1708"/>
      <c r="K624" s="1708"/>
      <c r="L624" s="1708"/>
      <c r="M624" s="1496" t="s">
        <v>2103</v>
      </c>
      <c r="N624" s="1496"/>
      <c r="O624" s="1496"/>
      <c r="P624" s="1496"/>
      <c r="Q624" s="1496" t="s">
        <v>1852</v>
      </c>
      <c r="R624" s="1496"/>
      <c r="S624" s="1496"/>
      <c r="T624" s="1496" t="s">
        <v>1850</v>
      </c>
      <c r="U624" s="1496"/>
      <c r="V624" s="1496"/>
      <c r="W624" s="1709" t="s">
        <v>453</v>
      </c>
      <c r="X624" s="1709"/>
      <c r="Y624" s="1709"/>
      <c r="Z624" s="1478" t="s">
        <v>2132</v>
      </c>
      <c r="AA624" s="1478"/>
      <c r="AB624" s="1479"/>
      <c r="AC624" s="1658" t="s">
        <v>1676</v>
      </c>
      <c r="AD624" s="1659"/>
      <c r="AE624" s="1660"/>
      <c r="AF624" s="1667" t="s">
        <v>1930</v>
      </c>
      <c r="AG624" s="1478"/>
      <c r="AH624" s="1478"/>
      <c r="AI624" s="1478"/>
      <c r="AJ624" s="1479"/>
      <c r="AK624" s="1676" t="s">
        <v>1931</v>
      </c>
      <c r="AL624" s="1677"/>
      <c r="AM624" s="1677"/>
      <c r="AN624" s="1678"/>
      <c r="AO624" s="1496" t="s">
        <v>454</v>
      </c>
      <c r="AP624" s="1496"/>
      <c r="AQ624" s="1496"/>
      <c r="AR624" s="1496"/>
      <c r="AS624" s="1496"/>
      <c r="AU624" s="3"/>
      <c r="AZ624" s="3"/>
      <c r="BA624" s="3"/>
      <c r="BB624" s="3"/>
      <c r="BC624" s="3"/>
    </row>
    <row r="625" spans="2:157" ht="13" customHeight="1">
      <c r="B625" s="1708"/>
      <c r="C625" s="1708"/>
      <c r="D625" s="1708"/>
      <c r="E625" s="1708"/>
      <c r="F625" s="1708"/>
      <c r="G625" s="1708"/>
      <c r="H625" s="1708"/>
      <c r="I625" s="1708"/>
      <c r="J625" s="1708"/>
      <c r="K625" s="1708"/>
      <c r="L625" s="1708"/>
      <c r="M625" s="1496"/>
      <c r="N625" s="1496"/>
      <c r="O625" s="1496"/>
      <c r="P625" s="1496"/>
      <c r="Q625" s="1496"/>
      <c r="R625" s="1496"/>
      <c r="S625" s="1496"/>
      <c r="T625" s="1496"/>
      <c r="U625" s="1496"/>
      <c r="V625" s="1496"/>
      <c r="W625" s="1709"/>
      <c r="X625" s="1709"/>
      <c r="Y625" s="1709"/>
      <c r="Z625" s="1480"/>
      <c r="AA625" s="1480"/>
      <c r="AB625" s="1481"/>
      <c r="AC625" s="1661"/>
      <c r="AD625" s="1662"/>
      <c r="AE625" s="1663"/>
      <c r="AF625" s="1668"/>
      <c r="AG625" s="1480"/>
      <c r="AH625" s="1480"/>
      <c r="AI625" s="1480"/>
      <c r="AJ625" s="1481"/>
      <c r="AK625" s="1679"/>
      <c r="AL625" s="1680"/>
      <c r="AM625" s="1680"/>
      <c r="AN625" s="1681"/>
      <c r="AO625" s="1496"/>
      <c r="AP625" s="1496"/>
      <c r="AQ625" s="1496"/>
      <c r="AR625" s="1496"/>
      <c r="AS625" s="1496"/>
      <c r="AU625" s="3"/>
      <c r="AZ625" s="3"/>
      <c r="BA625" s="3"/>
      <c r="BB625" s="3"/>
      <c r="BC625" s="3"/>
      <c r="BD625" s="3"/>
    </row>
    <row r="626" spans="2:157" ht="13" customHeight="1">
      <c r="B626" s="1708"/>
      <c r="C626" s="1708"/>
      <c r="D626" s="1708"/>
      <c r="E626" s="1708"/>
      <c r="F626" s="1708"/>
      <c r="G626" s="1708"/>
      <c r="H626" s="1708"/>
      <c r="I626" s="1708"/>
      <c r="J626" s="1708"/>
      <c r="K626" s="1708"/>
      <c r="L626" s="1708"/>
      <c r="M626" s="1496"/>
      <c r="N626" s="1496"/>
      <c r="O626" s="1496"/>
      <c r="P626" s="1496"/>
      <c r="Q626" s="1496"/>
      <c r="R626" s="1496"/>
      <c r="S626" s="1496"/>
      <c r="T626" s="1496"/>
      <c r="U626" s="1496"/>
      <c r="V626" s="1496"/>
      <c r="W626" s="1709"/>
      <c r="X626" s="1709"/>
      <c r="Y626" s="1709"/>
      <c r="Z626" s="1482"/>
      <c r="AA626" s="1482"/>
      <c r="AB626" s="1483"/>
      <c r="AC626" s="1664"/>
      <c r="AD626" s="1665"/>
      <c r="AE626" s="1666"/>
      <c r="AF626" s="1669"/>
      <c r="AG626" s="1482"/>
      <c r="AH626" s="1482"/>
      <c r="AI626" s="1482"/>
      <c r="AJ626" s="1483"/>
      <c r="AK626" s="1682"/>
      <c r="AL626" s="1683"/>
      <c r="AM626" s="1683"/>
      <c r="AN626" s="1684"/>
      <c r="AO626" s="1496"/>
      <c r="AP626" s="1496"/>
      <c r="AQ626" s="1496"/>
      <c r="AR626" s="1496"/>
      <c r="AS626" s="1496"/>
      <c r="AT626" s="3"/>
      <c r="AU626" s="3"/>
      <c r="AZ626" s="3"/>
      <c r="BA626" s="3"/>
      <c r="BB626" s="3"/>
      <c r="BC626" s="3"/>
      <c r="BD626" s="3"/>
    </row>
    <row r="627" spans="2:157" ht="13" customHeight="1">
      <c r="B627" s="51" t="s">
        <v>112</v>
      </c>
      <c r="C627" s="1675" t="s">
        <v>2716</v>
      </c>
      <c r="D627" s="1675"/>
      <c r="E627" s="1675"/>
      <c r="F627" s="1675"/>
      <c r="G627" s="1675"/>
      <c r="H627" s="1675"/>
      <c r="I627" s="1675"/>
      <c r="J627" s="1675"/>
      <c r="K627" s="1675"/>
      <c r="L627" s="1675"/>
      <c r="M627" s="1847" t="s">
        <v>2113</v>
      </c>
      <c r="N627" s="1847"/>
      <c r="O627" s="1847"/>
      <c r="P627" s="1847"/>
      <c r="Q627" s="1454">
        <f>12*17</f>
        <v>204</v>
      </c>
      <c r="R627" s="1454"/>
      <c r="S627" s="1455"/>
      <c r="T627" s="1453">
        <f>12*40</f>
        <v>480</v>
      </c>
      <c r="U627" s="1454"/>
      <c r="V627" s="1455"/>
      <c r="W627" s="1450">
        <v>0.06</v>
      </c>
      <c r="X627" s="1451"/>
      <c r="Y627" s="1452"/>
      <c r="Z627" s="1447" t="s">
        <v>2131</v>
      </c>
      <c r="AA627" s="1448"/>
      <c r="AB627" s="1449"/>
      <c r="AC627" s="1670">
        <v>1</v>
      </c>
      <c r="AD627" s="1671"/>
      <c r="AE627" s="1672"/>
      <c r="AF627" s="1503">
        <v>264376.696</v>
      </c>
      <c r="AG627" s="1504"/>
      <c r="AH627" s="1504"/>
      <c r="AI627" s="1504"/>
      <c r="AJ627" s="1505"/>
      <c r="AK627" s="1474"/>
      <c r="AL627" s="1475"/>
      <c r="AM627" s="1475"/>
      <c r="AN627" s="1476"/>
      <c r="AO627" s="1628">
        <v>4004152</v>
      </c>
      <c r="AP627" s="1628"/>
      <c r="AQ627" s="1628"/>
      <c r="AR627" s="1628"/>
      <c r="AS627" s="1628"/>
      <c r="AT627" s="3"/>
      <c r="AU627" s="3"/>
      <c r="AZ627" s="3"/>
      <c r="BA627" s="3"/>
      <c r="BB627" s="3"/>
      <c r="BC627" s="3"/>
      <c r="BD627" s="3"/>
    </row>
    <row r="628" spans="2:157" ht="13" customHeight="1">
      <c r="B628" s="52" t="s">
        <v>113</v>
      </c>
      <c r="C628" s="1675" t="s">
        <v>2320</v>
      </c>
      <c r="D628" s="1675"/>
      <c r="E628" s="1675"/>
      <c r="F628" s="1675"/>
      <c r="G628" s="1675"/>
      <c r="H628" s="1675"/>
      <c r="I628" s="1675"/>
      <c r="J628" s="1675"/>
      <c r="K628" s="1675"/>
      <c r="L628" s="1675"/>
      <c r="M628" s="1847" t="s">
        <v>2106</v>
      </c>
      <c r="N628" s="1847"/>
      <c r="O628" s="1847"/>
      <c r="P628" s="1847"/>
      <c r="Q628" s="1453"/>
      <c r="R628" s="1454"/>
      <c r="S628" s="1455"/>
      <c r="T628" s="1453"/>
      <c r="U628" s="1454"/>
      <c r="V628" s="1455"/>
      <c r="W628" s="1450"/>
      <c r="X628" s="1451"/>
      <c r="Y628" s="1452"/>
      <c r="Z628" s="1447" t="s">
        <v>457</v>
      </c>
      <c r="AA628" s="1448"/>
      <c r="AB628" s="1449"/>
      <c r="AC628" s="1670"/>
      <c r="AD628" s="1671"/>
      <c r="AE628" s="1672"/>
      <c r="AF628" s="1503"/>
      <c r="AG628" s="1504"/>
      <c r="AH628" s="1504"/>
      <c r="AI628" s="1504"/>
      <c r="AJ628" s="1505"/>
      <c r="AK628" s="1474"/>
      <c r="AL628" s="1475"/>
      <c r="AM628" s="1475"/>
      <c r="AN628" s="1476"/>
      <c r="AO628" s="1500">
        <v>1831250</v>
      </c>
      <c r="AP628" s="1501"/>
      <c r="AQ628" s="1501"/>
      <c r="AR628" s="1501"/>
      <c r="AS628" s="1502"/>
      <c r="AT628" s="1148" t="str">
        <f>IF(AND(NOT(C627=""),C628="",NOT(C629="")),"!","")</f>
        <v/>
      </c>
      <c r="AU628" s="3"/>
      <c r="AZ628" s="3"/>
      <c r="BA628" s="3"/>
      <c r="BB628" s="3"/>
      <c r="BC628" s="3"/>
      <c r="BD628" s="3"/>
    </row>
    <row r="629" spans="2:157" ht="13" customHeight="1">
      <c r="B629" s="52" t="s">
        <v>119</v>
      </c>
      <c r="C629" s="1673" t="s">
        <v>2759</v>
      </c>
      <c r="D629" s="1673"/>
      <c r="E629" s="1673"/>
      <c r="F629" s="1673"/>
      <c r="G629" s="1673"/>
      <c r="H629" s="1673"/>
      <c r="I629" s="1673"/>
      <c r="J629" s="1673"/>
      <c r="K629" s="1673"/>
      <c r="L629" s="1673"/>
      <c r="M629" s="1657" t="s">
        <v>2115</v>
      </c>
      <c r="N629" s="1657"/>
      <c r="O629" s="1657"/>
      <c r="P629" s="1657"/>
      <c r="Q629" s="1453">
        <v>55</v>
      </c>
      <c r="R629" s="1454"/>
      <c r="S629" s="1455"/>
      <c r="T629" s="1453"/>
      <c r="U629" s="1454"/>
      <c r="V629" s="1455"/>
      <c r="W629" s="1450">
        <v>0.03</v>
      </c>
      <c r="X629" s="1451"/>
      <c r="Y629" s="1452"/>
      <c r="Z629" s="1447" t="s">
        <v>457</v>
      </c>
      <c r="AA629" s="1448"/>
      <c r="AB629" s="1449"/>
      <c r="AC629" s="1670">
        <v>2</v>
      </c>
      <c r="AD629" s="1671"/>
      <c r="AE629" s="1672"/>
      <c r="AF629" s="1503">
        <v>71608</v>
      </c>
      <c r="AG629" s="1504"/>
      <c r="AH629" s="1504"/>
      <c r="AI629" s="1504"/>
      <c r="AJ629" s="1505"/>
      <c r="AK629" s="1474"/>
      <c r="AL629" s="1475"/>
      <c r="AM629" s="1475"/>
      <c r="AN629" s="1476"/>
      <c r="AO629" s="1500">
        <v>15000000</v>
      </c>
      <c r="AP629" s="1501"/>
      <c r="AQ629" s="1501"/>
      <c r="AR629" s="1501"/>
      <c r="AS629" s="1502"/>
      <c r="AT629" s="1148" t="str">
        <f t="shared" ref="AT629:AT638" si="1">IF(AND(NOT(C628=""),C629="",NOT(C630="")),"!","")</f>
        <v/>
      </c>
      <c r="AU629" s="3"/>
      <c r="AZ629" s="3"/>
      <c r="BA629" s="3"/>
      <c r="BB629" s="3"/>
      <c r="BC629" s="3"/>
      <c r="BD629" s="3"/>
    </row>
    <row r="630" spans="2:157" ht="13" customHeight="1">
      <c r="B630" s="52" t="s">
        <v>581</v>
      </c>
      <c r="C630" s="1477"/>
      <c r="D630" s="1477"/>
      <c r="E630" s="1477"/>
      <c r="F630" s="1477"/>
      <c r="G630" s="1477"/>
      <c r="H630" s="1477"/>
      <c r="I630" s="1477"/>
      <c r="J630" s="1477"/>
      <c r="K630" s="1477"/>
      <c r="L630" s="1477"/>
      <c r="M630" s="1657" t="s">
        <v>1184</v>
      </c>
      <c r="N630" s="1657"/>
      <c r="O630" s="1657"/>
      <c r="P630" s="1657"/>
      <c r="Q630" s="1453"/>
      <c r="R630" s="1454"/>
      <c r="S630" s="1455"/>
      <c r="T630" s="1453"/>
      <c r="U630" s="1454"/>
      <c r="V630" s="1455"/>
      <c r="W630" s="1450"/>
      <c r="X630" s="1451"/>
      <c r="Y630" s="1452"/>
      <c r="Z630" s="1447" t="s">
        <v>1184</v>
      </c>
      <c r="AA630" s="1448"/>
      <c r="AB630" s="1449"/>
      <c r="AC630" s="1670"/>
      <c r="AD630" s="1671"/>
      <c r="AE630" s="1672"/>
      <c r="AF630" s="1503"/>
      <c r="AG630" s="1504"/>
      <c r="AH630" s="1504"/>
      <c r="AI630" s="1504"/>
      <c r="AJ630" s="1505"/>
      <c r="AK630" s="1474"/>
      <c r="AL630" s="1475"/>
      <c r="AM630" s="1475"/>
      <c r="AN630" s="1476"/>
      <c r="AO630" s="1500"/>
      <c r="AP630" s="1501"/>
      <c r="AQ630" s="1501"/>
      <c r="AR630" s="1501"/>
      <c r="AS630" s="1502"/>
      <c r="AT630" s="1148" t="str">
        <f t="shared" si="1"/>
        <v/>
      </c>
      <c r="AU630" s="3"/>
      <c r="AZ630" s="3"/>
      <c r="BA630" s="3"/>
      <c r="BB630" s="3"/>
      <c r="BC630" s="3"/>
      <c r="BD630" s="3"/>
    </row>
    <row r="631" spans="2:157" ht="13" customHeight="1">
      <c r="B631" s="52" t="s">
        <v>763</v>
      </c>
      <c r="C631" s="1477"/>
      <c r="D631" s="1477"/>
      <c r="E631" s="1477"/>
      <c r="F631" s="1477"/>
      <c r="G631" s="1477"/>
      <c r="H631" s="1477"/>
      <c r="I631" s="1477"/>
      <c r="J631" s="1477"/>
      <c r="K631" s="1477"/>
      <c r="L631" s="1477"/>
      <c r="M631" s="1657" t="s">
        <v>1184</v>
      </c>
      <c r="N631" s="1657"/>
      <c r="O631" s="1657"/>
      <c r="P631" s="1657"/>
      <c r="Q631" s="1453"/>
      <c r="R631" s="1454"/>
      <c r="S631" s="1455"/>
      <c r="T631" s="1453"/>
      <c r="U631" s="1454"/>
      <c r="V631" s="1455"/>
      <c r="W631" s="1450"/>
      <c r="X631" s="1451"/>
      <c r="Y631" s="1452"/>
      <c r="Z631" s="1447" t="s">
        <v>1184</v>
      </c>
      <c r="AA631" s="1448"/>
      <c r="AB631" s="1449"/>
      <c r="AC631" s="1670"/>
      <c r="AD631" s="1671"/>
      <c r="AE631" s="1672"/>
      <c r="AF631" s="1503"/>
      <c r="AG631" s="1504"/>
      <c r="AH631" s="1504"/>
      <c r="AI631" s="1504"/>
      <c r="AJ631" s="1505"/>
      <c r="AK631" s="1474"/>
      <c r="AL631" s="1475"/>
      <c r="AM631" s="1475"/>
      <c r="AN631" s="1476"/>
      <c r="AO631" s="1500"/>
      <c r="AP631" s="1501"/>
      <c r="AQ631" s="1501"/>
      <c r="AR631" s="1501"/>
      <c r="AS631" s="1502"/>
      <c r="AT631" s="1148" t="str">
        <f t="shared" si="1"/>
        <v/>
      </c>
      <c r="AU631" s="3"/>
      <c r="AZ631" s="3"/>
      <c r="BA631" s="3"/>
      <c r="BB631" s="3"/>
      <c r="BC631" s="3"/>
      <c r="BD631" s="3"/>
    </row>
    <row r="632" spans="2:157" ht="13" customHeight="1">
      <c r="B632" s="52" t="s">
        <v>584</v>
      </c>
      <c r="C632" s="1477"/>
      <c r="D632" s="1477"/>
      <c r="E632" s="1477"/>
      <c r="F632" s="1477"/>
      <c r="G632" s="1477"/>
      <c r="H632" s="1477"/>
      <c r="I632" s="1477"/>
      <c r="J632" s="1477"/>
      <c r="K632" s="1477"/>
      <c r="L632" s="1477"/>
      <c r="M632" s="1657" t="s">
        <v>1184</v>
      </c>
      <c r="N632" s="1657"/>
      <c r="O632" s="1657"/>
      <c r="P632" s="1657"/>
      <c r="Q632" s="1453"/>
      <c r="R632" s="1454"/>
      <c r="S632" s="1455"/>
      <c r="T632" s="1453"/>
      <c r="U632" s="1454"/>
      <c r="V632" s="1455"/>
      <c r="W632" s="1450"/>
      <c r="X632" s="1451"/>
      <c r="Y632" s="1452"/>
      <c r="Z632" s="1447" t="s">
        <v>1184</v>
      </c>
      <c r="AA632" s="1448"/>
      <c r="AB632" s="1449"/>
      <c r="AC632" s="1670"/>
      <c r="AD632" s="1671"/>
      <c r="AE632" s="1672"/>
      <c r="AF632" s="1503"/>
      <c r="AG632" s="1504"/>
      <c r="AH632" s="1504"/>
      <c r="AI632" s="1504"/>
      <c r="AJ632" s="1505"/>
      <c r="AK632" s="1474"/>
      <c r="AL632" s="1475"/>
      <c r="AM632" s="1475"/>
      <c r="AN632" s="1476"/>
      <c r="AO632" s="1500"/>
      <c r="AP632" s="1501"/>
      <c r="AQ632" s="1501"/>
      <c r="AR632" s="1501"/>
      <c r="AS632" s="1502"/>
      <c r="AT632" s="1148" t="str">
        <f t="shared" si="1"/>
        <v/>
      </c>
      <c r="AU632" s="3"/>
      <c r="AZ632" s="3"/>
      <c r="BA632" s="3"/>
      <c r="BB632" s="3"/>
      <c r="BC632" s="3"/>
      <c r="BD632" s="3"/>
    </row>
    <row r="633" spans="2:157" ht="13" customHeight="1">
      <c r="B633" s="52" t="s">
        <v>455</v>
      </c>
      <c r="C633" s="1477"/>
      <c r="D633" s="1477"/>
      <c r="E633" s="1477"/>
      <c r="F633" s="1477"/>
      <c r="G633" s="1477"/>
      <c r="H633" s="1477"/>
      <c r="I633" s="1477"/>
      <c r="J633" s="1477"/>
      <c r="K633" s="1477"/>
      <c r="L633" s="1477"/>
      <c r="M633" s="1657" t="s">
        <v>1184</v>
      </c>
      <c r="N633" s="1657"/>
      <c r="O633" s="1657"/>
      <c r="P633" s="1657"/>
      <c r="Q633" s="1453"/>
      <c r="R633" s="1454"/>
      <c r="S633" s="1455"/>
      <c r="T633" s="1453"/>
      <c r="U633" s="1454"/>
      <c r="V633" s="1455"/>
      <c r="W633" s="1450"/>
      <c r="X633" s="1451"/>
      <c r="Y633" s="1452"/>
      <c r="Z633" s="1447" t="s">
        <v>1184</v>
      </c>
      <c r="AA633" s="1448"/>
      <c r="AB633" s="1449"/>
      <c r="AC633" s="1670"/>
      <c r="AD633" s="1671"/>
      <c r="AE633" s="1672"/>
      <c r="AF633" s="1503"/>
      <c r="AG633" s="1504"/>
      <c r="AH633" s="1504"/>
      <c r="AI633" s="1504"/>
      <c r="AJ633" s="1505"/>
      <c r="AK633" s="1474"/>
      <c r="AL633" s="1475"/>
      <c r="AM633" s="1475"/>
      <c r="AN633" s="1476"/>
      <c r="AO633" s="1500"/>
      <c r="AP633" s="1501"/>
      <c r="AQ633" s="1501"/>
      <c r="AR633" s="1501"/>
      <c r="AS633" s="1502"/>
      <c r="AT633" s="1148" t="str">
        <f t="shared" si="1"/>
        <v/>
      </c>
      <c r="AU633" s="3"/>
      <c r="AV633" s="3"/>
      <c r="AW633" s="3"/>
      <c r="AX633" s="3"/>
      <c r="AY633" s="3"/>
      <c r="AZ633" s="3"/>
      <c r="BA633" s="3"/>
      <c r="BB633" s="3"/>
      <c r="BC633" s="3"/>
      <c r="BD633" s="3"/>
    </row>
    <row r="634" spans="2:157" ht="13" customHeight="1">
      <c r="B634" s="52" t="s">
        <v>456</v>
      </c>
      <c r="C634" s="1477"/>
      <c r="D634" s="1477"/>
      <c r="E634" s="1477"/>
      <c r="F634" s="1477"/>
      <c r="G634" s="1477"/>
      <c r="H634" s="1477"/>
      <c r="I634" s="1477"/>
      <c r="J634" s="1477"/>
      <c r="K634" s="1477"/>
      <c r="L634" s="1477"/>
      <c r="M634" s="1657" t="s">
        <v>1184</v>
      </c>
      <c r="N634" s="1657"/>
      <c r="O634" s="1657"/>
      <c r="P634" s="1657"/>
      <c r="Q634" s="1453"/>
      <c r="R634" s="1454"/>
      <c r="S634" s="1455"/>
      <c r="T634" s="1453"/>
      <c r="U634" s="1454"/>
      <c r="V634" s="1455"/>
      <c r="W634" s="1450"/>
      <c r="X634" s="1451"/>
      <c r="Y634" s="1452"/>
      <c r="Z634" s="1447" t="s">
        <v>1184</v>
      </c>
      <c r="AA634" s="1448"/>
      <c r="AB634" s="1449"/>
      <c r="AC634" s="1670"/>
      <c r="AD634" s="1671"/>
      <c r="AE634" s="1672"/>
      <c r="AF634" s="1503"/>
      <c r="AG634" s="1504"/>
      <c r="AH634" s="1504"/>
      <c r="AI634" s="1504"/>
      <c r="AJ634" s="1505"/>
      <c r="AK634" s="1474"/>
      <c r="AL634" s="1475"/>
      <c r="AM634" s="1475"/>
      <c r="AN634" s="1476"/>
      <c r="AO634" s="1500"/>
      <c r="AP634" s="1501"/>
      <c r="AQ634" s="1501"/>
      <c r="AR634" s="1501"/>
      <c r="AS634" s="1502"/>
      <c r="AT634" s="1148" t="str">
        <f t="shared" si="1"/>
        <v/>
      </c>
      <c r="AU634" s="3"/>
      <c r="AV634" s="3"/>
      <c r="AW634" s="3"/>
      <c r="AX634" s="3"/>
      <c r="AY634" s="3"/>
      <c r="AZ634" s="3"/>
      <c r="BA634" s="3" t="s">
        <v>1184</v>
      </c>
      <c r="BB634" s="3"/>
      <c r="BC634" s="3"/>
      <c r="BD634" s="3"/>
    </row>
    <row r="635" spans="2:157" ht="13" customHeight="1">
      <c r="B635" s="52" t="s">
        <v>461</v>
      </c>
      <c r="C635" s="1477"/>
      <c r="D635" s="1477"/>
      <c r="E635" s="1477"/>
      <c r="F635" s="1477"/>
      <c r="G635" s="1477"/>
      <c r="H635" s="1477"/>
      <c r="I635" s="1477"/>
      <c r="J635" s="1477"/>
      <c r="K635" s="1477"/>
      <c r="L635" s="1477"/>
      <c r="M635" s="1657" t="s">
        <v>1184</v>
      </c>
      <c r="N635" s="1657"/>
      <c r="O635" s="1657"/>
      <c r="P635" s="1657"/>
      <c r="Q635" s="1453"/>
      <c r="R635" s="1454"/>
      <c r="S635" s="1455"/>
      <c r="T635" s="1453"/>
      <c r="U635" s="1454"/>
      <c r="V635" s="1455"/>
      <c r="W635" s="1450"/>
      <c r="X635" s="1451"/>
      <c r="Y635" s="1452"/>
      <c r="Z635" s="1447" t="s">
        <v>1184</v>
      </c>
      <c r="AA635" s="1448"/>
      <c r="AB635" s="1449"/>
      <c r="AC635" s="1670"/>
      <c r="AD635" s="1671"/>
      <c r="AE635" s="1672"/>
      <c r="AF635" s="1503"/>
      <c r="AG635" s="1504"/>
      <c r="AH635" s="1504"/>
      <c r="AI635" s="1504"/>
      <c r="AJ635" s="1505"/>
      <c r="AK635" s="1474"/>
      <c r="AL635" s="1475"/>
      <c r="AM635" s="1475"/>
      <c r="AN635" s="1476"/>
      <c r="AO635" s="1500"/>
      <c r="AP635" s="1501"/>
      <c r="AQ635" s="1501"/>
      <c r="AR635" s="1501"/>
      <c r="AS635" s="1502"/>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6" t="e">
        <f t="shared" ref="DX635:DX669" si="2">EZ718*(CP718/$CP$753)</f>
        <v>#VALUE!</v>
      </c>
      <c r="DY635" s="1486"/>
      <c r="DZ635" s="1486"/>
      <c r="EA635" s="1486"/>
      <c r="EB635" s="1486"/>
      <c r="EC635" s="1486">
        <f t="shared" ref="EC635:EC669" si="3">FE718*(CU718/$CU$753)</f>
        <v>651.20000000000005</v>
      </c>
      <c r="ED635" s="1486"/>
      <c r="EE635" s="1486"/>
      <c r="EF635" s="1486"/>
      <c r="EG635" s="1486"/>
      <c r="EH635" s="1486" t="e">
        <f t="shared" ref="EH635:EH669" si="4">FJ718*(CZ718/$CZ$753)</f>
        <v>#VALUE!</v>
      </c>
      <c r="EI635" s="1486"/>
      <c r="EJ635" s="1486"/>
      <c r="EK635" s="1486"/>
      <c r="EL635" s="1486"/>
      <c r="EM635" s="1486" t="e">
        <f t="shared" ref="EM635:EM669" si="5">FO718*(DE718/$DE$753)</f>
        <v>#VALUE!</v>
      </c>
      <c r="EN635" s="1486"/>
      <c r="EO635" s="1486"/>
      <c r="EP635" s="1486"/>
      <c r="EQ635" s="1486"/>
      <c r="ER635" s="1486" t="e">
        <f t="shared" ref="ER635:ER669" si="6">FT718*(DJ718/$DJ$753)</f>
        <v>#VALUE!</v>
      </c>
      <c r="ES635" s="1486"/>
      <c r="ET635" s="1486"/>
      <c r="EU635" s="1486"/>
      <c r="EV635" s="1486"/>
      <c r="EW635" s="1486" t="e">
        <f t="shared" ref="EW635:EW669" si="7">FY718*(DO718/$DO$753)</f>
        <v>#VALUE!</v>
      </c>
      <c r="EX635" s="1486"/>
      <c r="EY635" s="1486"/>
      <c r="EZ635" s="1486"/>
      <c r="FA635" s="1486"/>
    </row>
    <row r="636" spans="2:157" ht="13" customHeight="1">
      <c r="B636" s="52" t="s">
        <v>646</v>
      </c>
      <c r="C636" s="1477"/>
      <c r="D636" s="1477"/>
      <c r="E636" s="1477"/>
      <c r="F636" s="1477"/>
      <c r="G636" s="1477"/>
      <c r="H636" s="1477"/>
      <c r="I636" s="1477"/>
      <c r="J636" s="1477"/>
      <c r="K636" s="1477"/>
      <c r="L636" s="1477"/>
      <c r="M636" s="1657" t="s">
        <v>1184</v>
      </c>
      <c r="N636" s="1657"/>
      <c r="O636" s="1657"/>
      <c r="P636" s="1657"/>
      <c r="Q636" s="1453"/>
      <c r="R636" s="1454"/>
      <c r="S636" s="1455"/>
      <c r="T636" s="1453"/>
      <c r="U636" s="1454"/>
      <c r="V636" s="1455"/>
      <c r="W636" s="1450"/>
      <c r="X636" s="1451"/>
      <c r="Y636" s="1452"/>
      <c r="Z636" s="1447" t="s">
        <v>1184</v>
      </c>
      <c r="AA636" s="1448"/>
      <c r="AB636" s="1449"/>
      <c r="AC636" s="1670"/>
      <c r="AD636" s="1671"/>
      <c r="AE636" s="1672"/>
      <c r="AF636" s="1503"/>
      <c r="AG636" s="1504"/>
      <c r="AH636" s="1504"/>
      <c r="AI636" s="1504"/>
      <c r="AJ636" s="1505"/>
      <c r="AK636" s="1474"/>
      <c r="AL636" s="1475"/>
      <c r="AM636" s="1475"/>
      <c r="AN636" s="1476"/>
      <c r="AO636" s="1500"/>
      <c r="AP636" s="1501"/>
      <c r="AQ636" s="1501"/>
      <c r="AR636" s="1501"/>
      <c r="AS636" s="1502"/>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86" t="e">
        <f t="shared" si="2"/>
        <v>#VALUE!</v>
      </c>
      <c r="DY636" s="1486"/>
      <c r="DZ636" s="1486"/>
      <c r="EA636" s="1486"/>
      <c r="EB636" s="1486"/>
      <c r="EC636" s="1486">
        <f t="shared" si="3"/>
        <v>448</v>
      </c>
      <c r="ED636" s="1486"/>
      <c r="EE636" s="1486"/>
      <c r="EF636" s="1486"/>
      <c r="EG636" s="1486"/>
      <c r="EH636" s="1486" t="e">
        <f t="shared" si="4"/>
        <v>#VALUE!</v>
      </c>
      <c r="EI636" s="1486"/>
      <c r="EJ636" s="1486"/>
      <c r="EK636" s="1486"/>
      <c r="EL636" s="1486"/>
      <c r="EM636" s="1486" t="e">
        <f t="shared" si="5"/>
        <v>#VALUE!</v>
      </c>
      <c r="EN636" s="1486"/>
      <c r="EO636" s="1486"/>
      <c r="EP636" s="1486"/>
      <c r="EQ636" s="1486"/>
      <c r="ER636" s="1486" t="e">
        <f t="shared" si="6"/>
        <v>#VALUE!</v>
      </c>
      <c r="ES636" s="1486"/>
      <c r="ET636" s="1486"/>
      <c r="EU636" s="1486"/>
      <c r="EV636" s="1486"/>
      <c r="EW636" s="1486" t="e">
        <f t="shared" si="7"/>
        <v>#VALUE!</v>
      </c>
      <c r="EX636" s="1486"/>
      <c r="EY636" s="1486"/>
      <c r="EZ636" s="1486"/>
      <c r="FA636" s="1486"/>
    </row>
    <row r="637" spans="2:157" ht="13" customHeight="1">
      <c r="B637" s="52" t="s">
        <v>362</v>
      </c>
      <c r="C637" s="1477"/>
      <c r="D637" s="1477"/>
      <c r="E637" s="1477"/>
      <c r="F637" s="1477"/>
      <c r="G637" s="1477"/>
      <c r="H637" s="1477"/>
      <c r="I637" s="1477"/>
      <c r="J637" s="1477"/>
      <c r="K637" s="1477"/>
      <c r="L637" s="1477"/>
      <c r="M637" s="1657" t="s">
        <v>1184</v>
      </c>
      <c r="N637" s="1657"/>
      <c r="O637" s="1657"/>
      <c r="P637" s="1657"/>
      <c r="Q637" s="1453"/>
      <c r="R637" s="1454"/>
      <c r="S637" s="1455"/>
      <c r="T637" s="1453"/>
      <c r="U637" s="1454"/>
      <c r="V637" s="1455"/>
      <c r="W637" s="1450"/>
      <c r="X637" s="1451"/>
      <c r="Y637" s="1452"/>
      <c r="Z637" s="1447" t="s">
        <v>1184</v>
      </c>
      <c r="AA637" s="1448"/>
      <c r="AB637" s="1449"/>
      <c r="AC637" s="1670"/>
      <c r="AD637" s="1671"/>
      <c r="AE637" s="1672"/>
      <c r="AF637" s="1503"/>
      <c r="AG637" s="1504"/>
      <c r="AH637" s="1504"/>
      <c r="AI637" s="1504"/>
      <c r="AJ637" s="1505"/>
      <c r="AK637" s="1474"/>
      <c r="AL637" s="1475"/>
      <c r="AM637" s="1475"/>
      <c r="AN637" s="1476"/>
      <c r="AO637" s="1500"/>
      <c r="AP637" s="1501"/>
      <c r="AQ637" s="1501"/>
      <c r="AR637" s="1501"/>
      <c r="AS637" s="1502"/>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86" t="e">
        <f t="shared" si="2"/>
        <v>#VALUE!</v>
      </c>
      <c r="DY637" s="1486"/>
      <c r="DZ637" s="1486"/>
      <c r="EA637" s="1486"/>
      <c r="EB637" s="1486"/>
      <c r="EC637" s="1486">
        <f t="shared" si="3"/>
        <v>70.666666666666671</v>
      </c>
      <c r="ED637" s="1486"/>
      <c r="EE637" s="1486"/>
      <c r="EF637" s="1486"/>
      <c r="EG637" s="1486"/>
      <c r="EH637" s="1486" t="e">
        <f t="shared" si="4"/>
        <v>#VALUE!</v>
      </c>
      <c r="EI637" s="1486"/>
      <c r="EJ637" s="1486"/>
      <c r="EK637" s="1486"/>
      <c r="EL637" s="1486"/>
      <c r="EM637" s="1486" t="e">
        <f t="shared" si="5"/>
        <v>#VALUE!</v>
      </c>
      <c r="EN637" s="1486"/>
      <c r="EO637" s="1486"/>
      <c r="EP637" s="1486"/>
      <c r="EQ637" s="1486"/>
      <c r="ER637" s="1486" t="e">
        <f t="shared" si="6"/>
        <v>#VALUE!</v>
      </c>
      <c r="ES637" s="1486"/>
      <c r="ET637" s="1486"/>
      <c r="EU637" s="1486"/>
      <c r="EV637" s="1486"/>
      <c r="EW637" s="1486" t="e">
        <f t="shared" si="7"/>
        <v>#VALUE!</v>
      </c>
      <c r="EX637" s="1486"/>
      <c r="EY637" s="1486"/>
      <c r="EZ637" s="1486"/>
      <c r="FA637" s="1486"/>
    </row>
    <row r="638" spans="2:157" ht="13" customHeight="1">
      <c r="B638" s="52" t="s">
        <v>363</v>
      </c>
      <c r="C638" s="1477"/>
      <c r="D638" s="1477"/>
      <c r="E638" s="1477"/>
      <c r="F638" s="1477"/>
      <c r="G638" s="1477"/>
      <c r="H638" s="1477"/>
      <c r="I638" s="1477"/>
      <c r="J638" s="1477"/>
      <c r="K638" s="1477"/>
      <c r="L638" s="1477"/>
      <c r="M638" s="1657" t="s">
        <v>1184</v>
      </c>
      <c r="N638" s="1657"/>
      <c r="O638" s="1657"/>
      <c r="P638" s="1657"/>
      <c r="Q638" s="1453"/>
      <c r="R638" s="1454"/>
      <c r="S638" s="1455"/>
      <c r="T638" s="1453"/>
      <c r="U638" s="1454"/>
      <c r="V638" s="1455"/>
      <c r="W638" s="1450"/>
      <c r="X638" s="1451"/>
      <c r="Y638" s="1452"/>
      <c r="Z638" s="1447" t="s">
        <v>1184</v>
      </c>
      <c r="AA638" s="1448"/>
      <c r="AB638" s="1449"/>
      <c r="AC638" s="1670"/>
      <c r="AD638" s="1671"/>
      <c r="AE638" s="1672"/>
      <c r="AF638" s="1503"/>
      <c r="AG638" s="1504"/>
      <c r="AH638" s="1504"/>
      <c r="AI638" s="1504"/>
      <c r="AJ638" s="1505"/>
      <c r="AK638" s="1474"/>
      <c r="AL638" s="1475"/>
      <c r="AM638" s="1475"/>
      <c r="AN638" s="1476"/>
      <c r="AO638" s="1500"/>
      <c r="AP638" s="1501"/>
      <c r="AQ638" s="1501"/>
      <c r="AR638" s="1501"/>
      <c r="AS638" s="150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86" t="e">
        <f t="shared" si="2"/>
        <v>#VALUE!</v>
      </c>
      <c r="DY638" s="1486"/>
      <c r="DZ638" s="1486"/>
      <c r="EA638" s="1486"/>
      <c r="EB638" s="1486"/>
      <c r="EC638" s="1486">
        <f t="shared" si="3"/>
        <v>155.20000000000002</v>
      </c>
      <c r="ED638" s="1486"/>
      <c r="EE638" s="1486"/>
      <c r="EF638" s="1486"/>
      <c r="EG638" s="1486"/>
      <c r="EH638" s="1486" t="e">
        <f t="shared" si="4"/>
        <v>#VALUE!</v>
      </c>
      <c r="EI638" s="1486"/>
      <c r="EJ638" s="1486"/>
      <c r="EK638" s="1486"/>
      <c r="EL638" s="1486"/>
      <c r="EM638" s="1486" t="e">
        <f t="shared" si="5"/>
        <v>#VALUE!</v>
      </c>
      <c r="EN638" s="1486"/>
      <c r="EO638" s="1486"/>
      <c r="EP638" s="1486"/>
      <c r="EQ638" s="1486"/>
      <c r="ER638" s="1486" t="e">
        <f t="shared" si="6"/>
        <v>#VALUE!</v>
      </c>
      <c r="ES638" s="1486"/>
      <c r="ET638" s="1486"/>
      <c r="EU638" s="1486"/>
      <c r="EV638" s="1486"/>
      <c r="EW638" s="1486" t="e">
        <f t="shared" si="7"/>
        <v>#VALUE!</v>
      </c>
      <c r="EX638" s="1486"/>
      <c r="EY638" s="1486"/>
      <c r="EZ638" s="1486"/>
      <c r="FA638" s="1486"/>
    </row>
    <row r="639" spans="2:157" ht="13" customHeight="1">
      <c r="B639" s="1643" t="s">
        <v>128</v>
      </c>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44"/>
      <c r="AJ639" s="1644"/>
      <c r="AK639" s="1644"/>
      <c r="AL639" s="1644"/>
      <c r="AM639" s="1644"/>
      <c r="AN639" s="1645"/>
      <c r="AO639" s="1610">
        <f>SUM(AO627:AR638)</f>
        <v>20835402</v>
      </c>
      <c r="AP639" s="1611"/>
      <c r="AQ639" s="1611"/>
      <c r="AR639" s="1611"/>
      <c r="AS639" s="1612"/>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86" t="e">
        <f t="shared" si="2"/>
        <v>#VALUE!</v>
      </c>
      <c r="DY639" s="1486"/>
      <c r="DZ639" s="1486"/>
      <c r="EA639" s="1486"/>
      <c r="EB639" s="1486"/>
      <c r="EC639" s="1486" t="e">
        <f t="shared" si="3"/>
        <v>#VALUE!</v>
      </c>
      <c r="ED639" s="1486"/>
      <c r="EE639" s="1486"/>
      <c r="EF639" s="1486"/>
      <c r="EG639" s="1486"/>
      <c r="EH639" s="1486">
        <f t="shared" si="4"/>
        <v>323.33333333333331</v>
      </c>
      <c r="EI639" s="1486"/>
      <c r="EJ639" s="1486"/>
      <c r="EK639" s="1486"/>
      <c r="EL639" s="1486"/>
      <c r="EM639" s="1486" t="e">
        <f t="shared" si="5"/>
        <v>#VALUE!</v>
      </c>
      <c r="EN639" s="1486"/>
      <c r="EO639" s="1486"/>
      <c r="EP639" s="1486"/>
      <c r="EQ639" s="1486"/>
      <c r="ER639" s="1486" t="e">
        <f t="shared" si="6"/>
        <v>#VALUE!</v>
      </c>
      <c r="ES639" s="1486"/>
      <c r="ET639" s="1486"/>
      <c r="EU639" s="1486"/>
      <c r="EV639" s="1486"/>
      <c r="EW639" s="1486" t="e">
        <f t="shared" si="7"/>
        <v>#VALUE!</v>
      </c>
      <c r="EX639" s="1486"/>
      <c r="EY639" s="1486"/>
      <c r="EZ639" s="1486"/>
      <c r="FA639" s="1486"/>
    </row>
    <row r="640" spans="2:157" ht="13" customHeight="1">
      <c r="B640" s="1643" t="s">
        <v>267</v>
      </c>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44"/>
      <c r="AJ640" s="1644"/>
      <c r="AK640" s="1644"/>
      <c r="AL640" s="1644"/>
      <c r="AM640" s="1644"/>
      <c r="AN640" s="1645"/>
      <c r="AO640" s="1500">
        <f>14157730+3915000</f>
        <v>18072730</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86" t="e">
        <f t="shared" si="2"/>
        <v>#VALUE!</v>
      </c>
      <c r="DY640" s="1486"/>
      <c r="DZ640" s="1486"/>
      <c r="EA640" s="1486"/>
      <c r="EB640" s="1486"/>
      <c r="EC640" s="1486" t="e">
        <f t="shared" si="3"/>
        <v>#VALUE!</v>
      </c>
      <c r="ED640" s="1486"/>
      <c r="EE640" s="1486"/>
      <c r="EF640" s="1486"/>
      <c r="EG640" s="1486"/>
      <c r="EH640" s="1486">
        <f t="shared" si="4"/>
        <v>666.25</v>
      </c>
      <c r="EI640" s="1486"/>
      <c r="EJ640" s="1486"/>
      <c r="EK640" s="1486"/>
      <c r="EL640" s="1486"/>
      <c r="EM640" s="1486" t="e">
        <f t="shared" si="5"/>
        <v>#VALUE!</v>
      </c>
      <c r="EN640" s="1486"/>
      <c r="EO640" s="1486"/>
      <c r="EP640" s="1486"/>
      <c r="EQ640" s="1486"/>
      <c r="ER640" s="1486" t="e">
        <f t="shared" si="6"/>
        <v>#VALUE!</v>
      </c>
      <c r="ES640" s="1486"/>
      <c r="ET640" s="1486"/>
      <c r="EU640" s="1486"/>
      <c r="EV640" s="1486"/>
      <c r="EW640" s="1486" t="e">
        <f t="shared" si="7"/>
        <v>#VALUE!</v>
      </c>
      <c r="EX640" s="1486"/>
      <c r="EY640" s="1486"/>
      <c r="EZ640" s="1486"/>
      <c r="FA640" s="1486"/>
    </row>
    <row r="641" spans="1:157" ht="13" customHeight="1">
      <c r="B641" s="1469" t="s">
        <v>268</v>
      </c>
      <c r="C641" s="1470"/>
      <c r="D641" s="1470"/>
      <c r="E641" s="1470"/>
      <c r="F641" s="1470"/>
      <c r="G641" s="1470"/>
      <c r="H641" s="1470"/>
      <c r="I641" s="1470"/>
      <c r="J641" s="1470"/>
      <c r="K641" s="1470"/>
      <c r="L641" s="1470"/>
      <c r="M641" s="1470"/>
      <c r="N641" s="1470"/>
      <c r="O641" s="1470"/>
      <c r="P641" s="1470"/>
      <c r="Q641" s="1470"/>
      <c r="R641" s="1470"/>
      <c r="S641" s="1470"/>
      <c r="T641" s="1470"/>
      <c r="U641" s="1470"/>
      <c r="V641" s="1470"/>
      <c r="W641" s="1470"/>
      <c r="X641" s="1470"/>
      <c r="Y641" s="1470"/>
      <c r="Z641" s="1470"/>
      <c r="AA641" s="1470"/>
      <c r="AB641" s="1470"/>
      <c r="AC641" s="1470"/>
      <c r="AD641" s="1470"/>
      <c r="AE641" s="1470"/>
      <c r="AF641" s="1470"/>
      <c r="AG641" s="1470"/>
      <c r="AH641" s="1470"/>
      <c r="AI641" s="1470"/>
      <c r="AJ641" s="1470"/>
      <c r="AK641" s="1470"/>
      <c r="AL641" s="1470"/>
      <c r="AM641" s="1470"/>
      <c r="AN641" s="1471"/>
      <c r="AO641" s="1610">
        <f>AO639+AO640</f>
        <v>38908132</v>
      </c>
      <c r="AP641" s="1611"/>
      <c r="AQ641" s="1611"/>
      <c r="AR641" s="1611"/>
      <c r="AS641" s="1612"/>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86" t="e">
        <f t="shared" si="2"/>
        <v>#VALUE!</v>
      </c>
      <c r="DY641" s="1486"/>
      <c r="DZ641" s="1486"/>
      <c r="EA641" s="1486"/>
      <c r="EB641" s="1486"/>
      <c r="EC641" s="1486" t="e">
        <f t="shared" si="3"/>
        <v>#VALUE!</v>
      </c>
      <c r="ED641" s="1486"/>
      <c r="EE641" s="1486"/>
      <c r="EF641" s="1486"/>
      <c r="EG641" s="1486"/>
      <c r="EH641" s="1486">
        <f t="shared" si="4"/>
        <v>209.83333333333331</v>
      </c>
      <c r="EI641" s="1486"/>
      <c r="EJ641" s="1486"/>
      <c r="EK641" s="1486"/>
      <c r="EL641" s="1486"/>
      <c r="EM641" s="1486" t="e">
        <f t="shared" si="5"/>
        <v>#VALUE!</v>
      </c>
      <c r="EN641" s="1486"/>
      <c r="EO641" s="1486"/>
      <c r="EP641" s="1486"/>
      <c r="EQ641" s="1486"/>
      <c r="ER641" s="1486" t="e">
        <f t="shared" si="6"/>
        <v>#VALUE!</v>
      </c>
      <c r="ES641" s="1486"/>
      <c r="ET641" s="1486"/>
      <c r="EU641" s="1486"/>
      <c r="EV641" s="1486"/>
      <c r="EW641" s="1486" t="e">
        <f t="shared" si="7"/>
        <v>#VALUE!</v>
      </c>
      <c r="EX641" s="1486"/>
      <c r="EY641" s="1486"/>
      <c r="EZ641" s="1486"/>
      <c r="FA641" s="148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86" t="e">
        <f t="shared" si="2"/>
        <v>#VALUE!</v>
      </c>
      <c r="DY642" s="1486"/>
      <c r="DZ642" s="1486"/>
      <c r="EA642" s="1486"/>
      <c r="EB642" s="1486"/>
      <c r="EC642" s="1486" t="e">
        <f t="shared" si="3"/>
        <v>#VALUE!</v>
      </c>
      <c r="ED642" s="1486"/>
      <c r="EE642" s="1486"/>
      <c r="EF642" s="1486"/>
      <c r="EG642" s="1486"/>
      <c r="EH642" s="1486">
        <f t="shared" si="4"/>
        <v>229.5</v>
      </c>
      <c r="EI642" s="1486"/>
      <c r="EJ642" s="1486"/>
      <c r="EK642" s="1486"/>
      <c r="EL642" s="1486"/>
      <c r="EM642" s="1486" t="e">
        <f t="shared" si="5"/>
        <v>#VALUE!</v>
      </c>
      <c r="EN642" s="1486"/>
      <c r="EO642" s="1486"/>
      <c r="EP642" s="1486"/>
      <c r="EQ642" s="1486"/>
      <c r="ER642" s="1486" t="e">
        <f t="shared" si="6"/>
        <v>#VALUE!</v>
      </c>
      <c r="ES642" s="1486"/>
      <c r="ET642" s="1486"/>
      <c r="EU642" s="1486"/>
      <c r="EV642" s="1486"/>
      <c r="EW642" s="1486" t="e">
        <f t="shared" si="7"/>
        <v>#VALUE!</v>
      </c>
      <c r="EX642" s="1486"/>
      <c r="EY642" s="1486"/>
      <c r="EZ642" s="1486"/>
      <c r="FA642" s="1486"/>
    </row>
    <row r="643" spans="1:157" ht="13" customHeight="1">
      <c r="A643" s="55" t="s">
        <v>112</v>
      </c>
      <c r="B643" t="s">
        <v>463</v>
      </c>
      <c r="G643" s="1366" t="str">
        <f>C627</f>
        <v>Permanent Loan</v>
      </c>
      <c r="H643" s="1366"/>
      <c r="I643" s="1366"/>
      <c r="J643" s="1366"/>
      <c r="K643" s="1366"/>
      <c r="L643" s="1366"/>
      <c r="M643" s="1366"/>
      <c r="N643" s="1366"/>
      <c r="O643" s="1366"/>
      <c r="P643" s="1366"/>
      <c r="Q643" s="1366"/>
      <c r="R643" s="1366"/>
      <c r="S643" s="8"/>
      <c r="T643" s="55" t="s">
        <v>113</v>
      </c>
      <c r="U643" t="s">
        <v>463</v>
      </c>
      <c r="Z643" s="1366" t="str">
        <f>C628</f>
        <v>Deferred Developer Fee</v>
      </c>
      <c r="AA643" s="1366"/>
      <c r="AB643" s="1366"/>
      <c r="AC643" s="1366"/>
      <c r="AD643" s="1366"/>
      <c r="AE643" s="1366"/>
      <c r="AF643" s="1366"/>
      <c r="AG643" s="1366"/>
      <c r="AH643" s="1366"/>
      <c r="AI643" s="1366"/>
      <c r="AJ643" s="1366"/>
      <c r="AK643" s="136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6" t="e">
        <f t="shared" si="2"/>
        <v>#VALUE!</v>
      </c>
      <c r="DY643" s="1486"/>
      <c r="DZ643" s="1486"/>
      <c r="EA643" s="1486"/>
      <c r="EB643" s="1486"/>
      <c r="EC643" s="1486" t="e">
        <f t="shared" si="3"/>
        <v>#VALUE!</v>
      </c>
      <c r="ED643" s="1486"/>
      <c r="EE643" s="1486"/>
      <c r="EF643" s="1486"/>
      <c r="EG643" s="1486"/>
      <c r="EH643" s="1486" t="e">
        <f t="shared" si="4"/>
        <v>#VALUE!</v>
      </c>
      <c r="EI643" s="1486"/>
      <c r="EJ643" s="1486"/>
      <c r="EK643" s="1486"/>
      <c r="EL643" s="1486"/>
      <c r="EM643" s="1486">
        <f t="shared" si="5"/>
        <v>525.17647058823525</v>
      </c>
      <c r="EN643" s="1486"/>
      <c r="EO643" s="1486"/>
      <c r="EP643" s="1486"/>
      <c r="EQ643" s="1486"/>
      <c r="ER643" s="1486" t="e">
        <f t="shared" si="6"/>
        <v>#VALUE!</v>
      </c>
      <c r="ES643" s="1486"/>
      <c r="ET643" s="1486"/>
      <c r="EU643" s="1486"/>
      <c r="EV643" s="1486"/>
      <c r="EW643" s="1486" t="e">
        <f t="shared" si="7"/>
        <v>#VALUE!</v>
      </c>
      <c r="EX643" s="1486"/>
      <c r="EY643" s="1486"/>
      <c r="EZ643" s="1486"/>
      <c r="FA643" s="1486"/>
    </row>
    <row r="644" spans="1:157" ht="13" customHeight="1">
      <c r="A644" s="22"/>
      <c r="B644" t="s">
        <v>85</v>
      </c>
      <c r="G644" s="1346" t="s">
        <v>2730</v>
      </c>
      <c r="H644" s="1346"/>
      <c r="I644" s="1346"/>
      <c r="J644" s="1346"/>
      <c r="K644" s="1346"/>
      <c r="L644" s="1346"/>
      <c r="M644" s="1346"/>
      <c r="N644" s="1346"/>
      <c r="O644" s="1346"/>
      <c r="P644" s="1346"/>
      <c r="Q644" s="1346"/>
      <c r="R644" s="1346"/>
      <c r="S644" s="8"/>
      <c r="T644" s="22"/>
      <c r="U644" t="s">
        <v>85</v>
      </c>
      <c r="Z644" s="1706" t="s">
        <v>2727</v>
      </c>
      <c r="AA644" s="1706"/>
      <c r="AB644" s="1706"/>
      <c r="AC644" s="1706"/>
      <c r="AD644" s="1706"/>
      <c r="AE644" s="1706"/>
      <c r="AF644" s="1706"/>
      <c r="AG644" s="1706"/>
      <c r="AH644" s="1706"/>
      <c r="AI644" s="1706"/>
      <c r="AJ644" s="1706"/>
      <c r="AK644" s="1706"/>
      <c r="AV644" s="3"/>
      <c r="AW644" s="3"/>
      <c r="AX644" s="3"/>
      <c r="AY644" s="3"/>
      <c r="AZ644" s="3"/>
      <c r="BA644" s="3"/>
      <c r="BB644" s="3"/>
      <c r="BC644" s="3"/>
      <c r="BD644" s="3"/>
      <c r="BE644" s="3"/>
      <c r="BF644" s="3"/>
      <c r="BG644" s="3"/>
      <c r="BH644" s="3"/>
      <c r="BI644" s="3"/>
      <c r="BJ644" s="3"/>
      <c r="BK644" s="3"/>
      <c r="BL644" s="3"/>
      <c r="BM644" s="3"/>
      <c r="DX644" s="1486" t="e">
        <f t="shared" si="2"/>
        <v>#VALUE!</v>
      </c>
      <c r="DY644" s="1486"/>
      <c r="DZ644" s="1486"/>
      <c r="EA644" s="1486"/>
      <c r="EB644" s="1486"/>
      <c r="EC644" s="1486" t="e">
        <f t="shared" si="3"/>
        <v>#VALUE!</v>
      </c>
      <c r="ED644" s="1486"/>
      <c r="EE644" s="1486"/>
      <c r="EF644" s="1486"/>
      <c r="EG644" s="1486"/>
      <c r="EH644" s="1486" t="e">
        <f t="shared" si="4"/>
        <v>#VALUE!</v>
      </c>
      <c r="EI644" s="1486"/>
      <c r="EJ644" s="1486"/>
      <c r="EK644" s="1486"/>
      <c r="EL644" s="1486"/>
      <c r="EM644" s="1486">
        <f t="shared" si="5"/>
        <v>864.94117647058818</v>
      </c>
      <c r="EN644" s="1486"/>
      <c r="EO644" s="1486"/>
      <c r="EP644" s="1486"/>
      <c r="EQ644" s="1486"/>
      <c r="ER644" s="1486" t="e">
        <f t="shared" si="6"/>
        <v>#VALUE!</v>
      </c>
      <c r="ES644" s="1486"/>
      <c r="ET644" s="1486"/>
      <c r="EU644" s="1486"/>
      <c r="EV644" s="1486"/>
      <c r="EW644" s="1486" t="e">
        <f t="shared" si="7"/>
        <v>#VALUE!</v>
      </c>
      <c r="EX644" s="1486"/>
      <c r="EY644" s="1486"/>
      <c r="EZ644" s="1486"/>
      <c r="FA644" s="1486"/>
    </row>
    <row r="645" spans="1:157" ht="13" customHeight="1">
      <c r="A645" s="22"/>
      <c r="B645" t="s">
        <v>580</v>
      </c>
      <c r="G645" s="1346" t="s">
        <v>2731</v>
      </c>
      <c r="H645" s="1346"/>
      <c r="I645" s="1346"/>
      <c r="J645" s="1346"/>
      <c r="K645" s="1346"/>
      <c r="L645" s="1346"/>
      <c r="M645" s="1346"/>
      <c r="N645" s="1346"/>
      <c r="O645" s="1346"/>
      <c r="P645" s="1346"/>
      <c r="Q645" s="1346"/>
      <c r="R645" s="1346"/>
      <c r="T645" s="22"/>
      <c r="U645" t="s">
        <v>580</v>
      </c>
      <c r="Z645" s="1793" t="s">
        <v>2618</v>
      </c>
      <c r="AA645" s="1793"/>
      <c r="AB645" s="1793"/>
      <c r="AC645" s="1793"/>
      <c r="AD645" s="1793"/>
      <c r="AE645" s="1793"/>
      <c r="AF645" s="1793"/>
      <c r="AG645" s="1793"/>
      <c r="AH645" s="1793"/>
      <c r="AI645" s="1793"/>
      <c r="AJ645" s="1793"/>
      <c r="AK645" s="1793"/>
      <c r="AV645" s="3"/>
      <c r="AW645" s="3"/>
      <c r="AX645" s="3"/>
      <c r="AY645" s="3"/>
      <c r="AZ645" s="3"/>
      <c r="BA645" s="3"/>
      <c r="BB645" s="3"/>
      <c r="BC645" s="3"/>
      <c r="BD645" s="3"/>
      <c r="BE645" s="3"/>
      <c r="BF645" s="3"/>
      <c r="BG645" s="3"/>
      <c r="BH645" s="3"/>
      <c r="BI645" s="3"/>
      <c r="BJ645" s="3"/>
      <c r="BK645" s="3"/>
      <c r="BL645" s="3"/>
      <c r="BM645" s="3"/>
      <c r="DX645" s="1486" t="e">
        <f t="shared" si="2"/>
        <v>#VALUE!</v>
      </c>
      <c r="DY645" s="1486"/>
      <c r="DZ645" s="1486"/>
      <c r="EA645" s="1486"/>
      <c r="EB645" s="1486"/>
      <c r="EC645" s="1486" t="e">
        <f t="shared" si="3"/>
        <v>#VALUE!</v>
      </c>
      <c r="ED645" s="1486"/>
      <c r="EE645" s="1486"/>
      <c r="EF645" s="1486"/>
      <c r="EG645" s="1486"/>
      <c r="EH645" s="1486" t="e">
        <f t="shared" si="4"/>
        <v>#VALUE!</v>
      </c>
      <c r="EI645" s="1486"/>
      <c r="EJ645" s="1486"/>
      <c r="EK645" s="1486"/>
      <c r="EL645" s="1486"/>
      <c r="EM645" s="1486">
        <f t="shared" si="5"/>
        <v>169.88235294117646</v>
      </c>
      <c r="EN645" s="1486"/>
      <c r="EO645" s="1486"/>
      <c r="EP645" s="1486"/>
      <c r="EQ645" s="1486"/>
      <c r="ER645" s="1486" t="e">
        <f t="shared" si="6"/>
        <v>#VALUE!</v>
      </c>
      <c r="ES645" s="1486"/>
      <c r="ET645" s="1486"/>
      <c r="EU645" s="1486"/>
      <c r="EV645" s="1486"/>
      <c r="EW645" s="1486" t="e">
        <f t="shared" si="7"/>
        <v>#VALUE!</v>
      </c>
      <c r="EX645" s="1486"/>
      <c r="EY645" s="1486"/>
      <c r="EZ645" s="1486"/>
      <c r="FA645" s="1486"/>
    </row>
    <row r="646" spans="1:157" ht="13" customHeight="1">
      <c r="A646" s="22"/>
      <c r="B646" t="s">
        <v>17</v>
      </c>
      <c r="G646" s="1346" t="s">
        <v>2732</v>
      </c>
      <c r="H646" s="1346"/>
      <c r="I646" s="1346"/>
      <c r="J646" s="1346"/>
      <c r="K646" s="1346"/>
      <c r="L646" s="1346"/>
      <c r="M646" s="1346"/>
      <c r="N646" s="1346"/>
      <c r="O646" s="1346"/>
      <c r="P646" s="1346"/>
      <c r="Q646" s="1346"/>
      <c r="R646" s="1346"/>
      <c r="S646" s="8"/>
      <c r="T646" s="22"/>
      <c r="U646" t="s">
        <v>17</v>
      </c>
      <c r="Z646" s="1793" t="s">
        <v>2619</v>
      </c>
      <c r="AA646" s="1793"/>
      <c r="AB646" s="1793"/>
      <c r="AC646" s="1793"/>
      <c r="AD646" s="1793"/>
      <c r="AE646" s="1793"/>
      <c r="AF646" s="1793"/>
      <c r="AG646" s="1793"/>
      <c r="AH646" s="1793"/>
      <c r="AI646" s="1793"/>
      <c r="AJ646" s="1793"/>
      <c r="AK646" s="1793"/>
      <c r="AZ646" s="3"/>
      <c r="BA646" s="3"/>
      <c r="BB646" s="3"/>
      <c r="BC646" s="3"/>
      <c r="BD646" s="3"/>
      <c r="BE646" s="3"/>
      <c r="BF646" s="3"/>
      <c r="BG646" s="3"/>
      <c r="BH646" s="3"/>
      <c r="BI646" s="3"/>
      <c r="BJ646" s="3"/>
      <c r="BK646" s="3"/>
      <c r="BL646" s="3"/>
      <c r="BM646" s="3"/>
      <c r="DX646" s="1486" t="e">
        <f t="shared" si="2"/>
        <v>#VALUE!</v>
      </c>
      <c r="DY646" s="1486"/>
      <c r="DZ646" s="1486"/>
      <c r="EA646" s="1486"/>
      <c r="EB646" s="1486"/>
      <c r="EC646" s="1486" t="e">
        <f t="shared" si="3"/>
        <v>#VALUE!</v>
      </c>
      <c r="ED646" s="1486"/>
      <c r="EE646" s="1486"/>
      <c r="EF646" s="1486"/>
      <c r="EG646" s="1486"/>
      <c r="EH646" s="1486" t="e">
        <f t="shared" si="4"/>
        <v>#VALUE!</v>
      </c>
      <c r="EI646" s="1486"/>
      <c r="EJ646" s="1486"/>
      <c r="EK646" s="1486"/>
      <c r="EL646" s="1486"/>
      <c r="EM646" s="1486">
        <f t="shared" si="5"/>
        <v>185.29411764705884</v>
      </c>
      <c r="EN646" s="1486"/>
      <c r="EO646" s="1486"/>
      <c r="EP646" s="1486"/>
      <c r="EQ646" s="1486"/>
      <c r="ER646" s="1486" t="e">
        <f t="shared" si="6"/>
        <v>#VALUE!</v>
      </c>
      <c r="ES646" s="1486"/>
      <c r="ET646" s="1486"/>
      <c r="EU646" s="1486"/>
      <c r="EV646" s="1486"/>
      <c r="EW646" s="1486" t="e">
        <f t="shared" si="7"/>
        <v>#VALUE!</v>
      </c>
      <c r="EX646" s="1486"/>
      <c r="EY646" s="1486"/>
      <c r="EZ646" s="1486"/>
      <c r="FA646" s="1486"/>
    </row>
    <row r="647" spans="1:157" ht="13" customHeight="1">
      <c r="A647" s="22"/>
      <c r="B647" t="s">
        <v>316</v>
      </c>
      <c r="G647" s="1344">
        <v>2122391914</v>
      </c>
      <c r="H647" s="1344"/>
      <c r="I647" s="1344"/>
      <c r="J647" s="1344"/>
      <c r="K647" s="1344"/>
      <c r="L647" s="1344"/>
      <c r="O647" s="33" t="s">
        <v>206</v>
      </c>
      <c r="P647" s="1484"/>
      <c r="Q647" s="1484"/>
      <c r="R647" s="1484"/>
      <c r="S647" s="10"/>
      <c r="T647" s="22"/>
      <c r="U647" t="s">
        <v>316</v>
      </c>
      <c r="Z647" s="1262" t="s">
        <v>2672</v>
      </c>
      <c r="AA647" s="1261"/>
      <c r="AB647" s="1261"/>
      <c r="AC647" s="1261"/>
      <c r="AD647" s="1261"/>
      <c r="AE647" s="1261"/>
      <c r="AH647" s="33" t="s">
        <v>206</v>
      </c>
      <c r="AI647" s="1484"/>
      <c r="AJ647" s="1484"/>
      <c r="AK647" s="1484"/>
      <c r="AZ647" s="34"/>
      <c r="BA647" s="34"/>
      <c r="BB647" s="34"/>
      <c r="BC647" s="34"/>
      <c r="BD647" s="34"/>
      <c r="BE647" s="34"/>
      <c r="BF647" s="34"/>
      <c r="BG647" s="34"/>
      <c r="BH647" s="34"/>
      <c r="BI647" s="34"/>
      <c r="BJ647" s="34"/>
      <c r="BK647" s="34"/>
      <c r="BL647" s="34"/>
      <c r="BM647" s="34"/>
      <c r="DX647" s="1486" t="e">
        <f t="shared" si="2"/>
        <v>#VALUE!</v>
      </c>
      <c r="DY647" s="1486"/>
      <c r="DZ647" s="1486"/>
      <c r="EA647" s="1486"/>
      <c r="EB647" s="1486"/>
      <c r="EC647" s="1486" t="e">
        <f t="shared" si="3"/>
        <v>#VALUE!</v>
      </c>
      <c r="ED647" s="1486"/>
      <c r="EE647" s="1486"/>
      <c r="EF647" s="1486"/>
      <c r="EG647" s="1486"/>
      <c r="EH647" s="1486" t="e">
        <f t="shared" si="4"/>
        <v>#VALUE!</v>
      </c>
      <c r="EI647" s="1486"/>
      <c r="EJ647" s="1486"/>
      <c r="EK647" s="1486"/>
      <c r="EL647" s="1486"/>
      <c r="EM647" s="1486" t="e">
        <f t="shared" si="5"/>
        <v>#VALUE!</v>
      </c>
      <c r="EN647" s="1486"/>
      <c r="EO647" s="1486"/>
      <c r="EP647" s="1486"/>
      <c r="EQ647" s="1486"/>
      <c r="ER647" s="1486" t="e">
        <f t="shared" si="6"/>
        <v>#VALUE!</v>
      </c>
      <c r="ES647" s="1486"/>
      <c r="ET647" s="1486"/>
      <c r="EU647" s="1486"/>
      <c r="EV647" s="1486"/>
      <c r="EW647" s="1486" t="e">
        <f t="shared" si="7"/>
        <v>#VALUE!</v>
      </c>
      <c r="EX647" s="1486"/>
      <c r="EY647" s="1486"/>
      <c r="EZ647" s="1486"/>
      <c r="FA647" s="1486"/>
    </row>
    <row r="648" spans="1:157" ht="13" customHeight="1">
      <c r="A648" s="22"/>
      <c r="B648" t="s">
        <v>18</v>
      </c>
      <c r="H648" s="1346" t="s">
        <v>2736</v>
      </c>
      <c r="I648" s="1346"/>
      <c r="J648" s="1346"/>
      <c r="K648" s="1346"/>
      <c r="L648" s="1346"/>
      <c r="M648" s="1346"/>
      <c r="N648" s="1346"/>
      <c r="O648" s="1346"/>
      <c r="P648" s="1346"/>
      <c r="Q648" s="1346"/>
      <c r="R648" s="1346"/>
      <c r="S648" s="8"/>
      <c r="T648" s="22"/>
      <c r="U648" t="s">
        <v>18</v>
      </c>
      <c r="AA648" s="1345" t="s">
        <v>2729</v>
      </c>
      <c r="AB648" s="1346"/>
      <c r="AC648" s="1346"/>
      <c r="AD648" s="1346"/>
      <c r="AE648" s="1346"/>
      <c r="AF648" s="1346"/>
      <c r="AG648" s="1346"/>
      <c r="AH648" s="1346"/>
      <c r="AI648" s="1346"/>
      <c r="AJ648" s="1346"/>
      <c r="AK648" s="1346"/>
      <c r="AZ648" s="34"/>
      <c r="BA648" s="34"/>
      <c r="BB648" s="34"/>
      <c r="BC648" s="34"/>
      <c r="BD648" s="34"/>
      <c r="BE648" s="34"/>
      <c r="BF648" s="34"/>
      <c r="BG648" s="34"/>
      <c r="BH648" s="34"/>
      <c r="BI648" s="34"/>
      <c r="BJ648" s="34"/>
      <c r="BK648" s="34"/>
      <c r="BL648" s="34"/>
      <c r="BM648" s="34"/>
      <c r="DX648" s="1486" t="e">
        <f t="shared" si="2"/>
        <v>#VALUE!</v>
      </c>
      <c r="DY648" s="1486"/>
      <c r="DZ648" s="1486"/>
      <c r="EA648" s="1486"/>
      <c r="EB648" s="1486"/>
      <c r="EC648" s="1486" t="e">
        <f t="shared" si="3"/>
        <v>#VALUE!</v>
      </c>
      <c r="ED648" s="1486"/>
      <c r="EE648" s="1486"/>
      <c r="EF648" s="1486"/>
      <c r="EG648" s="1486"/>
      <c r="EH648" s="1486" t="e">
        <f t="shared" si="4"/>
        <v>#VALUE!</v>
      </c>
      <c r="EI648" s="1486"/>
      <c r="EJ648" s="1486"/>
      <c r="EK648" s="1486"/>
      <c r="EL648" s="1486"/>
      <c r="EM648" s="1486" t="e">
        <f t="shared" si="5"/>
        <v>#VALUE!</v>
      </c>
      <c r="EN648" s="1486"/>
      <c r="EO648" s="1486"/>
      <c r="EP648" s="1486"/>
      <c r="EQ648" s="1486"/>
      <c r="ER648" s="1486" t="e">
        <f t="shared" si="6"/>
        <v>#VALUE!</v>
      </c>
      <c r="ES648" s="1486"/>
      <c r="ET648" s="1486"/>
      <c r="EU648" s="1486"/>
      <c r="EV648" s="1486"/>
      <c r="EW648" s="1486" t="e">
        <f t="shared" si="7"/>
        <v>#VALUE!</v>
      </c>
      <c r="EX648" s="1486"/>
      <c r="EY648" s="1486"/>
      <c r="EZ648" s="1486"/>
      <c r="FA648" s="1486"/>
    </row>
    <row r="649" spans="1:157" ht="13" customHeight="1">
      <c r="A649" s="22"/>
      <c r="B649" t="s">
        <v>20</v>
      </c>
      <c r="N649" s="1339" t="s">
        <v>545</v>
      </c>
      <c r="O649" s="1339"/>
      <c r="T649" s="22"/>
      <c r="U649" t="s">
        <v>20</v>
      </c>
      <c r="AG649" s="1339" t="s">
        <v>545</v>
      </c>
      <c r="AH649" s="1339"/>
      <c r="AZ649" s="34"/>
      <c r="BA649" s="34"/>
      <c r="BB649" s="34"/>
      <c r="BC649" s="34"/>
      <c r="BD649" s="34"/>
      <c r="BE649" s="34"/>
      <c r="BF649" s="34"/>
      <c r="BG649" s="34"/>
      <c r="BH649" s="34"/>
      <c r="BI649" s="34"/>
      <c r="BJ649" s="34"/>
      <c r="BK649" s="34"/>
      <c r="BL649" s="34"/>
      <c r="BM649" s="34"/>
      <c r="DX649" s="1486" t="e">
        <f t="shared" si="2"/>
        <v>#VALUE!</v>
      </c>
      <c r="DY649" s="1486"/>
      <c r="DZ649" s="1486"/>
      <c r="EA649" s="1486"/>
      <c r="EB649" s="1486"/>
      <c r="EC649" s="1486" t="e">
        <f t="shared" si="3"/>
        <v>#VALUE!</v>
      </c>
      <c r="ED649" s="1486"/>
      <c r="EE649" s="1486"/>
      <c r="EF649" s="1486"/>
      <c r="EG649" s="1486"/>
      <c r="EH649" s="1486" t="e">
        <f t="shared" si="4"/>
        <v>#VALUE!</v>
      </c>
      <c r="EI649" s="1486"/>
      <c r="EJ649" s="1486"/>
      <c r="EK649" s="1486"/>
      <c r="EL649" s="1486"/>
      <c r="EM649" s="1486" t="e">
        <f t="shared" si="5"/>
        <v>#VALUE!</v>
      </c>
      <c r="EN649" s="1486"/>
      <c r="EO649" s="1486"/>
      <c r="EP649" s="1486"/>
      <c r="EQ649" s="1486"/>
      <c r="ER649" s="1486" t="e">
        <f t="shared" si="6"/>
        <v>#VALUE!</v>
      </c>
      <c r="ES649" s="1486"/>
      <c r="ET649" s="1486"/>
      <c r="EU649" s="1486"/>
      <c r="EV649" s="1486"/>
      <c r="EW649" s="1486" t="e">
        <f t="shared" si="7"/>
        <v>#VALUE!</v>
      </c>
      <c r="EX649" s="1486"/>
      <c r="EY649" s="1486"/>
      <c r="EZ649" s="1486"/>
      <c r="FA649" s="1486"/>
    </row>
    <row r="650" spans="1:157" ht="13" customHeight="1">
      <c r="A650" s="22"/>
      <c r="T650" s="22"/>
      <c r="AZ650" s="34"/>
      <c r="BA650" s="34"/>
      <c r="BB650" s="34"/>
      <c r="BC650" s="34"/>
      <c r="BD650" s="34"/>
      <c r="BE650" s="34"/>
      <c r="BF650" s="34"/>
      <c r="BG650" s="34"/>
      <c r="BH650" s="34"/>
      <c r="BI650" s="34"/>
      <c r="BJ650" s="34"/>
      <c r="BK650" s="34"/>
      <c r="BL650" s="34"/>
      <c r="BM650" s="34"/>
      <c r="DX650" s="1486" t="e">
        <f t="shared" si="2"/>
        <v>#VALUE!</v>
      </c>
      <c r="DY650" s="1486"/>
      <c r="DZ650" s="1486"/>
      <c r="EA650" s="1486"/>
      <c r="EB650" s="1486"/>
      <c r="EC650" s="1486" t="e">
        <f t="shared" si="3"/>
        <v>#VALUE!</v>
      </c>
      <c r="ED650" s="1486"/>
      <c r="EE650" s="1486"/>
      <c r="EF650" s="1486"/>
      <c r="EG650" s="1486"/>
      <c r="EH650" s="1486" t="e">
        <f t="shared" si="4"/>
        <v>#VALUE!</v>
      </c>
      <c r="EI650" s="1486"/>
      <c r="EJ650" s="1486"/>
      <c r="EK650" s="1486"/>
      <c r="EL650" s="1486"/>
      <c r="EM650" s="1486" t="e">
        <f t="shared" si="5"/>
        <v>#VALUE!</v>
      </c>
      <c r="EN650" s="1486"/>
      <c r="EO650" s="1486"/>
      <c r="EP650" s="1486"/>
      <c r="EQ650" s="1486"/>
      <c r="ER650" s="1486" t="e">
        <f t="shared" si="6"/>
        <v>#VALUE!</v>
      </c>
      <c r="ES650" s="1486"/>
      <c r="ET650" s="1486"/>
      <c r="EU650" s="1486"/>
      <c r="EV650" s="1486"/>
      <c r="EW650" s="1486" t="e">
        <f t="shared" si="7"/>
        <v>#VALUE!</v>
      </c>
      <c r="EX650" s="1486"/>
      <c r="EY650" s="1486"/>
      <c r="EZ650" s="1486"/>
      <c r="FA650" s="1486"/>
    </row>
    <row r="651" spans="1:157" ht="13" customHeight="1">
      <c r="A651" s="55" t="s">
        <v>119</v>
      </c>
      <c r="B651" t="s">
        <v>463</v>
      </c>
      <c r="G651" s="1366" t="str">
        <f>C629</f>
        <v>HCD-MHP</v>
      </c>
      <c r="H651" s="1366"/>
      <c r="I651" s="1366"/>
      <c r="J651" s="1366"/>
      <c r="K651" s="1366"/>
      <c r="L651" s="1366"/>
      <c r="M651" s="1366"/>
      <c r="N651" s="1366"/>
      <c r="O651" s="1366"/>
      <c r="P651" s="1366"/>
      <c r="Q651" s="1366"/>
      <c r="R651" s="1366"/>
      <c r="T651" s="55" t="s">
        <v>581</v>
      </c>
      <c r="U651" t="s">
        <v>463</v>
      </c>
      <c r="Z651" s="1366">
        <f>C630</f>
        <v>0</v>
      </c>
      <c r="AA651" s="1366"/>
      <c r="AB651" s="1366"/>
      <c r="AC651" s="1366"/>
      <c r="AD651" s="1366"/>
      <c r="AE651" s="1366"/>
      <c r="AF651" s="1366"/>
      <c r="AG651" s="1366"/>
      <c r="AH651" s="1366"/>
      <c r="AI651" s="1366"/>
      <c r="AJ651" s="1366"/>
      <c r="AK651" s="1366"/>
      <c r="AZ651" s="34"/>
      <c r="BA651" s="34"/>
      <c r="BB651" s="34"/>
      <c r="BC651" s="34"/>
      <c r="BD651" s="34"/>
      <c r="BE651" s="34"/>
      <c r="BF651" s="34"/>
      <c r="BG651" s="34"/>
      <c r="BH651" s="34"/>
      <c r="BI651" s="34"/>
      <c r="BJ651" s="34"/>
      <c r="BK651" s="34"/>
      <c r="BL651" s="34"/>
      <c r="BM651" s="34"/>
      <c r="DX651" s="1486" t="e">
        <f t="shared" si="2"/>
        <v>#VALUE!</v>
      </c>
      <c r="DY651" s="1486"/>
      <c r="DZ651" s="1486"/>
      <c r="EA651" s="1486"/>
      <c r="EB651" s="1486"/>
      <c r="EC651" s="1486" t="e">
        <f t="shared" si="3"/>
        <v>#VALUE!</v>
      </c>
      <c r="ED651" s="1486"/>
      <c r="EE651" s="1486"/>
      <c r="EF651" s="1486"/>
      <c r="EG651" s="1486"/>
      <c r="EH651" s="1486" t="e">
        <f t="shared" si="4"/>
        <v>#VALUE!</v>
      </c>
      <c r="EI651" s="1486"/>
      <c r="EJ651" s="1486"/>
      <c r="EK651" s="1486"/>
      <c r="EL651" s="1486"/>
      <c r="EM651" s="1486" t="e">
        <f t="shared" si="5"/>
        <v>#VALUE!</v>
      </c>
      <c r="EN651" s="1486"/>
      <c r="EO651" s="1486"/>
      <c r="EP651" s="1486"/>
      <c r="EQ651" s="1486"/>
      <c r="ER651" s="1486" t="e">
        <f t="shared" si="6"/>
        <v>#VALUE!</v>
      </c>
      <c r="ES651" s="1486"/>
      <c r="ET651" s="1486"/>
      <c r="EU651" s="1486"/>
      <c r="EV651" s="1486"/>
      <c r="EW651" s="1486" t="e">
        <f t="shared" si="7"/>
        <v>#VALUE!</v>
      </c>
      <c r="EX651" s="1486"/>
      <c r="EY651" s="1486"/>
      <c r="EZ651" s="1486"/>
      <c r="FA651" s="1486"/>
    </row>
    <row r="652" spans="1:157" ht="13" customHeight="1">
      <c r="A652" s="22"/>
      <c r="B652" t="s">
        <v>85</v>
      </c>
      <c r="G652" s="1464" t="s">
        <v>2755</v>
      </c>
      <c r="H652" s="1346"/>
      <c r="I652" s="1346"/>
      <c r="J652" s="1346"/>
      <c r="K652" s="1346"/>
      <c r="L652" s="1346"/>
      <c r="M652" s="1346"/>
      <c r="N652" s="1346"/>
      <c r="O652" s="1346"/>
      <c r="P652" s="1346"/>
      <c r="Q652" s="1346"/>
      <c r="R652" s="1346"/>
      <c r="T652" s="22"/>
      <c r="U652" t="s">
        <v>85</v>
      </c>
      <c r="Z652" s="1346"/>
      <c r="AA652" s="1346"/>
      <c r="AB652" s="1346"/>
      <c r="AC652" s="1346"/>
      <c r="AD652" s="1346"/>
      <c r="AE652" s="1346"/>
      <c r="AF652" s="1346"/>
      <c r="AG652" s="1346"/>
      <c r="AH652" s="1346"/>
      <c r="AI652" s="1346"/>
      <c r="AJ652" s="1346"/>
      <c r="AK652" s="1346"/>
      <c r="AZ652" s="34"/>
      <c r="BA652" s="34"/>
      <c r="BB652" s="34"/>
      <c r="BC652" s="34"/>
      <c r="BD652" s="34"/>
      <c r="BE652" s="34"/>
      <c r="BF652" s="34"/>
      <c r="BG652" s="34"/>
      <c r="BH652" s="34"/>
      <c r="BI652" s="34"/>
      <c r="BJ652" s="34"/>
      <c r="BK652" s="34"/>
      <c r="BL652" s="34"/>
      <c r="BM652" s="34"/>
      <c r="DX652" s="1486" t="e">
        <f t="shared" si="2"/>
        <v>#VALUE!</v>
      </c>
      <c r="DY652" s="1486"/>
      <c r="DZ652" s="1486"/>
      <c r="EA652" s="1486"/>
      <c r="EB652" s="1486"/>
      <c r="EC652" s="1486" t="e">
        <f t="shared" si="3"/>
        <v>#VALUE!</v>
      </c>
      <c r="ED652" s="1486"/>
      <c r="EE652" s="1486"/>
      <c r="EF652" s="1486"/>
      <c r="EG652" s="1486"/>
      <c r="EH652" s="1486" t="e">
        <f t="shared" si="4"/>
        <v>#VALUE!</v>
      </c>
      <c r="EI652" s="1486"/>
      <c r="EJ652" s="1486"/>
      <c r="EK652" s="1486"/>
      <c r="EL652" s="1486"/>
      <c r="EM652" s="1486" t="e">
        <f t="shared" si="5"/>
        <v>#VALUE!</v>
      </c>
      <c r="EN652" s="1486"/>
      <c r="EO652" s="1486"/>
      <c r="EP652" s="1486"/>
      <c r="EQ652" s="1486"/>
      <c r="ER652" s="1486" t="e">
        <f t="shared" si="6"/>
        <v>#VALUE!</v>
      </c>
      <c r="ES652" s="1486"/>
      <c r="ET652" s="1486"/>
      <c r="EU652" s="1486"/>
      <c r="EV652" s="1486"/>
      <c r="EW652" s="1486" t="e">
        <f t="shared" si="7"/>
        <v>#VALUE!</v>
      </c>
      <c r="EX652" s="1486"/>
      <c r="EY652" s="1486"/>
      <c r="EZ652" s="1486"/>
      <c r="FA652" s="1486"/>
    </row>
    <row r="653" spans="1:157" ht="13" customHeight="1">
      <c r="A653" s="22"/>
      <c r="B653" t="s">
        <v>580</v>
      </c>
      <c r="G653" s="1554" t="s">
        <v>2756</v>
      </c>
      <c r="H653" s="1356"/>
      <c r="I653" s="1356"/>
      <c r="J653" s="1356"/>
      <c r="K653" s="1356"/>
      <c r="L653" s="1356"/>
      <c r="M653" s="1356"/>
      <c r="N653" s="1356"/>
      <c r="O653" s="1356"/>
      <c r="P653" s="1356"/>
      <c r="Q653" s="1356"/>
      <c r="R653" s="1356"/>
      <c r="T653" s="22"/>
      <c r="U653" t="s">
        <v>580</v>
      </c>
      <c r="Z653" s="1356"/>
      <c r="AA653" s="1356"/>
      <c r="AB653" s="1356"/>
      <c r="AC653" s="1356"/>
      <c r="AD653" s="1356"/>
      <c r="AE653" s="1356"/>
      <c r="AF653" s="1356"/>
      <c r="AG653" s="1356"/>
      <c r="AH653" s="1356"/>
      <c r="AI653" s="1356"/>
      <c r="AJ653" s="1356"/>
      <c r="AK653" s="1356"/>
      <c r="AZ653" s="34"/>
      <c r="BA653" s="34"/>
      <c r="BB653" s="34"/>
      <c r="BC653" s="34"/>
      <c r="BD653" s="34"/>
      <c r="BE653" s="34"/>
      <c r="BF653" s="34"/>
      <c r="BG653" s="34"/>
      <c r="BH653" s="34"/>
      <c r="BI653" s="34"/>
      <c r="BJ653" s="34"/>
      <c r="BK653" s="34"/>
      <c r="BL653" s="34"/>
      <c r="BM653" s="34"/>
      <c r="DX653" s="1486" t="e">
        <f t="shared" si="2"/>
        <v>#VALUE!</v>
      </c>
      <c r="DY653" s="1486"/>
      <c r="DZ653" s="1486"/>
      <c r="EA653" s="1486"/>
      <c r="EB653" s="1486"/>
      <c r="EC653" s="1486" t="e">
        <f t="shared" si="3"/>
        <v>#VALUE!</v>
      </c>
      <c r="ED653" s="1486"/>
      <c r="EE653" s="1486"/>
      <c r="EF653" s="1486"/>
      <c r="EG653" s="1486"/>
      <c r="EH653" s="1486" t="e">
        <f t="shared" si="4"/>
        <v>#VALUE!</v>
      </c>
      <c r="EI653" s="1486"/>
      <c r="EJ653" s="1486"/>
      <c r="EK653" s="1486"/>
      <c r="EL653" s="1486"/>
      <c r="EM653" s="1486" t="e">
        <f t="shared" si="5"/>
        <v>#VALUE!</v>
      </c>
      <c r="EN653" s="1486"/>
      <c r="EO653" s="1486"/>
      <c r="EP653" s="1486"/>
      <c r="EQ653" s="1486"/>
      <c r="ER653" s="1486" t="e">
        <f t="shared" si="6"/>
        <v>#VALUE!</v>
      </c>
      <c r="ES653" s="1486"/>
      <c r="ET653" s="1486"/>
      <c r="EU653" s="1486"/>
      <c r="EV653" s="1486"/>
      <c r="EW653" s="1486" t="e">
        <f t="shared" si="7"/>
        <v>#VALUE!</v>
      </c>
      <c r="EX653" s="1486"/>
      <c r="EY653" s="1486"/>
      <c r="EZ653" s="1486"/>
      <c r="FA653" s="1486"/>
    </row>
    <row r="654" spans="1:157" ht="13" customHeight="1">
      <c r="A654" s="22"/>
      <c r="B654" t="s">
        <v>17</v>
      </c>
      <c r="G654" s="1554" t="s">
        <v>2757</v>
      </c>
      <c r="H654" s="1356"/>
      <c r="I654" s="1356"/>
      <c r="J654" s="1356"/>
      <c r="K654" s="1356"/>
      <c r="L654" s="1356"/>
      <c r="M654" s="1356"/>
      <c r="N654" s="1356"/>
      <c r="O654" s="1356"/>
      <c r="P654" s="1356"/>
      <c r="Q654" s="1356"/>
      <c r="R654" s="1356"/>
      <c r="T654" s="22"/>
      <c r="U654" t="s">
        <v>17</v>
      </c>
      <c r="Z654" s="1356"/>
      <c r="AA654" s="1356"/>
      <c r="AB654" s="1356"/>
      <c r="AC654" s="1356"/>
      <c r="AD654" s="1356"/>
      <c r="AE654" s="1356"/>
      <c r="AF654" s="1356"/>
      <c r="AG654" s="1356"/>
      <c r="AH654" s="1356"/>
      <c r="AI654" s="1356"/>
      <c r="AJ654" s="1356"/>
      <c r="AK654" s="1356"/>
      <c r="AZ654" s="34"/>
      <c r="BA654" s="34"/>
      <c r="BB654" s="34"/>
      <c r="BC654" s="34"/>
      <c r="BD654" s="34"/>
      <c r="BE654" s="34"/>
      <c r="BF654" s="34"/>
      <c r="BG654" s="34"/>
      <c r="BH654" s="34"/>
      <c r="BI654" s="34"/>
      <c r="BJ654" s="34"/>
      <c r="BK654" s="34"/>
      <c r="BL654" s="34"/>
      <c r="BM654" s="34"/>
      <c r="DX654" s="1486" t="e">
        <f t="shared" si="2"/>
        <v>#VALUE!</v>
      </c>
      <c r="DY654" s="1486"/>
      <c r="DZ654" s="1486"/>
      <c r="EA654" s="1486"/>
      <c r="EB654" s="1486"/>
      <c r="EC654" s="1486" t="e">
        <f t="shared" si="3"/>
        <v>#VALUE!</v>
      </c>
      <c r="ED654" s="1486"/>
      <c r="EE654" s="1486"/>
      <c r="EF654" s="1486"/>
      <c r="EG654" s="1486"/>
      <c r="EH654" s="1486" t="e">
        <f t="shared" si="4"/>
        <v>#VALUE!</v>
      </c>
      <c r="EI654" s="1486"/>
      <c r="EJ654" s="1486"/>
      <c r="EK654" s="1486"/>
      <c r="EL654" s="1486"/>
      <c r="EM654" s="1486" t="e">
        <f t="shared" si="5"/>
        <v>#VALUE!</v>
      </c>
      <c r="EN654" s="1486"/>
      <c r="EO654" s="1486"/>
      <c r="EP654" s="1486"/>
      <c r="EQ654" s="1486"/>
      <c r="ER654" s="1486" t="e">
        <f t="shared" si="6"/>
        <v>#VALUE!</v>
      </c>
      <c r="ES654" s="1486"/>
      <c r="ET654" s="1486"/>
      <c r="EU654" s="1486"/>
      <c r="EV654" s="1486"/>
      <c r="EW654" s="1486" t="e">
        <f t="shared" si="7"/>
        <v>#VALUE!</v>
      </c>
      <c r="EX654" s="1486"/>
      <c r="EY654" s="1486"/>
      <c r="EZ654" s="1486"/>
      <c r="FA654" s="1486"/>
    </row>
    <row r="655" spans="1:157" ht="13" customHeight="1">
      <c r="A655" s="22"/>
      <c r="B655" t="s">
        <v>316</v>
      </c>
      <c r="G655" s="1343" t="s">
        <v>2754</v>
      </c>
      <c r="H655" s="1344"/>
      <c r="I655" s="1344"/>
      <c r="J655" s="1344"/>
      <c r="K655" s="1344"/>
      <c r="L655" s="1344"/>
      <c r="O655" s="33" t="s">
        <v>206</v>
      </c>
      <c r="P655" s="1484"/>
      <c r="Q655" s="1484"/>
      <c r="R655" s="1484"/>
      <c r="T655" s="22"/>
      <c r="U655" t="s">
        <v>316</v>
      </c>
      <c r="Z655" s="1344"/>
      <c r="AA655" s="1344"/>
      <c r="AB655" s="1344"/>
      <c r="AC655" s="1344"/>
      <c r="AD655" s="1344"/>
      <c r="AE655" s="1344"/>
      <c r="AH655" s="33" t="s">
        <v>206</v>
      </c>
      <c r="AI655" s="1484"/>
      <c r="AJ655" s="1484"/>
      <c r="AK655" s="1484"/>
      <c r="AZ655" s="34"/>
      <c r="BA655" s="34"/>
      <c r="BB655" s="34"/>
      <c r="BC655" s="34"/>
      <c r="BD655" s="34"/>
      <c r="BE655" s="34"/>
      <c r="BF655" s="34"/>
      <c r="BG655" s="34"/>
      <c r="BH655" s="34"/>
      <c r="BI655" s="34"/>
      <c r="BJ655" s="34"/>
      <c r="BK655" s="34"/>
      <c r="BL655" s="34"/>
      <c r="BM655" s="34"/>
      <c r="DX655" s="1486" t="e">
        <f t="shared" si="2"/>
        <v>#VALUE!</v>
      </c>
      <c r="DY655" s="1486"/>
      <c r="DZ655" s="1486"/>
      <c r="EA655" s="1486"/>
      <c r="EB655" s="1486"/>
      <c r="EC655" s="1486" t="e">
        <f t="shared" si="3"/>
        <v>#VALUE!</v>
      </c>
      <c r="ED655" s="1486"/>
      <c r="EE655" s="1486"/>
      <c r="EF655" s="1486"/>
      <c r="EG655" s="1486"/>
      <c r="EH655" s="1486" t="e">
        <f t="shared" si="4"/>
        <v>#VALUE!</v>
      </c>
      <c r="EI655" s="1486"/>
      <c r="EJ655" s="1486"/>
      <c r="EK655" s="1486"/>
      <c r="EL655" s="1486"/>
      <c r="EM655" s="1486" t="e">
        <f t="shared" si="5"/>
        <v>#VALUE!</v>
      </c>
      <c r="EN655" s="1486"/>
      <c r="EO655" s="1486"/>
      <c r="EP655" s="1486"/>
      <c r="EQ655" s="1486"/>
      <c r="ER655" s="1486" t="e">
        <f t="shared" si="6"/>
        <v>#VALUE!</v>
      </c>
      <c r="ES655" s="1486"/>
      <c r="ET655" s="1486"/>
      <c r="EU655" s="1486"/>
      <c r="EV655" s="1486"/>
      <c r="EW655" s="1486" t="e">
        <f t="shared" si="7"/>
        <v>#VALUE!</v>
      </c>
      <c r="EX655" s="1486"/>
      <c r="EY655" s="1486"/>
      <c r="EZ655" s="1486"/>
      <c r="FA655" s="1486"/>
    </row>
    <row r="656" spans="1:157" ht="13" customHeight="1">
      <c r="A656" s="22"/>
      <c r="B656" t="s">
        <v>18</v>
      </c>
      <c r="H656" s="1345" t="s">
        <v>2758</v>
      </c>
      <c r="I656" s="1346"/>
      <c r="J656" s="1346"/>
      <c r="K656" s="1346"/>
      <c r="L656" s="1346"/>
      <c r="M656" s="1346"/>
      <c r="N656" s="1346"/>
      <c r="O656" s="1346"/>
      <c r="P656" s="1346"/>
      <c r="Q656" s="1346"/>
      <c r="R656" s="1346"/>
      <c r="T656" s="22"/>
      <c r="U656" t="s">
        <v>18</v>
      </c>
      <c r="AA656" s="1346"/>
      <c r="AB656" s="1346"/>
      <c r="AC656" s="1346"/>
      <c r="AD656" s="1346"/>
      <c r="AE656" s="1346"/>
      <c r="AF656" s="1346"/>
      <c r="AG656" s="1346"/>
      <c r="AH656" s="1346"/>
      <c r="AI656" s="1346"/>
      <c r="AJ656" s="1346"/>
      <c r="AK656" s="1346"/>
      <c r="AZ656" s="34"/>
      <c r="BA656" s="34"/>
      <c r="BB656" s="34"/>
      <c r="BC656" s="34"/>
      <c r="BD656" s="34"/>
      <c r="BE656" s="34"/>
      <c r="BF656" s="34"/>
      <c r="BG656" s="34"/>
      <c r="BH656" s="34"/>
      <c r="BI656" s="34"/>
      <c r="BJ656" s="34"/>
      <c r="BK656" s="34"/>
      <c r="BL656" s="34"/>
      <c r="BM656" s="34"/>
      <c r="DX656" s="1486" t="e">
        <f t="shared" si="2"/>
        <v>#VALUE!</v>
      </c>
      <c r="DY656" s="1486"/>
      <c r="DZ656" s="1486"/>
      <c r="EA656" s="1486"/>
      <c r="EB656" s="1486"/>
      <c r="EC656" s="1486" t="e">
        <f t="shared" si="3"/>
        <v>#VALUE!</v>
      </c>
      <c r="ED656" s="1486"/>
      <c r="EE656" s="1486"/>
      <c r="EF656" s="1486"/>
      <c r="EG656" s="1486"/>
      <c r="EH656" s="1486" t="e">
        <f t="shared" si="4"/>
        <v>#VALUE!</v>
      </c>
      <c r="EI656" s="1486"/>
      <c r="EJ656" s="1486"/>
      <c r="EK656" s="1486"/>
      <c r="EL656" s="1486"/>
      <c r="EM656" s="1486" t="e">
        <f t="shared" si="5"/>
        <v>#VALUE!</v>
      </c>
      <c r="EN656" s="1486"/>
      <c r="EO656" s="1486"/>
      <c r="EP656" s="1486"/>
      <c r="EQ656" s="1486"/>
      <c r="ER656" s="1486" t="e">
        <f t="shared" si="6"/>
        <v>#VALUE!</v>
      </c>
      <c r="ES656" s="1486"/>
      <c r="ET656" s="1486"/>
      <c r="EU656" s="1486"/>
      <c r="EV656" s="1486"/>
      <c r="EW656" s="1486" t="e">
        <f t="shared" si="7"/>
        <v>#VALUE!</v>
      </c>
      <c r="EX656" s="1486"/>
      <c r="EY656" s="1486"/>
      <c r="EZ656" s="1486"/>
      <c r="FA656" s="1486"/>
    </row>
    <row r="657" spans="1:157" ht="13" customHeight="1">
      <c r="A657" s="22"/>
      <c r="B657" t="s">
        <v>20</v>
      </c>
      <c r="N657" s="1339" t="s">
        <v>669</v>
      </c>
      <c r="O657" s="1339"/>
      <c r="T657" s="22"/>
      <c r="U657" t="s">
        <v>20</v>
      </c>
      <c r="AG657" s="1339" t="s">
        <v>669</v>
      </c>
      <c r="AH657" s="1339"/>
      <c r="AZ657" s="34"/>
      <c r="BA657" s="34"/>
      <c r="BB657" s="34"/>
      <c r="BC657" s="34"/>
      <c r="BD657" s="34"/>
      <c r="BE657" s="34"/>
      <c r="BF657" s="34"/>
      <c r="BG657" s="34"/>
      <c r="BH657" s="34"/>
      <c r="BI657" s="34"/>
      <c r="BJ657" s="34"/>
      <c r="BK657" s="34"/>
      <c r="BL657" s="34"/>
      <c r="BM657" s="34"/>
      <c r="DX657" s="1486" t="e">
        <f t="shared" si="2"/>
        <v>#VALUE!</v>
      </c>
      <c r="DY657" s="1486"/>
      <c r="DZ657" s="1486"/>
      <c r="EA657" s="1486"/>
      <c r="EB657" s="1486"/>
      <c r="EC657" s="1486" t="e">
        <f t="shared" si="3"/>
        <v>#VALUE!</v>
      </c>
      <c r="ED657" s="1486"/>
      <c r="EE657" s="1486"/>
      <c r="EF657" s="1486"/>
      <c r="EG657" s="1486"/>
      <c r="EH657" s="1486" t="e">
        <f t="shared" si="4"/>
        <v>#VALUE!</v>
      </c>
      <c r="EI657" s="1486"/>
      <c r="EJ657" s="1486"/>
      <c r="EK657" s="1486"/>
      <c r="EL657" s="1486"/>
      <c r="EM657" s="1486" t="e">
        <f t="shared" si="5"/>
        <v>#VALUE!</v>
      </c>
      <c r="EN657" s="1486"/>
      <c r="EO657" s="1486"/>
      <c r="EP657" s="1486"/>
      <c r="EQ657" s="1486"/>
      <c r="ER657" s="1486" t="e">
        <f t="shared" si="6"/>
        <v>#VALUE!</v>
      </c>
      <c r="ES657" s="1486"/>
      <c r="ET657" s="1486"/>
      <c r="EU657" s="1486"/>
      <c r="EV657" s="1486"/>
      <c r="EW657" s="1486" t="e">
        <f t="shared" si="7"/>
        <v>#VALUE!</v>
      </c>
      <c r="EX657" s="1486"/>
      <c r="EY657" s="1486"/>
      <c r="EZ657" s="1486"/>
      <c r="FA657" s="1486"/>
    </row>
    <row r="658" spans="1:157" ht="13" customHeight="1">
      <c r="A658" s="22"/>
      <c r="T658" s="22"/>
      <c r="AZ658" s="34"/>
      <c r="BA658" s="34"/>
      <c r="BB658" s="34"/>
      <c r="BC658" s="34"/>
      <c r="BD658" s="34"/>
      <c r="BE658" s="34"/>
      <c r="BF658" s="34"/>
      <c r="BG658" s="34"/>
      <c r="BH658" s="34"/>
      <c r="BI658" s="34"/>
      <c r="BJ658" s="34"/>
      <c r="BK658" s="34"/>
      <c r="BL658" s="34"/>
      <c r="BM658" s="34"/>
      <c r="DX658" s="1486" t="e">
        <f t="shared" si="2"/>
        <v>#VALUE!</v>
      </c>
      <c r="DY658" s="1486"/>
      <c r="DZ658" s="1486"/>
      <c r="EA658" s="1486"/>
      <c r="EB658" s="1486"/>
      <c r="EC658" s="1486" t="e">
        <f t="shared" si="3"/>
        <v>#VALUE!</v>
      </c>
      <c r="ED658" s="1486"/>
      <c r="EE658" s="1486"/>
      <c r="EF658" s="1486"/>
      <c r="EG658" s="1486"/>
      <c r="EH658" s="1486" t="e">
        <f t="shared" si="4"/>
        <v>#VALUE!</v>
      </c>
      <c r="EI658" s="1486"/>
      <c r="EJ658" s="1486"/>
      <c r="EK658" s="1486"/>
      <c r="EL658" s="1486"/>
      <c r="EM658" s="1486" t="e">
        <f t="shared" si="5"/>
        <v>#VALUE!</v>
      </c>
      <c r="EN658" s="1486"/>
      <c r="EO658" s="1486"/>
      <c r="EP658" s="1486"/>
      <c r="EQ658" s="1486"/>
      <c r="ER658" s="1486" t="e">
        <f t="shared" si="6"/>
        <v>#VALUE!</v>
      </c>
      <c r="ES658" s="1486"/>
      <c r="ET658" s="1486"/>
      <c r="EU658" s="1486"/>
      <c r="EV658" s="1486"/>
      <c r="EW658" s="1486" t="e">
        <f t="shared" si="7"/>
        <v>#VALUE!</v>
      </c>
      <c r="EX658" s="1486"/>
      <c r="EY658" s="1486"/>
      <c r="EZ658" s="1486"/>
      <c r="FA658" s="1486"/>
    </row>
    <row r="659" spans="1:157" ht="13" customHeight="1">
      <c r="A659" s="55" t="s">
        <v>763</v>
      </c>
      <c r="B659" t="s">
        <v>463</v>
      </c>
      <c r="G659" s="1366">
        <f>C631</f>
        <v>0</v>
      </c>
      <c r="H659" s="1366"/>
      <c r="I659" s="1366"/>
      <c r="J659" s="1366"/>
      <c r="K659" s="1366"/>
      <c r="L659" s="1366"/>
      <c r="M659" s="1366"/>
      <c r="N659" s="1366"/>
      <c r="O659" s="1366"/>
      <c r="P659" s="1366"/>
      <c r="Q659" s="1366"/>
      <c r="R659" s="1366"/>
      <c r="T659" s="55" t="s">
        <v>584</v>
      </c>
      <c r="U659" t="s">
        <v>463</v>
      </c>
      <c r="Z659" s="1366">
        <f>C632</f>
        <v>0</v>
      </c>
      <c r="AA659" s="1366"/>
      <c r="AB659" s="1366"/>
      <c r="AC659" s="1366"/>
      <c r="AD659" s="1366"/>
      <c r="AE659" s="1366"/>
      <c r="AF659" s="1366"/>
      <c r="AG659" s="1366"/>
      <c r="AH659" s="1366"/>
      <c r="AI659" s="1366"/>
      <c r="AJ659" s="1366"/>
      <c r="AK659" s="1366"/>
      <c r="AZ659" s="34"/>
      <c r="BA659" s="34"/>
      <c r="BB659" s="34"/>
      <c r="BC659" s="34"/>
      <c r="BD659" s="34"/>
      <c r="BE659" s="34"/>
      <c r="BF659" s="34"/>
      <c r="BG659" s="34"/>
      <c r="BH659" s="34"/>
      <c r="BI659" s="34"/>
      <c r="BJ659" s="34"/>
      <c r="BK659" s="34"/>
      <c r="BL659" s="34"/>
      <c r="BM659" s="34"/>
      <c r="DX659" s="1486" t="e">
        <f t="shared" si="2"/>
        <v>#VALUE!</v>
      </c>
      <c r="DY659" s="1486"/>
      <c r="DZ659" s="1486"/>
      <c r="EA659" s="1486"/>
      <c r="EB659" s="1486"/>
      <c r="EC659" s="1486" t="e">
        <f t="shared" si="3"/>
        <v>#VALUE!</v>
      </c>
      <c r="ED659" s="1486"/>
      <c r="EE659" s="1486"/>
      <c r="EF659" s="1486"/>
      <c r="EG659" s="1486"/>
      <c r="EH659" s="1486" t="e">
        <f t="shared" si="4"/>
        <v>#VALUE!</v>
      </c>
      <c r="EI659" s="1486"/>
      <c r="EJ659" s="1486"/>
      <c r="EK659" s="1486"/>
      <c r="EL659" s="1486"/>
      <c r="EM659" s="1486" t="e">
        <f t="shared" si="5"/>
        <v>#VALUE!</v>
      </c>
      <c r="EN659" s="1486"/>
      <c r="EO659" s="1486"/>
      <c r="EP659" s="1486"/>
      <c r="EQ659" s="1486"/>
      <c r="ER659" s="1486" t="e">
        <f t="shared" si="6"/>
        <v>#VALUE!</v>
      </c>
      <c r="ES659" s="1486"/>
      <c r="ET659" s="1486"/>
      <c r="EU659" s="1486"/>
      <c r="EV659" s="1486"/>
      <c r="EW659" s="1486" t="e">
        <f t="shared" si="7"/>
        <v>#VALUE!</v>
      </c>
      <c r="EX659" s="1486"/>
      <c r="EY659" s="1486"/>
      <c r="EZ659" s="1486"/>
      <c r="FA659" s="1486"/>
    </row>
    <row r="660" spans="1:157" ht="13" customHeight="1">
      <c r="A660" s="22"/>
      <c r="B660" t="s">
        <v>85</v>
      </c>
      <c r="G660" s="1346"/>
      <c r="H660" s="1346"/>
      <c r="I660" s="1346"/>
      <c r="J660" s="1346"/>
      <c r="K660" s="1346"/>
      <c r="L660" s="1346"/>
      <c r="M660" s="1346"/>
      <c r="N660" s="1346"/>
      <c r="O660" s="1346"/>
      <c r="P660" s="1346"/>
      <c r="Q660" s="1346"/>
      <c r="R660" s="1346"/>
      <c r="T660" s="22"/>
      <c r="U660" t="s">
        <v>85</v>
      </c>
      <c r="Z660" s="1346"/>
      <c r="AA660" s="1346"/>
      <c r="AB660" s="1346"/>
      <c r="AC660" s="1346"/>
      <c r="AD660" s="1346"/>
      <c r="AE660" s="1346"/>
      <c r="AF660" s="1346"/>
      <c r="AG660" s="1346"/>
      <c r="AH660" s="1346"/>
      <c r="AI660" s="1346"/>
      <c r="AJ660" s="1346"/>
      <c r="AK660" s="1346"/>
      <c r="AZ660" s="34"/>
      <c r="BA660" s="34"/>
      <c r="BB660" s="34"/>
      <c r="BC660" s="34"/>
      <c r="BD660" s="34"/>
      <c r="BE660" s="34"/>
      <c r="BF660" s="34"/>
      <c r="BG660" s="34"/>
      <c r="BH660" s="34"/>
      <c r="BI660" s="34"/>
      <c r="BJ660" s="34"/>
      <c r="BK660" s="34"/>
      <c r="BL660" s="34"/>
      <c r="BM660" s="34"/>
      <c r="DX660" s="1486" t="e">
        <f t="shared" si="2"/>
        <v>#VALUE!</v>
      </c>
      <c r="DY660" s="1486"/>
      <c r="DZ660" s="1486"/>
      <c r="EA660" s="1486"/>
      <c r="EB660" s="1486"/>
      <c r="EC660" s="1486" t="e">
        <f t="shared" si="3"/>
        <v>#VALUE!</v>
      </c>
      <c r="ED660" s="1486"/>
      <c r="EE660" s="1486"/>
      <c r="EF660" s="1486"/>
      <c r="EG660" s="1486"/>
      <c r="EH660" s="1486" t="e">
        <f t="shared" si="4"/>
        <v>#VALUE!</v>
      </c>
      <c r="EI660" s="1486"/>
      <c r="EJ660" s="1486"/>
      <c r="EK660" s="1486"/>
      <c r="EL660" s="1486"/>
      <c r="EM660" s="1486" t="e">
        <f t="shared" si="5"/>
        <v>#VALUE!</v>
      </c>
      <c r="EN660" s="1486"/>
      <c r="EO660" s="1486"/>
      <c r="EP660" s="1486"/>
      <c r="EQ660" s="1486"/>
      <c r="ER660" s="1486" t="e">
        <f t="shared" si="6"/>
        <v>#VALUE!</v>
      </c>
      <c r="ES660" s="1486"/>
      <c r="ET660" s="1486"/>
      <c r="EU660" s="1486"/>
      <c r="EV660" s="1486"/>
      <c r="EW660" s="1486" t="e">
        <f t="shared" si="7"/>
        <v>#VALUE!</v>
      </c>
      <c r="EX660" s="1486"/>
      <c r="EY660" s="1486"/>
      <c r="EZ660" s="1486"/>
      <c r="FA660" s="1486"/>
    </row>
    <row r="661" spans="1:157" ht="13" customHeight="1">
      <c r="A661" s="22"/>
      <c r="B661" t="s">
        <v>580</v>
      </c>
      <c r="G661" s="1346"/>
      <c r="H661" s="1346"/>
      <c r="I661" s="1346"/>
      <c r="J661" s="1346"/>
      <c r="K661" s="1346"/>
      <c r="L661" s="1346"/>
      <c r="M661" s="1346"/>
      <c r="N661" s="1346"/>
      <c r="O661" s="1346"/>
      <c r="P661" s="1346"/>
      <c r="Q661" s="1346"/>
      <c r="R661" s="1346"/>
      <c r="T661" s="22"/>
      <c r="U661" t="s">
        <v>580</v>
      </c>
      <c r="Z661" s="1356"/>
      <c r="AA661" s="1356"/>
      <c r="AB661" s="1356"/>
      <c r="AC661" s="1356"/>
      <c r="AD661" s="1356"/>
      <c r="AE661" s="1356"/>
      <c r="AF661" s="1356"/>
      <c r="AG661" s="1356"/>
      <c r="AH661" s="1356"/>
      <c r="AI661" s="1356"/>
      <c r="AJ661" s="1356"/>
      <c r="AK661" s="1356"/>
      <c r="AZ661" s="34"/>
      <c r="BA661" s="34"/>
      <c r="BB661" s="34"/>
      <c r="BC661" s="34"/>
      <c r="BD661" s="34"/>
      <c r="BE661" s="34"/>
      <c r="BF661" s="34"/>
      <c r="BG661" s="34"/>
      <c r="BH661" s="34"/>
      <c r="BI661" s="34"/>
      <c r="BJ661" s="34"/>
      <c r="BK661" s="34"/>
      <c r="BL661" s="34"/>
      <c r="BM661" s="34"/>
      <c r="DX661" s="1486" t="e">
        <f t="shared" si="2"/>
        <v>#VALUE!</v>
      </c>
      <c r="DY661" s="1486"/>
      <c r="DZ661" s="1486"/>
      <c r="EA661" s="1486"/>
      <c r="EB661" s="1486"/>
      <c r="EC661" s="1486" t="e">
        <f t="shared" si="3"/>
        <v>#VALUE!</v>
      </c>
      <c r="ED661" s="1486"/>
      <c r="EE661" s="1486"/>
      <c r="EF661" s="1486"/>
      <c r="EG661" s="1486"/>
      <c r="EH661" s="1486" t="e">
        <f t="shared" si="4"/>
        <v>#VALUE!</v>
      </c>
      <c r="EI661" s="1486"/>
      <c r="EJ661" s="1486"/>
      <c r="EK661" s="1486"/>
      <c r="EL661" s="1486"/>
      <c r="EM661" s="1486" t="e">
        <f t="shared" si="5"/>
        <v>#VALUE!</v>
      </c>
      <c r="EN661" s="1486"/>
      <c r="EO661" s="1486"/>
      <c r="EP661" s="1486"/>
      <c r="EQ661" s="1486"/>
      <c r="ER661" s="1486" t="e">
        <f t="shared" si="6"/>
        <v>#VALUE!</v>
      </c>
      <c r="ES661" s="1486"/>
      <c r="ET661" s="1486"/>
      <c r="EU661" s="1486"/>
      <c r="EV661" s="1486"/>
      <c r="EW661" s="1486" t="e">
        <f t="shared" si="7"/>
        <v>#VALUE!</v>
      </c>
      <c r="EX661" s="1486"/>
      <c r="EY661" s="1486"/>
      <c r="EZ661" s="1486"/>
      <c r="FA661" s="1486"/>
    </row>
    <row r="662" spans="1:157" ht="13" customHeight="1">
      <c r="A662" s="22"/>
      <c r="B662" t="s">
        <v>17</v>
      </c>
      <c r="G662" s="1346"/>
      <c r="H662" s="1346"/>
      <c r="I662" s="1346"/>
      <c r="J662" s="1346"/>
      <c r="K662" s="1346"/>
      <c r="L662" s="1346"/>
      <c r="M662" s="1346"/>
      <c r="N662" s="1346"/>
      <c r="O662" s="1346"/>
      <c r="P662" s="1346"/>
      <c r="Q662" s="1346"/>
      <c r="R662" s="1346"/>
      <c r="T662" s="22"/>
      <c r="U662" t="s">
        <v>17</v>
      </c>
      <c r="Z662" s="1356"/>
      <c r="AA662" s="1356"/>
      <c r="AB662" s="1356"/>
      <c r="AC662" s="1356"/>
      <c r="AD662" s="1356"/>
      <c r="AE662" s="1356"/>
      <c r="AF662" s="1356"/>
      <c r="AG662" s="1356"/>
      <c r="AH662" s="1356"/>
      <c r="AI662" s="1356"/>
      <c r="AJ662" s="1356"/>
      <c r="AK662" s="13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6" t="e">
        <f t="shared" si="2"/>
        <v>#VALUE!</v>
      </c>
      <c r="DY662" s="1486"/>
      <c r="DZ662" s="1486"/>
      <c r="EA662" s="1486"/>
      <c r="EB662" s="1486"/>
      <c r="EC662" s="1486" t="e">
        <f t="shared" si="3"/>
        <v>#VALUE!</v>
      </c>
      <c r="ED662" s="1486"/>
      <c r="EE662" s="1486"/>
      <c r="EF662" s="1486"/>
      <c r="EG662" s="1486"/>
      <c r="EH662" s="1486" t="e">
        <f t="shared" si="4"/>
        <v>#VALUE!</v>
      </c>
      <c r="EI662" s="1486"/>
      <c r="EJ662" s="1486"/>
      <c r="EK662" s="1486"/>
      <c r="EL662" s="1486"/>
      <c r="EM662" s="1486" t="e">
        <f t="shared" si="5"/>
        <v>#VALUE!</v>
      </c>
      <c r="EN662" s="1486"/>
      <c r="EO662" s="1486"/>
      <c r="EP662" s="1486"/>
      <c r="EQ662" s="1486"/>
      <c r="ER662" s="1486" t="e">
        <f t="shared" si="6"/>
        <v>#VALUE!</v>
      </c>
      <c r="ES662" s="1486"/>
      <c r="ET662" s="1486"/>
      <c r="EU662" s="1486"/>
      <c r="EV662" s="1486"/>
      <c r="EW662" s="1486" t="e">
        <f t="shared" si="7"/>
        <v>#VALUE!</v>
      </c>
      <c r="EX662" s="1486"/>
      <c r="EY662" s="1486"/>
      <c r="EZ662" s="1486"/>
      <c r="FA662" s="1486"/>
    </row>
    <row r="663" spans="1:157" ht="13" customHeight="1">
      <c r="A663" s="22"/>
      <c r="B663" t="s">
        <v>316</v>
      </c>
      <c r="G663" s="1344"/>
      <c r="H663" s="1344"/>
      <c r="I663" s="1344"/>
      <c r="J663" s="1344"/>
      <c r="K663" s="1344"/>
      <c r="L663" s="1344"/>
      <c r="O663" s="33" t="s">
        <v>206</v>
      </c>
      <c r="P663" s="1484"/>
      <c r="Q663" s="1484"/>
      <c r="R663" s="1484"/>
      <c r="T663" s="22"/>
      <c r="U663" t="s">
        <v>316</v>
      </c>
      <c r="Z663" s="1344"/>
      <c r="AA663" s="1344"/>
      <c r="AB663" s="1344"/>
      <c r="AC663" s="1344"/>
      <c r="AD663" s="1344"/>
      <c r="AE663" s="1344"/>
      <c r="AH663" s="33" t="s">
        <v>206</v>
      </c>
      <c r="AI663" s="1484"/>
      <c r="AJ663" s="1484"/>
      <c r="AK663" s="14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6" t="e">
        <f t="shared" si="2"/>
        <v>#VALUE!</v>
      </c>
      <c r="DY663" s="1486"/>
      <c r="DZ663" s="1486"/>
      <c r="EA663" s="1486"/>
      <c r="EB663" s="1486"/>
      <c r="EC663" s="1486" t="e">
        <f t="shared" si="3"/>
        <v>#VALUE!</v>
      </c>
      <c r="ED663" s="1486"/>
      <c r="EE663" s="1486"/>
      <c r="EF663" s="1486"/>
      <c r="EG663" s="1486"/>
      <c r="EH663" s="1486" t="e">
        <f t="shared" si="4"/>
        <v>#VALUE!</v>
      </c>
      <c r="EI663" s="1486"/>
      <c r="EJ663" s="1486"/>
      <c r="EK663" s="1486"/>
      <c r="EL663" s="1486"/>
      <c r="EM663" s="1486" t="e">
        <f t="shared" si="5"/>
        <v>#VALUE!</v>
      </c>
      <c r="EN663" s="1486"/>
      <c r="EO663" s="1486"/>
      <c r="EP663" s="1486"/>
      <c r="EQ663" s="1486"/>
      <c r="ER663" s="1486" t="e">
        <f t="shared" si="6"/>
        <v>#VALUE!</v>
      </c>
      <c r="ES663" s="1486"/>
      <c r="ET663" s="1486"/>
      <c r="EU663" s="1486"/>
      <c r="EV663" s="1486"/>
      <c r="EW663" s="1486" t="e">
        <f t="shared" si="7"/>
        <v>#VALUE!</v>
      </c>
      <c r="EX663" s="1486"/>
      <c r="EY663" s="1486"/>
      <c r="EZ663" s="1486"/>
      <c r="FA663" s="1486"/>
    </row>
    <row r="664" spans="1:157" ht="13" customHeight="1">
      <c r="A664" s="22"/>
      <c r="B664" t="s">
        <v>18</v>
      </c>
      <c r="H664" s="1346"/>
      <c r="I664" s="1346"/>
      <c r="J664" s="1346"/>
      <c r="K664" s="1346"/>
      <c r="L664" s="1346"/>
      <c r="M664" s="1346"/>
      <c r="N664" s="1346"/>
      <c r="O664" s="1346"/>
      <c r="P664" s="1346"/>
      <c r="Q664" s="1346"/>
      <c r="R664" s="1346"/>
      <c r="T664" s="22"/>
      <c r="U664" t="s">
        <v>18</v>
      </c>
      <c r="AA664" s="1346"/>
      <c r="AB664" s="1346"/>
      <c r="AC664" s="1346"/>
      <c r="AD664" s="1346"/>
      <c r="AE664" s="1346"/>
      <c r="AF664" s="1346"/>
      <c r="AG664" s="1346"/>
      <c r="AH664" s="1346"/>
      <c r="AI664" s="1346"/>
      <c r="AJ664" s="1346"/>
      <c r="AK664" s="134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6" t="e">
        <f t="shared" si="2"/>
        <v>#VALUE!</v>
      </c>
      <c r="DY664" s="1486"/>
      <c r="DZ664" s="1486"/>
      <c r="EA664" s="1486"/>
      <c r="EB664" s="1486"/>
      <c r="EC664" s="1486" t="e">
        <f t="shared" si="3"/>
        <v>#VALUE!</v>
      </c>
      <c r="ED664" s="1486"/>
      <c r="EE664" s="1486"/>
      <c r="EF664" s="1486"/>
      <c r="EG664" s="1486"/>
      <c r="EH664" s="1486" t="e">
        <f t="shared" si="4"/>
        <v>#VALUE!</v>
      </c>
      <c r="EI664" s="1486"/>
      <c r="EJ664" s="1486"/>
      <c r="EK664" s="1486"/>
      <c r="EL664" s="1486"/>
      <c r="EM664" s="1486" t="e">
        <f t="shared" si="5"/>
        <v>#VALUE!</v>
      </c>
      <c r="EN664" s="1486"/>
      <c r="EO664" s="1486"/>
      <c r="EP664" s="1486"/>
      <c r="EQ664" s="1486"/>
      <c r="ER664" s="1486" t="e">
        <f t="shared" si="6"/>
        <v>#VALUE!</v>
      </c>
      <c r="ES664" s="1486"/>
      <c r="ET664" s="1486"/>
      <c r="EU664" s="1486"/>
      <c r="EV664" s="1486"/>
      <c r="EW664" s="1486" t="e">
        <f t="shared" si="7"/>
        <v>#VALUE!</v>
      </c>
      <c r="EX664" s="1486"/>
      <c r="EY664" s="1486"/>
      <c r="EZ664" s="1486"/>
      <c r="FA664" s="1486"/>
    </row>
    <row r="665" spans="1:157" ht="13" customHeight="1">
      <c r="A665" s="22"/>
      <c r="B665" t="s">
        <v>20</v>
      </c>
      <c r="N665" s="1339" t="s">
        <v>669</v>
      </c>
      <c r="O665" s="1339"/>
      <c r="T665" s="22"/>
      <c r="U665" t="s">
        <v>20</v>
      </c>
      <c r="AG665" s="1339" t="s">
        <v>669</v>
      </c>
      <c r="AH665" s="13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6" t="e">
        <f t="shared" si="2"/>
        <v>#VALUE!</v>
      </c>
      <c r="DY665" s="1486"/>
      <c r="DZ665" s="1486"/>
      <c r="EA665" s="1486"/>
      <c r="EB665" s="1486"/>
      <c r="EC665" s="1486" t="e">
        <f t="shared" si="3"/>
        <v>#VALUE!</v>
      </c>
      <c r="ED665" s="1486"/>
      <c r="EE665" s="1486"/>
      <c r="EF665" s="1486"/>
      <c r="EG665" s="1486"/>
      <c r="EH665" s="1486" t="e">
        <f t="shared" si="4"/>
        <v>#VALUE!</v>
      </c>
      <c r="EI665" s="1486"/>
      <c r="EJ665" s="1486"/>
      <c r="EK665" s="1486"/>
      <c r="EL665" s="1486"/>
      <c r="EM665" s="1486" t="e">
        <f t="shared" si="5"/>
        <v>#VALUE!</v>
      </c>
      <c r="EN665" s="1486"/>
      <c r="EO665" s="1486"/>
      <c r="EP665" s="1486"/>
      <c r="EQ665" s="1486"/>
      <c r="ER665" s="1486" t="e">
        <f t="shared" si="6"/>
        <v>#VALUE!</v>
      </c>
      <c r="ES665" s="1486"/>
      <c r="ET665" s="1486"/>
      <c r="EU665" s="1486"/>
      <c r="EV665" s="1486"/>
      <c r="EW665" s="1486" t="e">
        <f t="shared" si="7"/>
        <v>#VALUE!</v>
      </c>
      <c r="EX665" s="1486"/>
      <c r="EY665" s="1486"/>
      <c r="EZ665" s="1486"/>
      <c r="FA665" s="148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6" t="e">
        <f t="shared" si="2"/>
        <v>#VALUE!</v>
      </c>
      <c r="DY666" s="1486"/>
      <c r="DZ666" s="1486"/>
      <c r="EA666" s="1486"/>
      <c r="EB666" s="1486"/>
      <c r="EC666" s="1486" t="e">
        <f t="shared" si="3"/>
        <v>#VALUE!</v>
      </c>
      <c r="ED666" s="1486"/>
      <c r="EE666" s="1486"/>
      <c r="EF666" s="1486"/>
      <c r="EG666" s="1486"/>
      <c r="EH666" s="1486" t="e">
        <f t="shared" si="4"/>
        <v>#VALUE!</v>
      </c>
      <c r="EI666" s="1486"/>
      <c r="EJ666" s="1486"/>
      <c r="EK666" s="1486"/>
      <c r="EL666" s="1486"/>
      <c r="EM666" s="1486" t="e">
        <f t="shared" si="5"/>
        <v>#VALUE!</v>
      </c>
      <c r="EN666" s="1486"/>
      <c r="EO666" s="1486"/>
      <c r="EP666" s="1486"/>
      <c r="EQ666" s="1486"/>
      <c r="ER666" s="1486" t="e">
        <f t="shared" si="6"/>
        <v>#VALUE!</v>
      </c>
      <c r="ES666" s="1486"/>
      <c r="ET666" s="1486"/>
      <c r="EU666" s="1486"/>
      <c r="EV666" s="1486"/>
      <c r="EW666" s="1486" t="e">
        <f t="shared" si="7"/>
        <v>#VALUE!</v>
      </c>
      <c r="EX666" s="1486"/>
      <c r="EY666" s="1486"/>
      <c r="EZ666" s="1486"/>
      <c r="FA666" s="1486"/>
    </row>
    <row r="667" spans="1:157" ht="13" customHeight="1">
      <c r="A667" s="55" t="s">
        <v>455</v>
      </c>
      <c r="B667" t="s">
        <v>463</v>
      </c>
      <c r="G667" s="1366">
        <f>C633</f>
        <v>0</v>
      </c>
      <c r="H667" s="1366"/>
      <c r="I667" s="1366"/>
      <c r="J667" s="1366"/>
      <c r="K667" s="1366"/>
      <c r="L667" s="1366"/>
      <c r="M667" s="1366"/>
      <c r="N667" s="1366"/>
      <c r="O667" s="1366"/>
      <c r="P667" s="1366"/>
      <c r="Q667" s="1366"/>
      <c r="R667" s="1366"/>
      <c r="T667" s="55" t="s">
        <v>456</v>
      </c>
      <c r="U667" t="s">
        <v>463</v>
      </c>
      <c r="Z667" s="1366">
        <f>C634</f>
        <v>0</v>
      </c>
      <c r="AA667" s="1366"/>
      <c r="AB667" s="1366"/>
      <c r="AC667" s="1366"/>
      <c r="AD667" s="1366"/>
      <c r="AE667" s="1366"/>
      <c r="AF667" s="1366"/>
      <c r="AG667" s="1366"/>
      <c r="AH667" s="1366"/>
      <c r="AI667" s="1366"/>
      <c r="AJ667" s="1366"/>
      <c r="AK667" s="136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6" t="e">
        <f t="shared" si="2"/>
        <v>#VALUE!</v>
      </c>
      <c r="DY667" s="1486"/>
      <c r="DZ667" s="1486"/>
      <c r="EA667" s="1486"/>
      <c r="EB667" s="1486"/>
      <c r="EC667" s="1486" t="e">
        <f t="shared" si="3"/>
        <v>#VALUE!</v>
      </c>
      <c r="ED667" s="1486"/>
      <c r="EE667" s="1486"/>
      <c r="EF667" s="1486"/>
      <c r="EG667" s="1486"/>
      <c r="EH667" s="1486" t="e">
        <f t="shared" si="4"/>
        <v>#VALUE!</v>
      </c>
      <c r="EI667" s="1486"/>
      <c r="EJ667" s="1486"/>
      <c r="EK667" s="1486"/>
      <c r="EL667" s="1486"/>
      <c r="EM667" s="1486" t="e">
        <f t="shared" si="5"/>
        <v>#VALUE!</v>
      </c>
      <c r="EN667" s="1486"/>
      <c r="EO667" s="1486"/>
      <c r="EP667" s="1486"/>
      <c r="EQ667" s="1486"/>
      <c r="ER667" s="1486" t="e">
        <f t="shared" si="6"/>
        <v>#VALUE!</v>
      </c>
      <c r="ES667" s="1486"/>
      <c r="ET667" s="1486"/>
      <c r="EU667" s="1486"/>
      <c r="EV667" s="1486"/>
      <c r="EW667" s="1486" t="e">
        <f t="shared" si="7"/>
        <v>#VALUE!</v>
      </c>
      <c r="EX667" s="1486"/>
      <c r="EY667" s="1486"/>
      <c r="EZ667" s="1486"/>
      <c r="FA667" s="1486"/>
    </row>
    <row r="668" spans="1:157" ht="13" customHeight="1">
      <c r="A668" s="22"/>
      <c r="B668" t="s">
        <v>85</v>
      </c>
      <c r="G668" s="1346"/>
      <c r="H668" s="1346"/>
      <c r="I668" s="1346"/>
      <c r="J668" s="1346"/>
      <c r="K668" s="1346"/>
      <c r="L668" s="1346"/>
      <c r="M668" s="1346"/>
      <c r="N668" s="1346"/>
      <c r="O668" s="1346"/>
      <c r="P668" s="1346"/>
      <c r="Q668" s="1346"/>
      <c r="R668" s="1346"/>
      <c r="T668" s="22"/>
      <c r="U668" t="s">
        <v>85</v>
      </c>
      <c r="Z668" s="1346"/>
      <c r="AA668" s="1346"/>
      <c r="AB668" s="1346"/>
      <c r="AC668" s="1346"/>
      <c r="AD668" s="1346"/>
      <c r="AE668" s="1346"/>
      <c r="AF668" s="1346"/>
      <c r="AG668" s="1346"/>
      <c r="AH668" s="1346"/>
      <c r="AI668" s="1346"/>
      <c r="AJ668" s="1346"/>
      <c r="AK668" s="134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6" t="e">
        <f t="shared" si="2"/>
        <v>#VALUE!</v>
      </c>
      <c r="DY668" s="1486"/>
      <c r="DZ668" s="1486"/>
      <c r="EA668" s="1486"/>
      <c r="EB668" s="1486"/>
      <c r="EC668" s="1486" t="e">
        <f t="shared" si="3"/>
        <v>#VALUE!</v>
      </c>
      <c r="ED668" s="1486"/>
      <c r="EE668" s="1486"/>
      <c r="EF668" s="1486"/>
      <c r="EG668" s="1486"/>
      <c r="EH668" s="1486" t="e">
        <f t="shared" si="4"/>
        <v>#VALUE!</v>
      </c>
      <c r="EI668" s="1486"/>
      <c r="EJ668" s="1486"/>
      <c r="EK668" s="1486"/>
      <c r="EL668" s="1486"/>
      <c r="EM668" s="1486" t="e">
        <f t="shared" si="5"/>
        <v>#VALUE!</v>
      </c>
      <c r="EN668" s="1486"/>
      <c r="EO668" s="1486"/>
      <c r="EP668" s="1486"/>
      <c r="EQ668" s="1486"/>
      <c r="ER668" s="1486" t="e">
        <f t="shared" si="6"/>
        <v>#VALUE!</v>
      </c>
      <c r="ES668" s="1486"/>
      <c r="ET668" s="1486"/>
      <c r="EU668" s="1486"/>
      <c r="EV668" s="1486"/>
      <c r="EW668" s="1486" t="e">
        <f t="shared" si="7"/>
        <v>#VALUE!</v>
      </c>
      <c r="EX668" s="1486"/>
      <c r="EY668" s="1486"/>
      <c r="EZ668" s="1486"/>
      <c r="FA668" s="1486"/>
    </row>
    <row r="669" spans="1:157" ht="13" customHeight="1">
      <c r="A669" s="22"/>
      <c r="B669" t="s">
        <v>580</v>
      </c>
      <c r="G669" s="1346"/>
      <c r="H669" s="1346"/>
      <c r="I669" s="1346"/>
      <c r="J669" s="1346"/>
      <c r="K669" s="1346"/>
      <c r="L669" s="1346"/>
      <c r="M669" s="1346"/>
      <c r="N669" s="1346"/>
      <c r="O669" s="1346"/>
      <c r="P669" s="1346"/>
      <c r="Q669" s="1346"/>
      <c r="R669" s="1346"/>
      <c r="T669" s="22"/>
      <c r="U669" t="s">
        <v>580</v>
      </c>
      <c r="Z669" s="1356"/>
      <c r="AA669" s="1356"/>
      <c r="AB669" s="1356"/>
      <c r="AC669" s="1356"/>
      <c r="AD669" s="1356"/>
      <c r="AE669" s="1356"/>
      <c r="AF669" s="1356"/>
      <c r="AG669" s="1356"/>
      <c r="AH669" s="1356"/>
      <c r="AI669" s="1356"/>
      <c r="AJ669" s="1356"/>
      <c r="AK669" s="135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6" t="e">
        <f t="shared" si="2"/>
        <v>#VALUE!</v>
      </c>
      <c r="DY669" s="1486"/>
      <c r="DZ669" s="1486"/>
      <c r="EA669" s="1486"/>
      <c r="EB669" s="1486"/>
      <c r="EC669" s="1486" t="e">
        <f t="shared" si="3"/>
        <v>#VALUE!</v>
      </c>
      <c r="ED669" s="1486"/>
      <c r="EE669" s="1486"/>
      <c r="EF669" s="1486"/>
      <c r="EG669" s="1486"/>
      <c r="EH669" s="1486" t="e">
        <f t="shared" si="4"/>
        <v>#VALUE!</v>
      </c>
      <c r="EI669" s="1486"/>
      <c r="EJ669" s="1486"/>
      <c r="EK669" s="1486"/>
      <c r="EL669" s="1486"/>
      <c r="EM669" s="1486" t="e">
        <f t="shared" si="5"/>
        <v>#VALUE!</v>
      </c>
      <c r="EN669" s="1486"/>
      <c r="EO669" s="1486"/>
      <c r="EP669" s="1486"/>
      <c r="EQ669" s="1486"/>
      <c r="ER669" s="1486" t="e">
        <f t="shared" si="6"/>
        <v>#VALUE!</v>
      </c>
      <c r="ES669" s="1486"/>
      <c r="ET669" s="1486"/>
      <c r="EU669" s="1486"/>
      <c r="EV669" s="1486"/>
      <c r="EW669" s="1486" t="e">
        <f t="shared" si="7"/>
        <v>#VALUE!</v>
      </c>
      <c r="EX669" s="1486"/>
      <c r="EY669" s="1486"/>
      <c r="EZ669" s="1486"/>
      <c r="FA669" s="1486"/>
    </row>
    <row r="670" spans="1:157" ht="13" customHeight="1">
      <c r="A670" s="22"/>
      <c r="B670" t="s">
        <v>17</v>
      </c>
      <c r="G670" s="1346"/>
      <c r="H670" s="1346"/>
      <c r="I670" s="1346"/>
      <c r="J670" s="1346"/>
      <c r="K670" s="1346"/>
      <c r="L670" s="1346"/>
      <c r="M670" s="1346"/>
      <c r="N670" s="1346"/>
      <c r="O670" s="1346"/>
      <c r="P670" s="1346"/>
      <c r="Q670" s="1346"/>
      <c r="R670" s="1346"/>
      <c r="T670" s="22"/>
      <c r="U670" t="s">
        <v>17</v>
      </c>
      <c r="Z670" s="1356"/>
      <c r="AA670" s="1356"/>
      <c r="AB670" s="1356"/>
      <c r="AC670" s="1356"/>
      <c r="AD670" s="1356"/>
      <c r="AE670" s="1356"/>
      <c r="AF670" s="1356"/>
      <c r="AG670" s="1356"/>
      <c r="AH670" s="1356"/>
      <c r="AI670" s="1356"/>
      <c r="AJ670" s="1356"/>
      <c r="AK670" s="135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6">
        <f>SUMIF(DX635:EB669,"&gt;0")</f>
        <v>0</v>
      </c>
      <c r="DY670" s="1486"/>
      <c r="DZ670" s="1486"/>
      <c r="EA670" s="1486"/>
      <c r="EB670" s="1486"/>
      <c r="EC670" s="1486">
        <f>SUMIF(EC635:EG669,"&gt;0")</f>
        <v>1325.0666666666668</v>
      </c>
      <c r="ED670" s="1486"/>
      <c r="EE670" s="1486"/>
      <c r="EF670" s="1486"/>
      <c r="EG670" s="1486"/>
      <c r="EH670" s="1486">
        <f>SUMIF(EH635:EL669,"&gt;0")</f>
        <v>1428.9166666666665</v>
      </c>
      <c r="EI670" s="1486"/>
      <c r="EJ670" s="1486"/>
      <c r="EK670" s="1486"/>
      <c r="EL670" s="1486"/>
      <c r="EM670" s="1486">
        <f>SUMIF(EM635:EQ669,"&gt;0")</f>
        <v>1745.2941176470588</v>
      </c>
      <c r="EN670" s="1486"/>
      <c r="EO670" s="1486"/>
      <c r="EP670" s="1486"/>
      <c r="EQ670" s="1486"/>
      <c r="ER670" s="1486">
        <f>SUMIF(ER635:EV669,"&gt;0")</f>
        <v>0</v>
      </c>
      <c r="ES670" s="1486"/>
      <c r="ET670" s="1486"/>
      <c r="EU670" s="1486"/>
      <c r="EV670" s="1486"/>
      <c r="EW670" s="1486">
        <f>SUMIF(EW635:FA669,"&gt;0")</f>
        <v>0</v>
      </c>
      <c r="EX670" s="1486"/>
      <c r="EY670" s="1486"/>
      <c r="EZ670" s="1486"/>
      <c r="FA670" s="1486"/>
    </row>
    <row r="671" spans="1:157" ht="13" customHeight="1">
      <c r="A671" s="22"/>
      <c r="B671" t="s">
        <v>316</v>
      </c>
      <c r="G671" s="1344"/>
      <c r="H671" s="1344"/>
      <c r="I671" s="1344"/>
      <c r="J671" s="1344"/>
      <c r="K671" s="1344"/>
      <c r="L671" s="1344"/>
      <c r="O671" s="33" t="s">
        <v>206</v>
      </c>
      <c r="P671" s="1484"/>
      <c r="Q671" s="1484"/>
      <c r="R671" s="1484"/>
      <c r="T671" s="22"/>
      <c r="U671" t="s">
        <v>316</v>
      </c>
      <c r="Z671" s="1344"/>
      <c r="AA671" s="1344"/>
      <c r="AB671" s="1344"/>
      <c r="AC671" s="1344"/>
      <c r="AD671" s="1344"/>
      <c r="AE671" s="1344"/>
      <c r="AH671" s="33" t="s">
        <v>206</v>
      </c>
      <c r="AI671" s="1484"/>
      <c r="AJ671" s="1484"/>
      <c r="AK671" s="148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46"/>
      <c r="I672" s="1346"/>
      <c r="J672" s="1346"/>
      <c r="K672" s="1346"/>
      <c r="L672" s="1346"/>
      <c r="M672" s="1346"/>
      <c r="N672" s="1346"/>
      <c r="O672" s="1346"/>
      <c r="P672" s="1346"/>
      <c r="Q672" s="1346"/>
      <c r="R672" s="1346"/>
      <c r="T672" s="22"/>
      <c r="U672" t="s">
        <v>18</v>
      </c>
      <c r="AA672" s="1346"/>
      <c r="AB672" s="1346"/>
      <c r="AC672" s="1346"/>
      <c r="AD672" s="1346"/>
      <c r="AE672" s="1346"/>
      <c r="AF672" s="1346"/>
      <c r="AG672" s="1346"/>
      <c r="AH672" s="1346"/>
      <c r="AI672" s="1346"/>
      <c r="AJ672" s="1346"/>
      <c r="AK672" s="134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9" t="s">
        <v>669</v>
      </c>
      <c r="O673" s="1339"/>
      <c r="T673" s="22"/>
      <c r="U673" t="s">
        <v>20</v>
      </c>
      <c r="AG673" s="1339" t="s">
        <v>669</v>
      </c>
      <c r="AH673" s="1339"/>
      <c r="AZ673" s="3"/>
    </row>
    <row r="674" spans="1:52" ht="13" customHeight="1">
      <c r="A674" s="22"/>
      <c r="T674" s="22"/>
      <c r="AZ674" s="3"/>
    </row>
    <row r="675" spans="1:52" ht="13" customHeight="1">
      <c r="A675" s="55" t="s">
        <v>461</v>
      </c>
      <c r="B675" t="s">
        <v>463</v>
      </c>
      <c r="G675" s="1366">
        <f>C635</f>
        <v>0</v>
      </c>
      <c r="H675" s="1366"/>
      <c r="I675" s="1366"/>
      <c r="J675" s="1366"/>
      <c r="K675" s="1366"/>
      <c r="L675" s="1366"/>
      <c r="M675" s="1366"/>
      <c r="N675" s="1366"/>
      <c r="O675" s="1366"/>
      <c r="P675" s="1366"/>
      <c r="Q675" s="1366"/>
      <c r="R675" s="1366"/>
      <c r="T675" s="55" t="s">
        <v>646</v>
      </c>
      <c r="U675" t="s">
        <v>463</v>
      </c>
      <c r="Z675" s="1366">
        <f>C636</f>
        <v>0</v>
      </c>
      <c r="AA675" s="1366"/>
      <c r="AB675" s="1366"/>
      <c r="AC675" s="1366"/>
      <c r="AD675" s="1366"/>
      <c r="AE675" s="1366"/>
      <c r="AF675" s="1366"/>
      <c r="AG675" s="1366"/>
      <c r="AH675" s="1366"/>
      <c r="AI675" s="1366"/>
      <c r="AJ675" s="1366"/>
      <c r="AK675" s="1366"/>
      <c r="AZ675" s="3"/>
    </row>
    <row r="676" spans="1:52" ht="13" customHeight="1">
      <c r="A676" s="22"/>
      <c r="B676" t="s">
        <v>85</v>
      </c>
      <c r="G676" s="1346"/>
      <c r="H676" s="1346"/>
      <c r="I676" s="1346"/>
      <c r="J676" s="1346"/>
      <c r="K676" s="1346"/>
      <c r="L676" s="1346"/>
      <c r="M676" s="1346"/>
      <c r="N676" s="1346"/>
      <c r="O676" s="1346"/>
      <c r="P676" s="1346"/>
      <c r="Q676" s="1346"/>
      <c r="R676" s="1346"/>
      <c r="T676" s="22"/>
      <c r="U676" t="s">
        <v>85</v>
      </c>
      <c r="Z676" s="1346"/>
      <c r="AA676" s="1346"/>
      <c r="AB676" s="1346"/>
      <c r="AC676" s="1346"/>
      <c r="AD676" s="1346"/>
      <c r="AE676" s="1346"/>
      <c r="AF676" s="1346"/>
      <c r="AG676" s="1346"/>
      <c r="AH676" s="1346"/>
      <c r="AI676" s="1346"/>
      <c r="AJ676" s="1346"/>
      <c r="AK676" s="1346"/>
      <c r="AZ676" s="3"/>
    </row>
    <row r="677" spans="1:52" ht="13" customHeight="1">
      <c r="A677" s="22"/>
      <c r="B677" t="s">
        <v>580</v>
      </c>
      <c r="G677" s="1346"/>
      <c r="H677" s="1346"/>
      <c r="I677" s="1346"/>
      <c r="J677" s="1346"/>
      <c r="K677" s="1346"/>
      <c r="L677" s="1346"/>
      <c r="M677" s="1346"/>
      <c r="N677" s="1346"/>
      <c r="O677" s="1346"/>
      <c r="P677" s="1346"/>
      <c r="Q677" s="1346"/>
      <c r="R677" s="1346"/>
      <c r="T677" s="22"/>
      <c r="U677" t="s">
        <v>580</v>
      </c>
      <c r="Z677" s="1356"/>
      <c r="AA677" s="1356"/>
      <c r="AB677" s="1356"/>
      <c r="AC677" s="1356"/>
      <c r="AD677" s="1356"/>
      <c r="AE677" s="1356"/>
      <c r="AF677" s="1356"/>
      <c r="AG677" s="1356"/>
      <c r="AH677" s="1356"/>
      <c r="AI677" s="1356"/>
      <c r="AJ677" s="1356"/>
      <c r="AK677" s="1356"/>
      <c r="AZ677" s="3"/>
    </row>
    <row r="678" spans="1:52" ht="13" customHeight="1">
      <c r="A678" s="22"/>
      <c r="B678" t="s">
        <v>17</v>
      </c>
      <c r="G678" s="1346"/>
      <c r="H678" s="1346"/>
      <c r="I678" s="1346"/>
      <c r="J678" s="1346"/>
      <c r="K678" s="1346"/>
      <c r="L678" s="1346"/>
      <c r="M678" s="1346"/>
      <c r="N678" s="1346"/>
      <c r="O678" s="1346"/>
      <c r="P678" s="1346"/>
      <c r="Q678" s="1346"/>
      <c r="R678" s="1346"/>
      <c r="T678" s="22"/>
      <c r="U678" t="s">
        <v>17</v>
      </c>
      <c r="Z678" s="1356"/>
      <c r="AA678" s="1356"/>
      <c r="AB678" s="1356"/>
      <c r="AC678" s="1356"/>
      <c r="AD678" s="1356"/>
      <c r="AE678" s="1356"/>
      <c r="AF678" s="1356"/>
      <c r="AG678" s="1356"/>
      <c r="AH678" s="1356"/>
      <c r="AI678" s="1356"/>
      <c r="AJ678" s="1356"/>
      <c r="AK678" s="1356"/>
      <c r="AZ678" s="3"/>
    </row>
    <row r="679" spans="1:52" ht="13" customHeight="1">
      <c r="A679" s="22"/>
      <c r="B679" t="s">
        <v>316</v>
      </c>
      <c r="G679" s="1344"/>
      <c r="H679" s="1344"/>
      <c r="I679" s="1344"/>
      <c r="J679" s="1344"/>
      <c r="K679" s="1344"/>
      <c r="L679" s="1344"/>
      <c r="O679" s="33" t="s">
        <v>206</v>
      </c>
      <c r="P679" s="1484"/>
      <c r="Q679" s="1484"/>
      <c r="R679" s="1484"/>
      <c r="T679" s="22"/>
      <c r="U679" t="s">
        <v>316</v>
      </c>
      <c r="Z679" s="1344"/>
      <c r="AA679" s="1344"/>
      <c r="AB679" s="1344"/>
      <c r="AC679" s="1344"/>
      <c r="AD679" s="1344"/>
      <c r="AE679" s="1344"/>
      <c r="AH679" s="33" t="s">
        <v>206</v>
      </c>
      <c r="AI679" s="1484"/>
      <c r="AJ679" s="1484"/>
      <c r="AK679" s="1484"/>
      <c r="AZ679" s="3"/>
    </row>
    <row r="680" spans="1:52" ht="13" customHeight="1">
      <c r="A680" s="22"/>
      <c r="B680" t="s">
        <v>18</v>
      </c>
      <c r="H680" s="1346"/>
      <c r="I680" s="1346"/>
      <c r="J680" s="1346"/>
      <c r="K680" s="1346"/>
      <c r="L680" s="1346"/>
      <c r="M680" s="1346"/>
      <c r="N680" s="1346"/>
      <c r="O680" s="1346"/>
      <c r="P680" s="1346"/>
      <c r="Q680" s="1346"/>
      <c r="R680" s="1346"/>
      <c r="T680" s="22"/>
      <c r="U680" t="s">
        <v>18</v>
      </c>
      <c r="AA680" s="1346"/>
      <c r="AB680" s="1346"/>
      <c r="AC680" s="1346"/>
      <c r="AD680" s="1346"/>
      <c r="AE680" s="1346"/>
      <c r="AF680" s="1346"/>
      <c r="AG680" s="1346"/>
      <c r="AH680" s="1346"/>
      <c r="AI680" s="1346"/>
      <c r="AJ680" s="1346"/>
      <c r="AK680" s="1346"/>
      <c r="AZ680" s="3"/>
    </row>
    <row r="681" spans="1:52" ht="13" customHeight="1">
      <c r="A681" s="22"/>
      <c r="B681" t="s">
        <v>20</v>
      </c>
      <c r="N681" s="1339" t="s">
        <v>669</v>
      </c>
      <c r="O681" s="1339"/>
      <c r="T681" s="22"/>
      <c r="U681" t="s">
        <v>20</v>
      </c>
      <c r="AG681" s="1339" t="s">
        <v>669</v>
      </c>
      <c r="AH681" s="1339"/>
      <c r="AZ681" s="3"/>
    </row>
    <row r="682" spans="1:52" ht="13" customHeight="1">
      <c r="A682" s="22"/>
      <c r="T682" s="22"/>
      <c r="AZ682" s="3"/>
    </row>
    <row r="683" spans="1:52" ht="13" customHeight="1">
      <c r="A683" s="55" t="s">
        <v>362</v>
      </c>
      <c r="B683" t="s">
        <v>463</v>
      </c>
      <c r="G683" s="1366">
        <f>C637</f>
        <v>0</v>
      </c>
      <c r="H683" s="1366"/>
      <c r="I683" s="1366"/>
      <c r="J683" s="1366"/>
      <c r="K683" s="1366"/>
      <c r="L683" s="1366"/>
      <c r="M683" s="1366"/>
      <c r="N683" s="1366"/>
      <c r="O683" s="1366"/>
      <c r="P683" s="1366"/>
      <c r="Q683" s="1366"/>
      <c r="R683" s="1366"/>
      <c r="T683" s="55" t="s">
        <v>363</v>
      </c>
      <c r="U683" t="s">
        <v>463</v>
      </c>
      <c r="Z683" s="1366">
        <f>C638</f>
        <v>0</v>
      </c>
      <c r="AA683" s="1366"/>
      <c r="AB683" s="1366"/>
      <c r="AC683" s="1366"/>
      <c r="AD683" s="1366"/>
      <c r="AE683" s="1366"/>
      <c r="AF683" s="1366"/>
      <c r="AG683" s="1366"/>
      <c r="AH683" s="1366"/>
      <c r="AI683" s="1366"/>
      <c r="AJ683" s="1366"/>
      <c r="AK683" s="1366"/>
      <c r="AZ683" s="3"/>
    </row>
    <row r="684" spans="1:52" ht="13" customHeight="1">
      <c r="B684" t="s">
        <v>85</v>
      </c>
      <c r="G684" s="1346"/>
      <c r="H684" s="1346"/>
      <c r="I684" s="1346"/>
      <c r="J684" s="1346"/>
      <c r="K684" s="1346"/>
      <c r="L684" s="1346"/>
      <c r="M684" s="1346"/>
      <c r="N684" s="1346"/>
      <c r="O684" s="1346"/>
      <c r="P684" s="1346"/>
      <c r="Q684" s="1346"/>
      <c r="R684" s="1346"/>
      <c r="T684" s="22"/>
      <c r="U684" t="s">
        <v>85</v>
      </c>
      <c r="Z684" s="1346"/>
      <c r="AA684" s="1346"/>
      <c r="AB684" s="1346"/>
      <c r="AC684" s="1346"/>
      <c r="AD684" s="1346"/>
      <c r="AE684" s="1346"/>
      <c r="AF684" s="1346"/>
      <c r="AG684" s="1346"/>
      <c r="AH684" s="1346"/>
      <c r="AI684" s="1346"/>
      <c r="AJ684" s="1346"/>
      <c r="AK684" s="1346"/>
      <c r="AZ684" s="3"/>
    </row>
    <row r="685" spans="1:52" ht="13" customHeight="1">
      <c r="B685" t="s">
        <v>580</v>
      </c>
      <c r="G685" s="1346"/>
      <c r="H685" s="1346"/>
      <c r="I685" s="1346"/>
      <c r="J685" s="1346"/>
      <c r="K685" s="1346"/>
      <c r="L685" s="1346"/>
      <c r="M685" s="1346"/>
      <c r="N685" s="1346"/>
      <c r="O685" s="1346"/>
      <c r="P685" s="1346"/>
      <c r="Q685" s="1346"/>
      <c r="R685" s="1346"/>
      <c r="U685" t="s">
        <v>580</v>
      </c>
      <c r="Z685" s="1356"/>
      <c r="AA685" s="1356"/>
      <c r="AB685" s="1356"/>
      <c r="AC685" s="1356"/>
      <c r="AD685" s="1356"/>
      <c r="AE685" s="1356"/>
      <c r="AF685" s="1356"/>
      <c r="AG685" s="1356"/>
      <c r="AH685" s="1356"/>
      <c r="AI685" s="1356"/>
      <c r="AJ685" s="1356"/>
      <c r="AK685" s="1356"/>
      <c r="AZ685" s="3"/>
    </row>
    <row r="686" spans="1:52" ht="13" customHeight="1">
      <c r="B686" t="s">
        <v>17</v>
      </c>
      <c r="G686" s="1346"/>
      <c r="H686" s="1346"/>
      <c r="I686" s="1346"/>
      <c r="J686" s="1346"/>
      <c r="K686" s="1346"/>
      <c r="L686" s="1346"/>
      <c r="M686" s="1346"/>
      <c r="N686" s="1346"/>
      <c r="O686" s="1346"/>
      <c r="P686" s="1346"/>
      <c r="Q686" s="1346"/>
      <c r="R686" s="1346"/>
      <c r="U686" t="s">
        <v>17</v>
      </c>
      <c r="Z686" s="1356"/>
      <c r="AA686" s="1356"/>
      <c r="AB686" s="1356"/>
      <c r="AC686" s="1356"/>
      <c r="AD686" s="1356"/>
      <c r="AE686" s="1356"/>
      <c r="AF686" s="1356"/>
      <c r="AG686" s="1356"/>
      <c r="AH686" s="1356"/>
      <c r="AI686" s="1356"/>
      <c r="AJ686" s="1356"/>
      <c r="AK686" s="1356"/>
      <c r="AZ686" s="3"/>
    </row>
    <row r="687" spans="1:52" ht="13" customHeight="1">
      <c r="B687" t="s">
        <v>316</v>
      </c>
      <c r="G687" s="1344"/>
      <c r="H687" s="1344"/>
      <c r="I687" s="1344"/>
      <c r="J687" s="1344"/>
      <c r="K687" s="1344"/>
      <c r="L687" s="1344"/>
      <c r="O687" s="33" t="s">
        <v>206</v>
      </c>
      <c r="P687" s="1484"/>
      <c r="Q687" s="1484"/>
      <c r="R687" s="1484"/>
      <c r="U687" t="s">
        <v>316</v>
      </c>
      <c r="Z687" s="1344"/>
      <c r="AA687" s="1344"/>
      <c r="AB687" s="1344"/>
      <c r="AC687" s="1344"/>
      <c r="AD687" s="1344"/>
      <c r="AE687" s="1344"/>
      <c r="AH687" s="33" t="s">
        <v>206</v>
      </c>
      <c r="AI687" s="1484"/>
      <c r="AJ687" s="1484"/>
      <c r="AK687" s="1484"/>
      <c r="AZ687" s="3"/>
    </row>
    <row r="688" spans="1:52" ht="13" customHeight="1">
      <c r="B688" t="s">
        <v>18</v>
      </c>
      <c r="H688" s="1346"/>
      <c r="I688" s="1346"/>
      <c r="J688" s="1346"/>
      <c r="K688" s="1346"/>
      <c r="L688" s="1346"/>
      <c r="M688" s="1346"/>
      <c r="N688" s="1346"/>
      <c r="O688" s="1346"/>
      <c r="P688" s="1346"/>
      <c r="Q688" s="1346"/>
      <c r="R688" s="1346"/>
      <c r="U688" t="s">
        <v>18</v>
      </c>
      <c r="AA688" s="1346"/>
      <c r="AB688" s="1346"/>
      <c r="AC688" s="1346"/>
      <c r="AD688" s="1346"/>
      <c r="AE688" s="1346"/>
      <c r="AF688" s="1346"/>
      <c r="AG688" s="1346"/>
      <c r="AH688" s="1346"/>
      <c r="AI688" s="1346"/>
      <c r="AJ688" s="1346"/>
      <c r="AK688" s="1346"/>
      <c r="AZ688" s="3"/>
    </row>
    <row r="689" spans="1:67" ht="13" customHeight="1">
      <c r="B689" t="s">
        <v>20</v>
      </c>
      <c r="N689" s="1339" t="s">
        <v>669</v>
      </c>
      <c r="O689" s="1339"/>
      <c r="U689" t="s">
        <v>20</v>
      </c>
      <c r="AG689" s="1339" t="s">
        <v>669</v>
      </c>
      <c r="AH689" s="1339"/>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9" t="s">
        <v>669</v>
      </c>
      <c r="AF693" s="1339"/>
      <c r="AZ693" s="3"/>
    </row>
    <row r="694" spans="1:67" ht="13" customHeight="1">
      <c r="B694" s="135"/>
      <c r="C694" s="135"/>
      <c r="D694" s="136" t="s">
        <v>438</v>
      </c>
      <c r="E694" s="135"/>
      <c r="F694" s="135"/>
      <c r="G694" s="135"/>
      <c r="H694" s="135"/>
      <c r="AE694" s="1339" t="s">
        <v>669</v>
      </c>
      <c r="AF694" s="1339"/>
      <c r="AZ694" s="3"/>
    </row>
    <row r="695" spans="1:67" ht="13" customHeight="1">
      <c r="B695" s="135"/>
      <c r="C695" s="135"/>
      <c r="D695" s="136" t="s">
        <v>920</v>
      </c>
      <c r="E695" s="135"/>
      <c r="F695" s="135"/>
      <c r="G695" s="135"/>
      <c r="H695" s="135"/>
      <c r="AE695" s="1685">
        <v>45909</v>
      </c>
      <c r="AF695" s="1686"/>
      <c r="AG695" s="1686"/>
      <c r="AH695" s="1686"/>
      <c r="AI695" s="1686"/>
    </row>
    <row r="696" spans="1:67" ht="13" customHeight="1">
      <c r="B696" s="135"/>
      <c r="C696" s="135"/>
      <c r="D696" s="317" t="s">
        <v>983</v>
      </c>
      <c r="E696" s="135"/>
      <c r="F696" s="135"/>
      <c r="G696" s="135"/>
      <c r="H696" s="135"/>
      <c r="AE696" s="1674">
        <v>45980</v>
      </c>
      <c r="AF696" s="1674"/>
      <c r="AG696" s="1674"/>
      <c r="AH696" s="1674"/>
      <c r="AI696" s="1674"/>
    </row>
    <row r="697" spans="1:67" ht="13" customHeight="1">
      <c r="B697" s="135"/>
      <c r="C697" s="135"/>
    </row>
    <row r="698" spans="1:67" ht="13" customHeight="1">
      <c r="B698" s="135"/>
      <c r="C698" s="135"/>
      <c r="D698" s="136" t="s">
        <v>816</v>
      </c>
      <c r="E698" s="135"/>
      <c r="F698" s="135"/>
      <c r="G698" s="135"/>
      <c r="H698" s="135"/>
      <c r="AE698" s="1686">
        <v>46160</v>
      </c>
      <c r="AF698" s="1686"/>
      <c r="AG698" s="1686"/>
      <c r="AH698" s="1686"/>
      <c r="AI698" s="1686"/>
    </row>
    <row r="699" spans="1:67" ht="13" customHeight="1">
      <c r="B699" s="135"/>
      <c r="C699" s="135"/>
      <c r="D699" s="136" t="s">
        <v>436</v>
      </c>
      <c r="E699" s="135"/>
      <c r="F699" s="135"/>
      <c r="G699" s="135"/>
      <c r="H699" s="135"/>
      <c r="AE699" s="1656">
        <v>0.27079999999999999</v>
      </c>
      <c r="AF699" s="1656"/>
      <c r="AG699" s="1656"/>
      <c r="AH699" s="1656"/>
      <c r="AI699" s="1656"/>
    </row>
    <row r="700" spans="1:67" ht="13" customHeight="1">
      <c r="B700" s="135"/>
      <c r="C700" s="135"/>
      <c r="D700" s="136" t="s">
        <v>437</v>
      </c>
      <c r="E700" s="135"/>
      <c r="F700" s="135"/>
      <c r="G700" s="135"/>
      <c r="H700" s="135"/>
      <c r="W700" s="1366" t="str">
        <f>H335</f>
        <v>California Municipal Finance Authority</v>
      </c>
      <c r="X700" s="1366"/>
      <c r="Y700" s="1366"/>
      <c r="Z700" s="1366"/>
      <c r="AA700" s="1366"/>
      <c r="AB700" s="1366"/>
      <c r="AC700" s="1366"/>
      <c r="AD700" s="1366"/>
      <c r="AE700" s="1366"/>
      <c r="AF700" s="1366"/>
      <c r="AG700" s="1366"/>
      <c r="AH700" s="1366"/>
      <c r="AI700" s="1366"/>
      <c r="AJ700" s="1366"/>
      <c r="AK700" s="1366"/>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9" t="s">
        <v>669</v>
      </c>
      <c r="AF702" s="1339"/>
      <c r="AZ702" s="4" t="s">
        <v>324</v>
      </c>
    </row>
    <row r="703" spans="1:67" ht="13" customHeight="1">
      <c r="B703" s="135"/>
      <c r="C703" s="135"/>
      <c r="D703" s="136" t="s">
        <v>442</v>
      </c>
      <c r="E703" s="135"/>
      <c r="F703" s="135"/>
      <c r="G703" s="135"/>
      <c r="H703" s="135"/>
      <c r="W703" s="1346"/>
      <c r="X703" s="1346"/>
      <c r="Y703" s="1346"/>
      <c r="Z703" s="1346"/>
      <c r="AA703" s="1346"/>
      <c r="AB703" s="1346"/>
      <c r="AC703" s="1346"/>
      <c r="AD703" s="1346"/>
      <c r="AE703" s="1346"/>
      <c r="AF703" s="1346"/>
      <c r="AG703" s="1346"/>
      <c r="AH703" s="1346"/>
      <c r="AI703" s="1346"/>
      <c r="AJ703" s="1346"/>
      <c r="AK703" s="1346"/>
      <c r="AZ703" s="4" t="s">
        <v>325</v>
      </c>
    </row>
    <row r="704" spans="1:67" ht="13" customHeight="1">
      <c r="B704" s="135"/>
      <c r="C704" s="135"/>
      <c r="D704" s="136" t="s">
        <v>87</v>
      </c>
      <c r="E704" s="135"/>
      <c r="F704" s="135"/>
      <c r="G704" s="135"/>
      <c r="H704" s="135"/>
      <c r="J704" s="1346"/>
      <c r="K704" s="1346"/>
      <c r="L704" s="1346"/>
      <c r="M704" s="1346"/>
      <c r="N704" s="1346"/>
      <c r="O704" s="1346"/>
      <c r="P704" s="1346"/>
      <c r="Q704" s="1346"/>
      <c r="R704" s="1346"/>
      <c r="S704" s="1346"/>
      <c r="T704" s="1346"/>
      <c r="U704" s="1346"/>
      <c r="V704" s="1346"/>
      <c r="W704" s="1346"/>
      <c r="X704" s="1346"/>
      <c r="AZ704" s="4" t="s">
        <v>163</v>
      </c>
      <c r="BB704" s="34"/>
      <c r="BC704" s="34"/>
      <c r="BD704" s="34"/>
      <c r="BE704" s="3"/>
      <c r="BF704" s="3"/>
      <c r="BJ704" s="3"/>
      <c r="BK704" s="3"/>
      <c r="BL704" s="3"/>
      <c r="BM704" s="3"/>
      <c r="BN704" s="34"/>
      <c r="BO704" s="34"/>
    </row>
    <row r="705" spans="1:185" ht="13" customHeight="1">
      <c r="B705" s="135"/>
      <c r="C705" s="135"/>
      <c r="D705" s="136" t="s">
        <v>88</v>
      </c>
      <c r="J705" s="1344"/>
      <c r="K705" s="1344"/>
      <c r="L705" s="1344"/>
      <c r="M705" s="1344"/>
      <c r="N705" s="1344"/>
      <c r="O705" s="1344"/>
      <c r="P705" s="4" t="s">
        <v>206</v>
      </c>
      <c r="Q705" s="4"/>
      <c r="R705" s="1484"/>
      <c r="S705" s="1484"/>
      <c r="T705" s="148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46" t="s">
        <v>307</v>
      </c>
      <c r="X706" s="1346"/>
      <c r="Y706" s="1346"/>
      <c r="Z706" s="1346"/>
      <c r="AA706" s="1346"/>
      <c r="AB706" s="1346"/>
      <c r="AC706" s="1346"/>
      <c r="AD706" s="1346"/>
      <c r="AE706" s="1346"/>
      <c r="AF706" s="1346"/>
      <c r="AG706" s="1346"/>
      <c r="AH706" s="1346"/>
      <c r="AI706" s="1346"/>
      <c r="AJ706" s="1346"/>
      <c r="AK706" s="134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46" t="s">
        <v>334</v>
      </c>
      <c r="F707" s="1346"/>
      <c r="G707" s="1346"/>
      <c r="H707" s="1346"/>
      <c r="I707" s="1346"/>
      <c r="J707" s="1346"/>
      <c r="K707" s="1346"/>
      <c r="L707" s="1346"/>
      <c r="M707" s="1346"/>
      <c r="N707" s="1346"/>
      <c r="O707" s="1346"/>
      <c r="P707" s="1346"/>
      <c r="Q707" s="1346"/>
      <c r="R707" s="1346"/>
      <c r="S707" s="1346"/>
      <c r="T707" s="1346"/>
      <c r="U707" s="1346"/>
      <c r="V707" s="1346"/>
      <c r="W707" s="1346"/>
      <c r="X707" s="1346"/>
      <c r="Y707" s="1346"/>
      <c r="Z707" s="1346"/>
      <c r="AA707" s="1346"/>
      <c r="AB707" s="1346"/>
      <c r="AC707" s="1346"/>
      <c r="AD707" s="1346"/>
      <c r="AE707" s="1346"/>
      <c r="AF707" s="1346"/>
      <c r="AG707" s="1346"/>
      <c r="AH707" s="1346"/>
      <c r="AI707" s="1346"/>
      <c r="AJ707" s="1346"/>
      <c r="AK707" s="134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70" t="s">
        <v>389</v>
      </c>
      <c r="C714" s="1371"/>
      <c r="D714" s="1371"/>
      <c r="E714" s="1371"/>
      <c r="F714" s="1372"/>
      <c r="G714" s="1370" t="s">
        <v>285</v>
      </c>
      <c r="H714" s="1371"/>
      <c r="I714" s="1371"/>
      <c r="J714" s="1372"/>
      <c r="K714" s="1726" t="s">
        <v>1679</v>
      </c>
      <c r="L714" s="1727"/>
      <c r="M714" s="1727"/>
      <c r="N714" s="1728"/>
      <c r="O714" s="1370" t="s">
        <v>447</v>
      </c>
      <c r="P714" s="1371"/>
      <c r="Q714" s="1371"/>
      <c r="R714" s="1371"/>
      <c r="S714" s="1372"/>
      <c r="T714" s="1651" t="s">
        <v>1949</v>
      </c>
      <c r="U714" s="1371"/>
      <c r="V714" s="1371"/>
      <c r="W714" s="1372"/>
      <c r="X714" s="1651" t="s">
        <v>1951</v>
      </c>
      <c r="Y714" s="1371"/>
      <c r="Z714" s="1371"/>
      <c r="AA714" s="1371"/>
      <c r="AB714" s="1372"/>
      <c r="AC714" s="1651" t="s">
        <v>1950</v>
      </c>
      <c r="AD714" s="1371"/>
      <c r="AE714" s="1371"/>
      <c r="AF714" s="1371"/>
      <c r="AG714" s="1372"/>
      <c r="AH714" s="1651" t="s">
        <v>1952</v>
      </c>
      <c r="AI714" s="1371"/>
      <c r="AJ714" s="1372"/>
      <c r="AK714" s="1651" t="s">
        <v>1979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73"/>
      <c r="C715" s="1374"/>
      <c r="D715" s="1374"/>
      <c r="E715" s="1374"/>
      <c r="F715" s="1375"/>
      <c r="G715" s="1373"/>
      <c r="H715" s="1374"/>
      <c r="I715" s="1374"/>
      <c r="J715" s="1375"/>
      <c r="K715" s="1729"/>
      <c r="L715" s="1730"/>
      <c r="M715" s="1730"/>
      <c r="N715" s="1731"/>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73"/>
      <c r="C716" s="1374"/>
      <c r="D716" s="1374"/>
      <c r="E716" s="1374"/>
      <c r="F716" s="1375"/>
      <c r="G716" s="1373"/>
      <c r="H716" s="1374"/>
      <c r="I716" s="1374"/>
      <c r="J716" s="1375"/>
      <c r="K716" s="1729"/>
      <c r="L716" s="1730"/>
      <c r="M716" s="1730"/>
      <c r="N716" s="1731"/>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6"/>
      <c r="C717" s="1377"/>
      <c r="D717" s="1377"/>
      <c r="E717" s="1377"/>
      <c r="F717" s="1378"/>
      <c r="G717" s="1376"/>
      <c r="H717" s="1377"/>
      <c r="I717" s="1377"/>
      <c r="J717" s="1378"/>
      <c r="K717" s="1729"/>
      <c r="L717" s="1730"/>
      <c r="M717" s="1730"/>
      <c r="N717" s="1731"/>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93"/>
      <c r="CJ717" s="1494"/>
      <c r="CK717" s="121" t="s">
        <v>475</v>
      </c>
      <c r="CL717" s="122"/>
      <c r="CM717" s="1493"/>
      <c r="CN717" s="1494"/>
      <c r="CO717" s="3"/>
      <c r="CP717" s="1559" t="s">
        <v>633</v>
      </c>
      <c r="CQ717" s="1560"/>
      <c r="CR717" s="1560"/>
      <c r="CS717" s="1560"/>
      <c r="CT717" s="1561"/>
      <c r="CU717" s="1487" t="s">
        <v>325</v>
      </c>
      <c r="CV717" s="1487"/>
      <c r="CW717" s="1487"/>
      <c r="CX717" s="1487"/>
      <c r="CY717" s="1487"/>
      <c r="CZ717" s="1487" t="s">
        <v>163</v>
      </c>
      <c r="DA717" s="1487"/>
      <c r="DB717" s="1487"/>
      <c r="DC717" s="1487"/>
      <c r="DD717" s="1487"/>
      <c r="DE717" s="1487" t="s">
        <v>164</v>
      </c>
      <c r="DF717" s="1487"/>
      <c r="DG717" s="1487"/>
      <c r="DH717" s="1487"/>
      <c r="DI717" s="1487"/>
      <c r="DJ717" s="1487" t="s">
        <v>460</v>
      </c>
      <c r="DK717" s="1487"/>
      <c r="DL717" s="1487"/>
      <c r="DM717" s="1487"/>
      <c r="DN717" s="1487"/>
      <c r="DO717" s="1487" t="s">
        <v>30</v>
      </c>
      <c r="DP717" s="1487"/>
      <c r="DQ717" s="1487"/>
      <c r="DR717" s="1487"/>
      <c r="DS717" s="1487"/>
      <c r="DT717" s="89"/>
      <c r="DU717" s="1487" t="s">
        <v>633</v>
      </c>
      <c r="DV717" s="1487"/>
      <c r="DW717" s="1487"/>
      <c r="DX717" s="1487"/>
      <c r="DY717" s="1487"/>
      <c r="DZ717" s="1487" t="s">
        <v>325</v>
      </c>
      <c r="EA717" s="1487"/>
      <c r="EB717" s="1487"/>
      <c r="EC717" s="1487"/>
      <c r="ED717" s="1487"/>
      <c r="EE717" s="1487" t="s">
        <v>163</v>
      </c>
      <c r="EF717" s="1487"/>
      <c r="EG717" s="1487"/>
      <c r="EH717" s="1487"/>
      <c r="EI717" s="1487"/>
      <c r="EJ717" s="1487" t="s">
        <v>164</v>
      </c>
      <c r="EK717" s="1487"/>
      <c r="EL717" s="1487"/>
      <c r="EM717" s="1487"/>
      <c r="EN717" s="1487"/>
      <c r="EO717" s="1487" t="s">
        <v>460</v>
      </c>
      <c r="EP717" s="1487"/>
      <c r="EQ717" s="1487"/>
      <c r="ER717" s="1487"/>
      <c r="ES717" s="1487"/>
      <c r="ET717" s="1487" t="s">
        <v>30</v>
      </c>
      <c r="EU717" s="1487"/>
      <c r="EV717" s="1487"/>
      <c r="EW717" s="1487"/>
      <c r="EX717" s="1487"/>
      <c r="EY717" s="4"/>
      <c r="EZ717" s="1487" t="s">
        <v>633</v>
      </c>
      <c r="FA717" s="1487"/>
      <c r="FB717" s="1487"/>
      <c r="FC717" s="1487"/>
      <c r="FD717" s="1487"/>
      <c r="FE717" s="1487" t="s">
        <v>325</v>
      </c>
      <c r="FF717" s="1487"/>
      <c r="FG717" s="1487"/>
      <c r="FH717" s="1487"/>
      <c r="FI717" s="1487"/>
      <c r="FJ717" s="1487" t="s">
        <v>163</v>
      </c>
      <c r="FK717" s="1487"/>
      <c r="FL717" s="1487"/>
      <c r="FM717" s="1487"/>
      <c r="FN717" s="1487"/>
      <c r="FO717" s="1487" t="s">
        <v>164</v>
      </c>
      <c r="FP717" s="1487"/>
      <c r="FQ717" s="1487"/>
      <c r="FR717" s="1487"/>
      <c r="FS717" s="1487"/>
      <c r="FT717" s="1487" t="s">
        <v>460</v>
      </c>
      <c r="FU717" s="1487"/>
      <c r="FV717" s="1487"/>
      <c r="FW717" s="1487"/>
      <c r="FX717" s="1487"/>
      <c r="FY717" s="1487" t="s">
        <v>30</v>
      </c>
      <c r="FZ717" s="1487"/>
      <c r="GA717" s="1487"/>
      <c r="GB717" s="1487"/>
      <c r="GC717" s="1487"/>
    </row>
    <row r="718" spans="1:185" ht="13" customHeight="1">
      <c r="A718" s="4"/>
      <c r="B718" s="1353" t="s">
        <v>325</v>
      </c>
      <c r="C718" s="1354"/>
      <c r="D718" s="1354"/>
      <c r="E718" s="1354"/>
      <c r="F718" s="1355"/>
      <c r="G718" s="1357">
        <v>6</v>
      </c>
      <c r="H718" s="1358"/>
      <c r="I718" s="1358"/>
      <c r="J718" s="1359"/>
      <c r="K718" s="1367">
        <v>520</v>
      </c>
      <c r="L718" s="1368"/>
      <c r="M718" s="1368"/>
      <c r="N718" s="1369"/>
      <c r="O718" s="1350">
        <v>1628</v>
      </c>
      <c r="P718" s="1351"/>
      <c r="Q718" s="1351"/>
      <c r="R718" s="1351"/>
      <c r="S718" s="1352"/>
      <c r="T718" s="1350">
        <v>76</v>
      </c>
      <c r="U718" s="1351"/>
      <c r="V718" s="1351"/>
      <c r="W718" s="1352"/>
      <c r="X718" s="1360">
        <f t="shared" ref="X718:X741" si="8">O718+T718</f>
        <v>1704</v>
      </c>
      <c r="Y718" s="1361"/>
      <c r="Z718" s="1361"/>
      <c r="AA718" s="1361"/>
      <c r="AB718" s="1362"/>
      <c r="AC718" s="1347">
        <v>0.6</v>
      </c>
      <c r="AD718" s="1348"/>
      <c r="AE718" s="1348"/>
      <c r="AF718" s="1348"/>
      <c r="AG718" s="1349"/>
      <c r="AH718" s="1363">
        <f>IF($AC718&gt;0,($X718/$AZ718), "")</f>
        <v>0.6</v>
      </c>
      <c r="AI718" s="1364"/>
      <c r="AJ718" s="1365"/>
      <c r="AK718" s="1353" t="s">
        <v>591</v>
      </c>
      <c r="AL718" s="1354"/>
      <c r="AM718" s="1354"/>
      <c r="AN718" s="1354"/>
      <c r="AO718" s="1355"/>
      <c r="AP718" s="3"/>
      <c r="AQ718" s="3"/>
      <c r="AR718" s="3"/>
      <c r="AS718" s="3"/>
      <c r="AZ718" s="118">
        <f t="shared" ref="AZ718:AZ752" si="9">IF($G718=0,"N/A",VLOOKUP($T$189,TC_Rent,(MATCH($B718,bedrooms,FALSE)),FALSE))</f>
        <v>2840</v>
      </c>
      <c r="BA718" s="3"/>
      <c r="BB718" s="3"/>
      <c r="BC718" s="3"/>
      <c r="BD718" s="3"/>
      <c r="BE718" s="204"/>
      <c r="BF718" s="293">
        <f t="shared" ref="BF718:BF752" si="10">G718</f>
        <v>6</v>
      </c>
      <c r="BG718" s="297">
        <f t="shared" ref="BG718:BG752" si="11">IF($BF$753=0,0,BF718/$BF$753)</f>
        <v>0.13636363636363635</v>
      </c>
      <c r="BH718" s="298">
        <f t="shared" ref="BH718:BH752" si="12">IF(BG718=0,"",BG718*AC718)</f>
        <v>8.1818181818181804E-2</v>
      </c>
      <c r="BI718" s="3"/>
      <c r="BJ718" s="3"/>
      <c r="BK718" s="3"/>
      <c r="BL718" s="3"/>
      <c r="BM718" s="3"/>
      <c r="BN718" s="3"/>
      <c r="BS718" s="293">
        <f t="shared" ref="BS718:BS752" si="13">G718</f>
        <v>6</v>
      </c>
      <c r="BT718" s="297">
        <f t="shared" ref="BT718:BT752" si="14">IF($BS$753=0,0,BS718/$BS$753)</f>
        <v>0.13636363636363635</v>
      </c>
      <c r="BU718" s="298">
        <f t="shared" ref="BU718:BU752" si="15">IF(BT718=0,"",BT718*AH718)</f>
        <v>8.1818181818181804E-2</v>
      </c>
      <c r="CC718" s="3"/>
      <c r="CD718" s="3"/>
      <c r="CE718" s="3"/>
      <c r="CF718" s="3"/>
      <c r="CG718" s="1488">
        <f>IF(AND(AC718&lt;=0.5,AC718&gt;=0.36),1,0)</f>
        <v>0</v>
      </c>
      <c r="CH718" s="1489"/>
      <c r="CI718" s="1493">
        <f>IF(CG718=1,G718,0)</f>
        <v>0</v>
      </c>
      <c r="CJ718" s="1494"/>
      <c r="CK718" s="1488">
        <f t="shared" ref="CK718:CK752" si="16">IF(AND(AC718&lt;=0.35,AC718&gt;0),1,0)</f>
        <v>0</v>
      </c>
      <c r="CL718" s="1489"/>
      <c r="CM718" s="1493">
        <f t="shared" ref="CM718:CM752" si="17">IF(CK718=1,G718,0)</f>
        <v>0</v>
      </c>
      <c r="CN718" s="1494"/>
      <c r="CO718" s="3"/>
      <c r="CP718" s="1490">
        <f t="shared" ref="CP718:CP752" si="18">IF(B718="SRO/Studio",G718,0)</f>
        <v>0</v>
      </c>
      <c r="CQ718" s="1491"/>
      <c r="CR718" s="1491"/>
      <c r="CS718" s="1491"/>
      <c r="CT718" s="1492"/>
      <c r="CU718" s="1467">
        <f t="shared" ref="CU718:CU752" si="19">IF(B718="1 Bedroom",G718,0)</f>
        <v>6</v>
      </c>
      <c r="CV718" s="1467"/>
      <c r="CW718" s="1467"/>
      <c r="CX718" s="1467"/>
      <c r="CY718" s="1467"/>
      <c r="CZ718" s="1467">
        <f t="shared" ref="CZ718:CZ752" si="20">IF(B718="2 Bedrooms",G718,0)</f>
        <v>0</v>
      </c>
      <c r="DA718" s="1467"/>
      <c r="DB718" s="1467"/>
      <c r="DC718" s="1467"/>
      <c r="DD718" s="1467"/>
      <c r="DE718" s="1467">
        <f t="shared" ref="DE718:DE752" si="21">IF(B718="3 Bedrooms",G718,0)</f>
        <v>0</v>
      </c>
      <c r="DF718" s="1467"/>
      <c r="DG718" s="1467"/>
      <c r="DH718" s="1467"/>
      <c r="DI718" s="1467"/>
      <c r="DJ718" s="1467">
        <f t="shared" ref="DJ718:DJ752" si="22">IF(B718="4 Bedrooms",G718,0)</f>
        <v>0</v>
      </c>
      <c r="DK718" s="1467"/>
      <c r="DL718" s="1467"/>
      <c r="DM718" s="1467"/>
      <c r="DN718" s="1467"/>
      <c r="DO718" s="1467">
        <f t="shared" ref="DO718:DO752" si="23">IF(B718="5 Bedrooms",G718,0)</f>
        <v>0</v>
      </c>
      <c r="DP718" s="1467"/>
      <c r="DQ718" s="1467"/>
      <c r="DR718" s="1467"/>
      <c r="DS718" s="1467"/>
      <c r="DT718" s="6"/>
      <c r="DU718" s="1468">
        <f t="shared" ref="DU718:DU752" si="24">IF(AND(B718="SRO/Studio",AC718&lt;=0.3),G718,0)</f>
        <v>0</v>
      </c>
      <c r="DV718" s="1468"/>
      <c r="DW718" s="1468"/>
      <c r="DX718" s="1468"/>
      <c r="DY718" s="1468"/>
      <c r="DZ718" s="1468">
        <f t="shared" ref="DZ718:DZ752" si="25">IF(AND(B718="1 Bedroom",AC718&lt;=0.3),G718,0)</f>
        <v>0</v>
      </c>
      <c r="EA718" s="1468"/>
      <c r="EB718" s="1468"/>
      <c r="EC718" s="1468"/>
      <c r="ED718" s="1468"/>
      <c r="EE718" s="1468">
        <f t="shared" ref="EE718:EE752" si="26">IF(AND(B718="2 Bedrooms",AC718&lt;=0.3),G718,0)</f>
        <v>0</v>
      </c>
      <c r="EF718" s="1468"/>
      <c r="EG718" s="1468"/>
      <c r="EH718" s="1468"/>
      <c r="EI718" s="1468"/>
      <c r="EJ718" s="1468">
        <f t="shared" ref="EJ718:EJ752" si="27">IF(AND(B718="3 Bedrooms",AC718&lt;=0.3),G718,0)</f>
        <v>0</v>
      </c>
      <c r="EK718" s="1468"/>
      <c r="EL718" s="1468"/>
      <c r="EM718" s="1468"/>
      <c r="EN718" s="1468"/>
      <c r="EO718" s="1468">
        <f t="shared" ref="EO718:EO752" si="28">IF(AND(B718="4 Bedrooms",AC718&lt;=0.3),G718,0)</f>
        <v>0</v>
      </c>
      <c r="EP718" s="1468"/>
      <c r="EQ718" s="1468"/>
      <c r="ER718" s="1468"/>
      <c r="ES718" s="1468"/>
      <c r="ET718" s="1468">
        <f t="shared" ref="ET718:ET752" si="29">IF(AND(B718="5 Bedrooms",AC718&lt;=0.3),G718,0)</f>
        <v>0</v>
      </c>
      <c r="EU718" s="1468"/>
      <c r="EV718" s="1468"/>
      <c r="EW718" s="1468"/>
      <c r="EX718" s="1468"/>
      <c r="EY718" s="4"/>
      <c r="EZ718" s="1488" t="str">
        <f t="shared" ref="EZ718:EZ752" si="30">IF(CP718&gt;0,O718,"")</f>
        <v/>
      </c>
      <c r="FA718" s="1495"/>
      <c r="FB718" s="1495"/>
      <c r="FC718" s="1495"/>
      <c r="FD718" s="1489"/>
      <c r="FE718" s="1488">
        <f t="shared" ref="FE718:FE752" si="31">IF(CU718&gt;0,O718,"")</f>
        <v>1628</v>
      </c>
      <c r="FF718" s="1495"/>
      <c r="FG718" s="1495"/>
      <c r="FH718" s="1495"/>
      <c r="FI718" s="1489"/>
      <c r="FJ718" s="1488" t="str">
        <f t="shared" ref="FJ718:FJ752" si="32">IF(CZ718&gt;0,O718,"")</f>
        <v/>
      </c>
      <c r="FK718" s="1495"/>
      <c r="FL718" s="1495"/>
      <c r="FM718" s="1495"/>
      <c r="FN718" s="1489"/>
      <c r="FO718" s="1488" t="str">
        <f t="shared" ref="FO718:FO752" si="33">IF(DE718&gt;0,O718,"")</f>
        <v/>
      </c>
      <c r="FP718" s="1495"/>
      <c r="FQ718" s="1495"/>
      <c r="FR718" s="1495"/>
      <c r="FS718" s="1489"/>
      <c r="FT718" s="1488" t="str">
        <f t="shared" ref="FT718:FT752" si="34">IF(DJ718&gt;0,O718,"")</f>
        <v/>
      </c>
      <c r="FU718" s="1495"/>
      <c r="FV718" s="1495"/>
      <c r="FW718" s="1495"/>
      <c r="FX718" s="1489"/>
      <c r="FY718" s="1488" t="str">
        <f t="shared" ref="FY718:FY752" si="35">IF(DO718&gt;0,O718,"")</f>
        <v/>
      </c>
      <c r="FZ718" s="1495"/>
      <c r="GA718" s="1495"/>
      <c r="GB718" s="1495"/>
      <c r="GC718" s="1489"/>
    </row>
    <row r="719" spans="1:185" ht="13" customHeight="1">
      <c r="A719" s="4"/>
      <c r="B719" s="1353" t="s">
        <v>325</v>
      </c>
      <c r="C719" s="1354"/>
      <c r="D719" s="1354"/>
      <c r="E719" s="1354"/>
      <c r="F719" s="1355"/>
      <c r="G719" s="1357">
        <v>5</v>
      </c>
      <c r="H719" s="1358"/>
      <c r="I719" s="1358"/>
      <c r="J719" s="1359"/>
      <c r="K719" s="1367">
        <v>520</v>
      </c>
      <c r="L719" s="1368"/>
      <c r="M719" s="1368"/>
      <c r="N719" s="1369"/>
      <c r="O719" s="1350">
        <v>1344</v>
      </c>
      <c r="P719" s="1351"/>
      <c r="Q719" s="1351"/>
      <c r="R719" s="1351"/>
      <c r="S719" s="1352"/>
      <c r="T719" s="1350">
        <v>76</v>
      </c>
      <c r="U719" s="1351"/>
      <c r="V719" s="1351"/>
      <c r="W719" s="1352"/>
      <c r="X719" s="1360">
        <f t="shared" si="8"/>
        <v>1420</v>
      </c>
      <c r="Y719" s="1361"/>
      <c r="Z719" s="1361"/>
      <c r="AA719" s="1361"/>
      <c r="AB719" s="1362"/>
      <c r="AC719" s="1347">
        <v>0.5</v>
      </c>
      <c r="AD719" s="1348"/>
      <c r="AE719" s="1348"/>
      <c r="AF719" s="1348"/>
      <c r="AG719" s="1349"/>
      <c r="AH719" s="1363">
        <f t="shared" ref="AH719:AH752" si="36">IF($AC719&gt;0,($X719/$AZ719), "")</f>
        <v>0.5</v>
      </c>
      <c r="AI719" s="1364"/>
      <c r="AJ719" s="1365"/>
      <c r="AK719" s="1353" t="s">
        <v>591</v>
      </c>
      <c r="AL719" s="1354"/>
      <c r="AM719" s="1354"/>
      <c r="AN719" s="1354"/>
      <c r="AO719" s="1355"/>
      <c r="AP719" s="3"/>
      <c r="AQ719" s="3"/>
      <c r="AR719" s="3"/>
      <c r="AS719" s="3"/>
      <c r="AZ719" s="118">
        <f t="shared" si="9"/>
        <v>2840</v>
      </c>
      <c r="BA719" s="3"/>
      <c r="BB719" s="3"/>
      <c r="BC719" s="3"/>
      <c r="BD719" s="3"/>
      <c r="BE719" s="204"/>
      <c r="BF719" s="294">
        <f t="shared" si="10"/>
        <v>5</v>
      </c>
      <c r="BG719" s="297">
        <f t="shared" si="11"/>
        <v>0.11363636363636363</v>
      </c>
      <c r="BH719" s="298">
        <f t="shared" si="12"/>
        <v>5.6818181818181816E-2</v>
      </c>
      <c r="BI719" s="3"/>
      <c r="BJ719" s="3"/>
      <c r="BK719" s="3"/>
      <c r="BL719" s="3"/>
      <c r="BM719" s="3"/>
      <c r="BN719" s="3"/>
      <c r="BS719" s="294">
        <f t="shared" si="13"/>
        <v>5</v>
      </c>
      <c r="BT719" s="297">
        <f t="shared" si="14"/>
        <v>0.11363636363636363</v>
      </c>
      <c r="BU719" s="298">
        <f t="shared" si="15"/>
        <v>5.6818181818181816E-2</v>
      </c>
      <c r="CC719" s="3"/>
      <c r="CD719" s="3"/>
      <c r="CE719" s="3"/>
      <c r="CF719" s="3"/>
      <c r="CG719" s="1488">
        <f t="shared" ref="CG719:CG752" si="37">IF(AND(AC719&lt;=0.5,AC719&gt;=0.36),1,0)</f>
        <v>1</v>
      </c>
      <c r="CH719" s="1489"/>
      <c r="CI719" s="1493">
        <f t="shared" ref="CI719:CI752" si="38">IF(CG719=1,G719,0)</f>
        <v>5</v>
      </c>
      <c r="CJ719" s="1494"/>
      <c r="CK719" s="1488">
        <f t="shared" si="16"/>
        <v>0</v>
      </c>
      <c r="CL719" s="1489"/>
      <c r="CM719" s="1493">
        <f t="shared" si="17"/>
        <v>0</v>
      </c>
      <c r="CN719" s="1494"/>
      <c r="CO719" s="3"/>
      <c r="CP719" s="1490">
        <f t="shared" si="18"/>
        <v>0</v>
      </c>
      <c r="CQ719" s="1491"/>
      <c r="CR719" s="1491"/>
      <c r="CS719" s="1491"/>
      <c r="CT719" s="1492"/>
      <c r="CU719" s="1467">
        <f t="shared" si="19"/>
        <v>5</v>
      </c>
      <c r="CV719" s="1467"/>
      <c r="CW719" s="1467"/>
      <c r="CX719" s="1467"/>
      <c r="CY719" s="1467"/>
      <c r="CZ719" s="1467">
        <f t="shared" si="20"/>
        <v>0</v>
      </c>
      <c r="DA719" s="1467"/>
      <c r="DB719" s="1467"/>
      <c r="DC719" s="1467"/>
      <c r="DD719" s="1467"/>
      <c r="DE719" s="1467">
        <f t="shared" si="21"/>
        <v>0</v>
      </c>
      <c r="DF719" s="1467"/>
      <c r="DG719" s="1467"/>
      <c r="DH719" s="1467"/>
      <c r="DI719" s="1467"/>
      <c r="DJ719" s="1467">
        <f t="shared" si="22"/>
        <v>0</v>
      </c>
      <c r="DK719" s="1467"/>
      <c r="DL719" s="1467"/>
      <c r="DM719" s="1467"/>
      <c r="DN719" s="1467"/>
      <c r="DO719" s="1467">
        <f t="shared" si="23"/>
        <v>0</v>
      </c>
      <c r="DP719" s="1467"/>
      <c r="DQ719" s="1467"/>
      <c r="DR719" s="1467"/>
      <c r="DS719" s="1467"/>
      <c r="DT719" s="6"/>
      <c r="DU719" s="1468">
        <f t="shared" si="24"/>
        <v>0</v>
      </c>
      <c r="DV719" s="1468"/>
      <c r="DW719" s="1468"/>
      <c r="DX719" s="1468"/>
      <c r="DY719" s="1468"/>
      <c r="DZ719" s="1468">
        <f t="shared" si="25"/>
        <v>0</v>
      </c>
      <c r="EA719" s="1468"/>
      <c r="EB719" s="1468"/>
      <c r="EC719" s="1468"/>
      <c r="ED719" s="1468"/>
      <c r="EE719" s="1468">
        <f t="shared" si="26"/>
        <v>0</v>
      </c>
      <c r="EF719" s="1468"/>
      <c r="EG719" s="1468"/>
      <c r="EH719" s="1468"/>
      <c r="EI719" s="1468"/>
      <c r="EJ719" s="1468">
        <f t="shared" si="27"/>
        <v>0</v>
      </c>
      <c r="EK719" s="1468"/>
      <c r="EL719" s="1468"/>
      <c r="EM719" s="1468"/>
      <c r="EN719" s="1468"/>
      <c r="EO719" s="1468">
        <f t="shared" si="28"/>
        <v>0</v>
      </c>
      <c r="EP719" s="1468"/>
      <c r="EQ719" s="1468"/>
      <c r="ER719" s="1468"/>
      <c r="ES719" s="1468"/>
      <c r="ET719" s="1468">
        <f t="shared" si="29"/>
        <v>0</v>
      </c>
      <c r="EU719" s="1468"/>
      <c r="EV719" s="1468"/>
      <c r="EW719" s="1468"/>
      <c r="EX719" s="1468"/>
      <c r="EY719" s="4"/>
      <c r="EZ719" s="1488" t="str">
        <f t="shared" si="30"/>
        <v/>
      </c>
      <c r="FA719" s="1495"/>
      <c r="FB719" s="1495"/>
      <c r="FC719" s="1495"/>
      <c r="FD719" s="1489"/>
      <c r="FE719" s="1488">
        <f t="shared" si="31"/>
        <v>1344</v>
      </c>
      <c r="FF719" s="1495"/>
      <c r="FG719" s="1495"/>
      <c r="FH719" s="1495"/>
      <c r="FI719" s="1489"/>
      <c r="FJ719" s="1488" t="str">
        <f t="shared" si="32"/>
        <v/>
      </c>
      <c r="FK719" s="1495"/>
      <c r="FL719" s="1495"/>
      <c r="FM719" s="1495"/>
      <c r="FN719" s="1489"/>
      <c r="FO719" s="1488" t="str">
        <f t="shared" si="33"/>
        <v/>
      </c>
      <c r="FP719" s="1495"/>
      <c r="FQ719" s="1495"/>
      <c r="FR719" s="1495"/>
      <c r="FS719" s="1489"/>
      <c r="FT719" s="1488" t="str">
        <f t="shared" si="34"/>
        <v/>
      </c>
      <c r="FU719" s="1495"/>
      <c r="FV719" s="1495"/>
      <c r="FW719" s="1495"/>
      <c r="FX719" s="1489"/>
      <c r="FY719" s="1488" t="str">
        <f t="shared" si="35"/>
        <v/>
      </c>
      <c r="FZ719" s="1495"/>
      <c r="GA719" s="1495"/>
      <c r="GB719" s="1495"/>
      <c r="GC719" s="1489"/>
    </row>
    <row r="720" spans="1:185" ht="13" customHeight="1">
      <c r="A720" s="4"/>
      <c r="B720" s="1353" t="s">
        <v>325</v>
      </c>
      <c r="C720" s="1354"/>
      <c r="D720" s="1354"/>
      <c r="E720" s="1354"/>
      <c r="F720" s="1355"/>
      <c r="G720" s="1357">
        <v>1</v>
      </c>
      <c r="H720" s="1358"/>
      <c r="I720" s="1358"/>
      <c r="J720" s="1359"/>
      <c r="K720" s="1367">
        <v>520</v>
      </c>
      <c r="L720" s="1368"/>
      <c r="M720" s="1368"/>
      <c r="N720" s="1369"/>
      <c r="O720" s="1350">
        <v>1060</v>
      </c>
      <c r="P720" s="1351"/>
      <c r="Q720" s="1351"/>
      <c r="R720" s="1351"/>
      <c r="S720" s="1352"/>
      <c r="T720" s="1350">
        <v>76</v>
      </c>
      <c r="U720" s="1351"/>
      <c r="V720" s="1351"/>
      <c r="W720" s="1352"/>
      <c r="X720" s="1360">
        <f t="shared" si="8"/>
        <v>1136</v>
      </c>
      <c r="Y720" s="1361"/>
      <c r="Z720" s="1361"/>
      <c r="AA720" s="1361"/>
      <c r="AB720" s="1362"/>
      <c r="AC720" s="1347">
        <v>0.4</v>
      </c>
      <c r="AD720" s="1348"/>
      <c r="AE720" s="1348"/>
      <c r="AF720" s="1348"/>
      <c r="AG720" s="1349"/>
      <c r="AH720" s="1363">
        <f t="shared" si="36"/>
        <v>0.4</v>
      </c>
      <c r="AI720" s="1364"/>
      <c r="AJ720" s="1365"/>
      <c r="AK720" s="1353" t="s">
        <v>591</v>
      </c>
      <c r="AL720" s="1354"/>
      <c r="AM720" s="1354"/>
      <c r="AN720" s="1354"/>
      <c r="AO720" s="1355"/>
      <c r="AP720" s="3"/>
      <c r="AQ720" s="3"/>
      <c r="AR720" s="3"/>
      <c r="AS720" s="3"/>
      <c r="AZ720" s="118">
        <f t="shared" si="9"/>
        <v>2840</v>
      </c>
      <c r="BA720" s="3"/>
      <c r="BB720" s="3"/>
      <c r="BC720" s="3"/>
      <c r="BD720" s="3"/>
      <c r="BE720" s="204"/>
      <c r="BF720" s="294">
        <f t="shared" si="10"/>
        <v>1</v>
      </c>
      <c r="BG720" s="297">
        <f t="shared" si="11"/>
        <v>2.2727272727272728E-2</v>
      </c>
      <c r="BH720" s="298">
        <f t="shared" si="12"/>
        <v>9.0909090909090922E-3</v>
      </c>
      <c r="BI720" s="3"/>
      <c r="BJ720" s="3"/>
      <c r="BK720" s="3"/>
      <c r="BL720" s="3"/>
      <c r="BM720" s="3"/>
      <c r="BN720" s="3"/>
      <c r="BS720" s="294">
        <f t="shared" si="13"/>
        <v>1</v>
      </c>
      <c r="BT720" s="297">
        <f t="shared" si="14"/>
        <v>2.2727272727272728E-2</v>
      </c>
      <c r="BU720" s="298">
        <f t="shared" si="15"/>
        <v>9.0909090909090922E-3</v>
      </c>
      <c r="CC720" s="3"/>
      <c r="CD720" s="3"/>
      <c r="CE720" s="3"/>
      <c r="CF720" s="3"/>
      <c r="CG720" s="1488">
        <f t="shared" si="37"/>
        <v>1</v>
      </c>
      <c r="CH720" s="1489"/>
      <c r="CI720" s="1493">
        <f t="shared" si="38"/>
        <v>1</v>
      </c>
      <c r="CJ720" s="1494"/>
      <c r="CK720" s="1488">
        <f t="shared" si="16"/>
        <v>0</v>
      </c>
      <c r="CL720" s="1489"/>
      <c r="CM720" s="1493">
        <f t="shared" si="17"/>
        <v>0</v>
      </c>
      <c r="CN720" s="1494"/>
      <c r="CO720" s="3"/>
      <c r="CP720" s="1490">
        <f t="shared" si="18"/>
        <v>0</v>
      </c>
      <c r="CQ720" s="1491"/>
      <c r="CR720" s="1491"/>
      <c r="CS720" s="1491"/>
      <c r="CT720" s="1492"/>
      <c r="CU720" s="1467">
        <f t="shared" si="19"/>
        <v>1</v>
      </c>
      <c r="CV720" s="1467"/>
      <c r="CW720" s="1467"/>
      <c r="CX720" s="1467"/>
      <c r="CY720" s="1467"/>
      <c r="CZ720" s="1467">
        <f t="shared" si="20"/>
        <v>0</v>
      </c>
      <c r="DA720" s="1467"/>
      <c r="DB720" s="1467"/>
      <c r="DC720" s="1467"/>
      <c r="DD720" s="1467"/>
      <c r="DE720" s="1467">
        <f t="shared" si="21"/>
        <v>0</v>
      </c>
      <c r="DF720" s="1467"/>
      <c r="DG720" s="1467"/>
      <c r="DH720" s="1467"/>
      <c r="DI720" s="1467"/>
      <c r="DJ720" s="1467">
        <f t="shared" si="22"/>
        <v>0</v>
      </c>
      <c r="DK720" s="1467"/>
      <c r="DL720" s="1467"/>
      <c r="DM720" s="1467"/>
      <c r="DN720" s="1467"/>
      <c r="DO720" s="1467">
        <f t="shared" si="23"/>
        <v>0</v>
      </c>
      <c r="DP720" s="1467"/>
      <c r="DQ720" s="1467"/>
      <c r="DR720" s="1467"/>
      <c r="DS720" s="1467"/>
      <c r="DT720" s="6"/>
      <c r="DU720" s="1468">
        <f t="shared" si="24"/>
        <v>0</v>
      </c>
      <c r="DV720" s="1468"/>
      <c r="DW720" s="1468"/>
      <c r="DX720" s="1468"/>
      <c r="DY720" s="1468"/>
      <c r="DZ720" s="1468">
        <f t="shared" si="25"/>
        <v>0</v>
      </c>
      <c r="EA720" s="1468"/>
      <c r="EB720" s="1468"/>
      <c r="EC720" s="1468"/>
      <c r="ED720" s="1468"/>
      <c r="EE720" s="1468">
        <f t="shared" si="26"/>
        <v>0</v>
      </c>
      <c r="EF720" s="1468"/>
      <c r="EG720" s="1468"/>
      <c r="EH720" s="1468"/>
      <c r="EI720" s="1468"/>
      <c r="EJ720" s="1468">
        <f t="shared" si="27"/>
        <v>0</v>
      </c>
      <c r="EK720" s="1468"/>
      <c r="EL720" s="1468"/>
      <c r="EM720" s="1468"/>
      <c r="EN720" s="1468"/>
      <c r="EO720" s="1468">
        <f t="shared" si="28"/>
        <v>0</v>
      </c>
      <c r="EP720" s="1468"/>
      <c r="EQ720" s="1468"/>
      <c r="ER720" s="1468"/>
      <c r="ES720" s="1468"/>
      <c r="ET720" s="1468">
        <f t="shared" si="29"/>
        <v>0</v>
      </c>
      <c r="EU720" s="1468"/>
      <c r="EV720" s="1468"/>
      <c r="EW720" s="1468"/>
      <c r="EX720" s="1468"/>
      <c r="EZ720" s="1488" t="str">
        <f t="shared" si="30"/>
        <v/>
      </c>
      <c r="FA720" s="1495"/>
      <c r="FB720" s="1495"/>
      <c r="FC720" s="1495"/>
      <c r="FD720" s="1489"/>
      <c r="FE720" s="1488">
        <f t="shared" si="31"/>
        <v>1060</v>
      </c>
      <c r="FF720" s="1495"/>
      <c r="FG720" s="1495"/>
      <c r="FH720" s="1495"/>
      <c r="FI720" s="1489"/>
      <c r="FJ720" s="1488" t="str">
        <f t="shared" si="32"/>
        <v/>
      </c>
      <c r="FK720" s="1495"/>
      <c r="FL720" s="1495"/>
      <c r="FM720" s="1495"/>
      <c r="FN720" s="1489"/>
      <c r="FO720" s="1488" t="str">
        <f t="shared" si="33"/>
        <v/>
      </c>
      <c r="FP720" s="1495"/>
      <c r="FQ720" s="1495"/>
      <c r="FR720" s="1495"/>
      <c r="FS720" s="1489"/>
      <c r="FT720" s="1488" t="str">
        <f t="shared" si="34"/>
        <v/>
      </c>
      <c r="FU720" s="1495"/>
      <c r="FV720" s="1495"/>
      <c r="FW720" s="1495"/>
      <c r="FX720" s="1489"/>
      <c r="FY720" s="1488" t="str">
        <f t="shared" si="35"/>
        <v/>
      </c>
      <c r="FZ720" s="1495"/>
      <c r="GA720" s="1495"/>
      <c r="GB720" s="1495"/>
      <c r="GC720" s="1489"/>
    </row>
    <row r="721" spans="1:185" ht="13" customHeight="1">
      <c r="B721" s="1353" t="s">
        <v>325</v>
      </c>
      <c r="C721" s="1354"/>
      <c r="D721" s="1354"/>
      <c r="E721" s="1354"/>
      <c r="F721" s="1355"/>
      <c r="G721" s="1357">
        <v>3</v>
      </c>
      <c r="H721" s="1358"/>
      <c r="I721" s="1358"/>
      <c r="J721" s="1359"/>
      <c r="K721" s="1367">
        <v>520</v>
      </c>
      <c r="L721" s="1368"/>
      <c r="M721" s="1368"/>
      <c r="N721" s="1369"/>
      <c r="O721" s="1350">
        <v>776</v>
      </c>
      <c r="P721" s="1351"/>
      <c r="Q721" s="1351"/>
      <c r="R721" s="1351"/>
      <c r="S721" s="1352"/>
      <c r="T721" s="1350">
        <v>76</v>
      </c>
      <c r="U721" s="1351"/>
      <c r="V721" s="1351"/>
      <c r="W721" s="1352"/>
      <c r="X721" s="1360">
        <f t="shared" si="8"/>
        <v>852</v>
      </c>
      <c r="Y721" s="1361"/>
      <c r="Z721" s="1361"/>
      <c r="AA721" s="1361"/>
      <c r="AB721" s="1362"/>
      <c r="AC721" s="1347">
        <v>0.3</v>
      </c>
      <c r="AD721" s="1348"/>
      <c r="AE721" s="1348"/>
      <c r="AF721" s="1348"/>
      <c r="AG721" s="1349"/>
      <c r="AH721" s="1363">
        <f t="shared" si="36"/>
        <v>0.3</v>
      </c>
      <c r="AI721" s="1364"/>
      <c r="AJ721" s="1365"/>
      <c r="AK721" s="1353" t="s">
        <v>591</v>
      </c>
      <c r="AL721" s="1354"/>
      <c r="AM721" s="1354"/>
      <c r="AN721" s="1354"/>
      <c r="AO721" s="1355"/>
      <c r="AP721" s="3"/>
      <c r="AQ721" s="3"/>
      <c r="AR721" s="3"/>
      <c r="AS721" s="3"/>
      <c r="AY721" s="116"/>
      <c r="AZ721" s="118">
        <f t="shared" si="9"/>
        <v>2840</v>
      </c>
      <c r="BA721" s="3"/>
      <c r="BB721" s="3"/>
      <c r="BC721" s="3"/>
      <c r="BD721" s="3"/>
      <c r="BE721" s="204"/>
      <c r="BF721" s="294">
        <f t="shared" si="10"/>
        <v>3</v>
      </c>
      <c r="BG721" s="297">
        <f t="shared" si="11"/>
        <v>6.8181818181818177E-2</v>
      </c>
      <c r="BH721" s="298">
        <f t="shared" si="12"/>
        <v>2.0454545454545451E-2</v>
      </c>
      <c r="BI721" s="3"/>
      <c r="BJ721" s="3"/>
      <c r="BK721" s="3"/>
      <c r="BL721" s="3"/>
      <c r="BM721" s="3"/>
      <c r="BN721" s="3"/>
      <c r="BS721" s="294">
        <f t="shared" si="13"/>
        <v>3</v>
      </c>
      <c r="BT721" s="297">
        <f t="shared" si="14"/>
        <v>6.8181818181818177E-2</v>
      </c>
      <c r="BU721" s="298">
        <f t="shared" si="15"/>
        <v>2.0454545454545451E-2</v>
      </c>
      <c r="CC721" s="3"/>
      <c r="CD721" s="3"/>
      <c r="CE721" s="3"/>
      <c r="CF721" s="3"/>
      <c r="CG721" s="1488">
        <f t="shared" si="37"/>
        <v>0</v>
      </c>
      <c r="CH721" s="1489"/>
      <c r="CI721" s="1493">
        <f t="shared" si="38"/>
        <v>0</v>
      </c>
      <c r="CJ721" s="1494"/>
      <c r="CK721" s="1488">
        <f t="shared" si="16"/>
        <v>1</v>
      </c>
      <c r="CL721" s="1489"/>
      <c r="CM721" s="1493">
        <f t="shared" si="17"/>
        <v>3</v>
      </c>
      <c r="CN721" s="1494"/>
      <c r="CO721" s="3"/>
      <c r="CP721" s="1490">
        <f t="shared" si="18"/>
        <v>0</v>
      </c>
      <c r="CQ721" s="1491"/>
      <c r="CR721" s="1491"/>
      <c r="CS721" s="1491"/>
      <c r="CT721" s="1492"/>
      <c r="CU721" s="1467">
        <f t="shared" si="19"/>
        <v>3</v>
      </c>
      <c r="CV721" s="1467"/>
      <c r="CW721" s="1467"/>
      <c r="CX721" s="1467"/>
      <c r="CY721" s="1467"/>
      <c r="CZ721" s="1467">
        <f t="shared" si="20"/>
        <v>0</v>
      </c>
      <c r="DA721" s="1467"/>
      <c r="DB721" s="1467"/>
      <c r="DC721" s="1467"/>
      <c r="DD721" s="1467"/>
      <c r="DE721" s="1467">
        <f t="shared" si="21"/>
        <v>0</v>
      </c>
      <c r="DF721" s="1467"/>
      <c r="DG721" s="1467"/>
      <c r="DH721" s="1467"/>
      <c r="DI721" s="1467"/>
      <c r="DJ721" s="1467">
        <f t="shared" si="22"/>
        <v>0</v>
      </c>
      <c r="DK721" s="1467"/>
      <c r="DL721" s="1467"/>
      <c r="DM721" s="1467"/>
      <c r="DN721" s="1467"/>
      <c r="DO721" s="1467">
        <f t="shared" si="23"/>
        <v>0</v>
      </c>
      <c r="DP721" s="1467"/>
      <c r="DQ721" s="1467"/>
      <c r="DR721" s="1467"/>
      <c r="DS721" s="1467"/>
      <c r="DT721" s="6"/>
      <c r="DU721" s="1468">
        <f t="shared" si="24"/>
        <v>0</v>
      </c>
      <c r="DV721" s="1468"/>
      <c r="DW721" s="1468"/>
      <c r="DX721" s="1468"/>
      <c r="DY721" s="1468"/>
      <c r="DZ721" s="1468">
        <f t="shared" si="25"/>
        <v>3</v>
      </c>
      <c r="EA721" s="1468"/>
      <c r="EB721" s="1468"/>
      <c r="EC721" s="1468"/>
      <c r="ED721" s="1468"/>
      <c r="EE721" s="1468">
        <f t="shared" si="26"/>
        <v>0</v>
      </c>
      <c r="EF721" s="1468"/>
      <c r="EG721" s="1468"/>
      <c r="EH721" s="1468"/>
      <c r="EI721" s="1468"/>
      <c r="EJ721" s="1468">
        <f t="shared" si="27"/>
        <v>0</v>
      </c>
      <c r="EK721" s="1468"/>
      <c r="EL721" s="1468"/>
      <c r="EM721" s="1468"/>
      <c r="EN721" s="1468"/>
      <c r="EO721" s="1468">
        <f t="shared" si="28"/>
        <v>0</v>
      </c>
      <c r="EP721" s="1468"/>
      <c r="EQ721" s="1468"/>
      <c r="ER721" s="1468"/>
      <c r="ES721" s="1468"/>
      <c r="ET721" s="1468">
        <f t="shared" si="29"/>
        <v>0</v>
      </c>
      <c r="EU721" s="1468"/>
      <c r="EV721" s="1468"/>
      <c r="EW721" s="1468"/>
      <c r="EX721" s="1468"/>
      <c r="EZ721" s="1488" t="str">
        <f t="shared" si="30"/>
        <v/>
      </c>
      <c r="FA721" s="1495"/>
      <c r="FB721" s="1495"/>
      <c r="FC721" s="1495"/>
      <c r="FD721" s="1489"/>
      <c r="FE721" s="1488">
        <f t="shared" si="31"/>
        <v>776</v>
      </c>
      <c r="FF721" s="1495"/>
      <c r="FG721" s="1495"/>
      <c r="FH721" s="1495"/>
      <c r="FI721" s="1489"/>
      <c r="FJ721" s="1488" t="str">
        <f t="shared" si="32"/>
        <v/>
      </c>
      <c r="FK721" s="1495"/>
      <c r="FL721" s="1495"/>
      <c r="FM721" s="1495"/>
      <c r="FN721" s="1489"/>
      <c r="FO721" s="1488" t="str">
        <f t="shared" si="33"/>
        <v/>
      </c>
      <c r="FP721" s="1495"/>
      <c r="FQ721" s="1495"/>
      <c r="FR721" s="1495"/>
      <c r="FS721" s="1489"/>
      <c r="FT721" s="1488" t="str">
        <f t="shared" si="34"/>
        <v/>
      </c>
      <c r="FU721" s="1495"/>
      <c r="FV721" s="1495"/>
      <c r="FW721" s="1495"/>
      <c r="FX721" s="1489"/>
      <c r="FY721" s="1488" t="str">
        <f t="shared" si="35"/>
        <v/>
      </c>
      <c r="FZ721" s="1495"/>
      <c r="GA721" s="1495"/>
      <c r="GB721" s="1495"/>
      <c r="GC721" s="1489"/>
    </row>
    <row r="722" spans="1:185" ht="13" customHeight="1">
      <c r="B722" s="1353" t="s">
        <v>163</v>
      </c>
      <c r="C722" s="1354"/>
      <c r="D722" s="1354"/>
      <c r="E722" s="1354"/>
      <c r="F722" s="1355"/>
      <c r="G722" s="1357">
        <v>2</v>
      </c>
      <c r="H722" s="1358"/>
      <c r="I722" s="1358"/>
      <c r="J722" s="1359"/>
      <c r="K722" s="1367">
        <v>814</v>
      </c>
      <c r="L722" s="1368"/>
      <c r="M722" s="1368"/>
      <c r="N722" s="1369"/>
      <c r="O722" s="1350">
        <v>1940</v>
      </c>
      <c r="P722" s="1351"/>
      <c r="Q722" s="1351"/>
      <c r="R722" s="1351"/>
      <c r="S722" s="1352"/>
      <c r="T722" s="1350">
        <v>104</v>
      </c>
      <c r="U722" s="1351"/>
      <c r="V722" s="1351"/>
      <c r="W722" s="1352"/>
      <c r="X722" s="1360">
        <f t="shared" si="8"/>
        <v>2044</v>
      </c>
      <c r="Y722" s="1361"/>
      <c r="Z722" s="1361"/>
      <c r="AA722" s="1361"/>
      <c r="AB722" s="1362"/>
      <c r="AC722" s="1347">
        <v>0.6</v>
      </c>
      <c r="AD722" s="1348"/>
      <c r="AE722" s="1348"/>
      <c r="AF722" s="1348"/>
      <c r="AG722" s="1349"/>
      <c r="AH722" s="1363">
        <f t="shared" si="36"/>
        <v>0.60011743981209631</v>
      </c>
      <c r="AI722" s="1364"/>
      <c r="AJ722" s="1365"/>
      <c r="AK722" s="1353" t="s">
        <v>591</v>
      </c>
      <c r="AL722" s="1354"/>
      <c r="AM722" s="1354"/>
      <c r="AN722" s="1354"/>
      <c r="AO722" s="1355"/>
      <c r="AP722" s="3"/>
      <c r="AQ722" s="3"/>
      <c r="AR722" s="3"/>
      <c r="AS722" s="3"/>
      <c r="AY722" s="116"/>
      <c r="AZ722" s="118">
        <f t="shared" si="9"/>
        <v>3406</v>
      </c>
      <c r="BA722" s="3"/>
      <c r="BB722" s="3"/>
      <c r="BC722" s="3"/>
      <c r="BD722" s="3"/>
      <c r="BE722" s="204"/>
      <c r="BF722" s="294">
        <f t="shared" si="10"/>
        <v>2</v>
      </c>
      <c r="BG722" s="297">
        <f t="shared" si="11"/>
        <v>4.5454545454545456E-2</v>
      </c>
      <c r="BH722" s="298">
        <f t="shared" si="12"/>
        <v>2.7272727272727271E-2</v>
      </c>
      <c r="BI722" s="3"/>
      <c r="BJ722" s="3"/>
      <c r="BK722" s="3"/>
      <c r="BL722" s="3"/>
      <c r="BM722" s="3"/>
      <c r="BN722" s="3"/>
      <c r="BS722" s="294">
        <f t="shared" si="13"/>
        <v>2</v>
      </c>
      <c r="BT722" s="297">
        <f t="shared" si="14"/>
        <v>4.5454545454545456E-2</v>
      </c>
      <c r="BU722" s="298">
        <f t="shared" si="15"/>
        <v>2.727806544600438E-2</v>
      </c>
      <c r="CC722" s="3"/>
      <c r="CD722" s="3"/>
      <c r="CE722" s="3"/>
      <c r="CF722" s="3"/>
      <c r="CG722" s="1488">
        <f t="shared" si="37"/>
        <v>0</v>
      </c>
      <c r="CH722" s="1489"/>
      <c r="CI722" s="1493">
        <f t="shared" si="38"/>
        <v>0</v>
      </c>
      <c r="CJ722" s="1494"/>
      <c r="CK722" s="1488">
        <f t="shared" si="16"/>
        <v>0</v>
      </c>
      <c r="CL722" s="1489"/>
      <c r="CM722" s="1493">
        <f t="shared" si="17"/>
        <v>0</v>
      </c>
      <c r="CN722" s="1494"/>
      <c r="CO722" s="3"/>
      <c r="CP722" s="1490">
        <f t="shared" si="18"/>
        <v>0</v>
      </c>
      <c r="CQ722" s="1491"/>
      <c r="CR722" s="1491"/>
      <c r="CS722" s="1491"/>
      <c r="CT722" s="1492"/>
      <c r="CU722" s="1467">
        <f t="shared" si="19"/>
        <v>0</v>
      </c>
      <c r="CV722" s="1467"/>
      <c r="CW722" s="1467"/>
      <c r="CX722" s="1467"/>
      <c r="CY722" s="1467"/>
      <c r="CZ722" s="1467">
        <f t="shared" si="20"/>
        <v>2</v>
      </c>
      <c r="DA722" s="1467"/>
      <c r="DB722" s="1467"/>
      <c r="DC722" s="1467"/>
      <c r="DD722" s="1467"/>
      <c r="DE722" s="1467">
        <f t="shared" si="21"/>
        <v>0</v>
      </c>
      <c r="DF722" s="1467"/>
      <c r="DG722" s="1467"/>
      <c r="DH722" s="1467"/>
      <c r="DI722" s="1467"/>
      <c r="DJ722" s="1467">
        <f t="shared" si="22"/>
        <v>0</v>
      </c>
      <c r="DK722" s="1467"/>
      <c r="DL722" s="1467"/>
      <c r="DM722" s="1467"/>
      <c r="DN722" s="1467"/>
      <c r="DO722" s="1467">
        <f t="shared" si="23"/>
        <v>0</v>
      </c>
      <c r="DP722" s="1467"/>
      <c r="DQ722" s="1467"/>
      <c r="DR722" s="1467"/>
      <c r="DS722" s="1467"/>
      <c r="DT722" s="6"/>
      <c r="DU722" s="1468">
        <f t="shared" si="24"/>
        <v>0</v>
      </c>
      <c r="DV722" s="1468"/>
      <c r="DW722" s="1468"/>
      <c r="DX722" s="1468"/>
      <c r="DY722" s="1468"/>
      <c r="DZ722" s="1468">
        <f t="shared" si="25"/>
        <v>0</v>
      </c>
      <c r="EA722" s="1468"/>
      <c r="EB722" s="1468"/>
      <c r="EC722" s="1468"/>
      <c r="ED722" s="1468"/>
      <c r="EE722" s="1468">
        <f t="shared" si="26"/>
        <v>0</v>
      </c>
      <c r="EF722" s="1468"/>
      <c r="EG722" s="1468"/>
      <c r="EH722" s="1468"/>
      <c r="EI722" s="1468"/>
      <c r="EJ722" s="1468">
        <f t="shared" si="27"/>
        <v>0</v>
      </c>
      <c r="EK722" s="1468"/>
      <c r="EL722" s="1468"/>
      <c r="EM722" s="1468"/>
      <c r="EN722" s="1468"/>
      <c r="EO722" s="1468">
        <f t="shared" si="28"/>
        <v>0</v>
      </c>
      <c r="EP722" s="1468"/>
      <c r="EQ722" s="1468"/>
      <c r="ER722" s="1468"/>
      <c r="ES722" s="1468"/>
      <c r="ET722" s="1468">
        <f t="shared" si="29"/>
        <v>0</v>
      </c>
      <c r="EU722" s="1468"/>
      <c r="EV722" s="1468"/>
      <c r="EW722" s="1468"/>
      <c r="EX722" s="1468"/>
      <c r="EZ722" s="1488" t="str">
        <f t="shared" si="30"/>
        <v/>
      </c>
      <c r="FA722" s="1495"/>
      <c r="FB722" s="1495"/>
      <c r="FC722" s="1495"/>
      <c r="FD722" s="1489"/>
      <c r="FE722" s="1488" t="str">
        <f t="shared" si="31"/>
        <v/>
      </c>
      <c r="FF722" s="1495"/>
      <c r="FG722" s="1495"/>
      <c r="FH722" s="1495"/>
      <c r="FI722" s="1489"/>
      <c r="FJ722" s="1488">
        <f t="shared" si="32"/>
        <v>1940</v>
      </c>
      <c r="FK722" s="1495"/>
      <c r="FL722" s="1495"/>
      <c r="FM722" s="1495"/>
      <c r="FN722" s="1489"/>
      <c r="FO722" s="1488" t="str">
        <f t="shared" si="33"/>
        <v/>
      </c>
      <c r="FP722" s="1495"/>
      <c r="FQ722" s="1495"/>
      <c r="FR722" s="1495"/>
      <c r="FS722" s="1489"/>
      <c r="FT722" s="1488" t="str">
        <f t="shared" si="34"/>
        <v/>
      </c>
      <c r="FU722" s="1495"/>
      <c r="FV722" s="1495"/>
      <c r="FW722" s="1495"/>
      <c r="FX722" s="1489"/>
      <c r="FY722" s="1488" t="str">
        <f t="shared" si="35"/>
        <v/>
      </c>
      <c r="FZ722" s="1495"/>
      <c r="GA722" s="1495"/>
      <c r="GB722" s="1495"/>
      <c r="GC722" s="1489"/>
    </row>
    <row r="723" spans="1:185" ht="13" customHeight="1">
      <c r="B723" s="1353" t="s">
        <v>163</v>
      </c>
      <c r="C723" s="1354"/>
      <c r="D723" s="1354"/>
      <c r="E723" s="1354"/>
      <c r="F723" s="1355"/>
      <c r="G723" s="1357">
        <v>5</v>
      </c>
      <c r="H723" s="1358"/>
      <c r="I723" s="1358"/>
      <c r="J723" s="1359"/>
      <c r="K723" s="1367">
        <v>814</v>
      </c>
      <c r="L723" s="1368"/>
      <c r="M723" s="1368"/>
      <c r="N723" s="1369"/>
      <c r="O723" s="1350">
        <v>1599</v>
      </c>
      <c r="P723" s="1351"/>
      <c r="Q723" s="1351"/>
      <c r="R723" s="1351"/>
      <c r="S723" s="1352"/>
      <c r="T723" s="1350">
        <v>104</v>
      </c>
      <c r="U723" s="1351"/>
      <c r="V723" s="1351"/>
      <c r="W723" s="1352"/>
      <c r="X723" s="1360">
        <f t="shared" si="8"/>
        <v>1703</v>
      </c>
      <c r="Y723" s="1361"/>
      <c r="Z723" s="1361"/>
      <c r="AA723" s="1361"/>
      <c r="AB723" s="1362"/>
      <c r="AC723" s="1347">
        <v>0.5</v>
      </c>
      <c r="AD723" s="1348"/>
      <c r="AE723" s="1348"/>
      <c r="AF723" s="1348"/>
      <c r="AG723" s="1349"/>
      <c r="AH723" s="1363">
        <f t="shared" si="36"/>
        <v>0.5</v>
      </c>
      <c r="AI723" s="1364"/>
      <c r="AJ723" s="1365"/>
      <c r="AK723" s="1353" t="s">
        <v>591</v>
      </c>
      <c r="AL723" s="1354"/>
      <c r="AM723" s="1354"/>
      <c r="AN723" s="1354"/>
      <c r="AO723" s="1355"/>
      <c r="AP723" s="3"/>
      <c r="AQ723" s="3"/>
      <c r="AR723" s="3"/>
      <c r="AS723" s="3"/>
      <c r="AY723" s="116"/>
      <c r="AZ723" s="118">
        <f t="shared" si="9"/>
        <v>3406</v>
      </c>
      <c r="BA723" s="3"/>
      <c r="BB723" s="3"/>
      <c r="BC723" s="3"/>
      <c r="BD723" s="3"/>
      <c r="BE723" s="204"/>
      <c r="BF723" s="294">
        <f t="shared" si="10"/>
        <v>5</v>
      </c>
      <c r="BG723" s="297">
        <f t="shared" si="11"/>
        <v>0.11363636363636363</v>
      </c>
      <c r="BH723" s="298">
        <f t="shared" si="12"/>
        <v>5.6818181818181816E-2</v>
      </c>
      <c r="BI723" s="3"/>
      <c r="BJ723" s="3"/>
      <c r="BK723" s="3"/>
      <c r="BL723" s="3"/>
      <c r="BM723" s="3"/>
      <c r="BN723" s="3"/>
      <c r="BS723" s="294">
        <f t="shared" si="13"/>
        <v>5</v>
      </c>
      <c r="BT723" s="297">
        <f t="shared" si="14"/>
        <v>0.11363636363636363</v>
      </c>
      <c r="BU723" s="298">
        <f t="shared" si="15"/>
        <v>5.6818181818181816E-2</v>
      </c>
      <c r="CC723" s="3"/>
      <c r="CD723" s="3"/>
      <c r="CE723" s="3"/>
      <c r="CF723" s="3"/>
      <c r="CG723" s="1488">
        <f t="shared" si="37"/>
        <v>1</v>
      </c>
      <c r="CH723" s="1489"/>
      <c r="CI723" s="1493">
        <f t="shared" si="38"/>
        <v>5</v>
      </c>
      <c r="CJ723" s="1494"/>
      <c r="CK723" s="1488">
        <f t="shared" si="16"/>
        <v>0</v>
      </c>
      <c r="CL723" s="1489"/>
      <c r="CM723" s="1493">
        <f t="shared" si="17"/>
        <v>0</v>
      </c>
      <c r="CN723" s="1494"/>
      <c r="CO723" s="3"/>
      <c r="CP723" s="1490">
        <f t="shared" si="18"/>
        <v>0</v>
      </c>
      <c r="CQ723" s="1491"/>
      <c r="CR723" s="1491"/>
      <c r="CS723" s="1491"/>
      <c r="CT723" s="1492"/>
      <c r="CU723" s="1467">
        <f t="shared" si="19"/>
        <v>0</v>
      </c>
      <c r="CV723" s="1467"/>
      <c r="CW723" s="1467"/>
      <c r="CX723" s="1467"/>
      <c r="CY723" s="1467"/>
      <c r="CZ723" s="1467">
        <f t="shared" si="20"/>
        <v>5</v>
      </c>
      <c r="DA723" s="1467"/>
      <c r="DB723" s="1467"/>
      <c r="DC723" s="1467"/>
      <c r="DD723" s="1467"/>
      <c r="DE723" s="1467">
        <f t="shared" si="21"/>
        <v>0</v>
      </c>
      <c r="DF723" s="1467"/>
      <c r="DG723" s="1467"/>
      <c r="DH723" s="1467"/>
      <c r="DI723" s="1467"/>
      <c r="DJ723" s="1467">
        <f t="shared" si="22"/>
        <v>0</v>
      </c>
      <c r="DK723" s="1467"/>
      <c r="DL723" s="1467"/>
      <c r="DM723" s="1467"/>
      <c r="DN723" s="1467"/>
      <c r="DO723" s="1467">
        <f t="shared" si="23"/>
        <v>0</v>
      </c>
      <c r="DP723" s="1467"/>
      <c r="DQ723" s="1467"/>
      <c r="DR723" s="1467"/>
      <c r="DS723" s="1467"/>
      <c r="DT723" s="6"/>
      <c r="DU723" s="1468">
        <f t="shared" si="24"/>
        <v>0</v>
      </c>
      <c r="DV723" s="1468"/>
      <c r="DW723" s="1468"/>
      <c r="DX723" s="1468"/>
      <c r="DY723" s="1468"/>
      <c r="DZ723" s="1468">
        <f t="shared" si="25"/>
        <v>0</v>
      </c>
      <c r="EA723" s="1468"/>
      <c r="EB723" s="1468"/>
      <c r="EC723" s="1468"/>
      <c r="ED723" s="1468"/>
      <c r="EE723" s="1468">
        <f t="shared" si="26"/>
        <v>0</v>
      </c>
      <c r="EF723" s="1468"/>
      <c r="EG723" s="1468"/>
      <c r="EH723" s="1468"/>
      <c r="EI723" s="1468"/>
      <c r="EJ723" s="1468">
        <f t="shared" si="27"/>
        <v>0</v>
      </c>
      <c r="EK723" s="1468"/>
      <c r="EL723" s="1468"/>
      <c r="EM723" s="1468"/>
      <c r="EN723" s="1468"/>
      <c r="EO723" s="1468">
        <f t="shared" si="28"/>
        <v>0</v>
      </c>
      <c r="EP723" s="1468"/>
      <c r="EQ723" s="1468"/>
      <c r="ER723" s="1468"/>
      <c r="ES723" s="1468"/>
      <c r="ET723" s="1468">
        <f t="shared" si="29"/>
        <v>0</v>
      </c>
      <c r="EU723" s="1468"/>
      <c r="EV723" s="1468"/>
      <c r="EW723" s="1468"/>
      <c r="EX723" s="1468"/>
      <c r="EZ723" s="1488" t="str">
        <f t="shared" si="30"/>
        <v/>
      </c>
      <c r="FA723" s="1495"/>
      <c r="FB723" s="1495"/>
      <c r="FC723" s="1495"/>
      <c r="FD723" s="1489"/>
      <c r="FE723" s="1488" t="str">
        <f t="shared" si="31"/>
        <v/>
      </c>
      <c r="FF723" s="1495"/>
      <c r="FG723" s="1495"/>
      <c r="FH723" s="1495"/>
      <c r="FI723" s="1489"/>
      <c r="FJ723" s="1488">
        <f t="shared" si="32"/>
        <v>1599</v>
      </c>
      <c r="FK723" s="1495"/>
      <c r="FL723" s="1495"/>
      <c r="FM723" s="1495"/>
      <c r="FN723" s="1489"/>
      <c r="FO723" s="1488" t="str">
        <f t="shared" si="33"/>
        <v/>
      </c>
      <c r="FP723" s="1495"/>
      <c r="FQ723" s="1495"/>
      <c r="FR723" s="1495"/>
      <c r="FS723" s="1489"/>
      <c r="FT723" s="1488" t="str">
        <f t="shared" si="34"/>
        <v/>
      </c>
      <c r="FU723" s="1495"/>
      <c r="FV723" s="1495"/>
      <c r="FW723" s="1495"/>
      <c r="FX723" s="1489"/>
      <c r="FY723" s="1488" t="str">
        <f t="shared" si="35"/>
        <v/>
      </c>
      <c r="FZ723" s="1495"/>
      <c r="GA723" s="1495"/>
      <c r="GB723" s="1495"/>
      <c r="GC723" s="1489"/>
    </row>
    <row r="724" spans="1:185" ht="13" customHeight="1">
      <c r="B724" s="1353" t="s">
        <v>163</v>
      </c>
      <c r="C724" s="1354"/>
      <c r="D724" s="1354"/>
      <c r="E724" s="1354"/>
      <c r="F724" s="1355"/>
      <c r="G724" s="1357">
        <v>2</v>
      </c>
      <c r="H724" s="1358"/>
      <c r="I724" s="1358"/>
      <c r="J724" s="1359"/>
      <c r="K724" s="1367">
        <v>814</v>
      </c>
      <c r="L724" s="1368"/>
      <c r="M724" s="1368"/>
      <c r="N724" s="1369"/>
      <c r="O724" s="1350">
        <v>1259</v>
      </c>
      <c r="P724" s="1351"/>
      <c r="Q724" s="1351"/>
      <c r="R724" s="1351"/>
      <c r="S724" s="1352"/>
      <c r="T724" s="1350">
        <v>104</v>
      </c>
      <c r="U724" s="1351"/>
      <c r="V724" s="1351"/>
      <c r="W724" s="1352"/>
      <c r="X724" s="1360">
        <f t="shared" si="8"/>
        <v>1363</v>
      </c>
      <c r="Y724" s="1361"/>
      <c r="Z724" s="1361"/>
      <c r="AA724" s="1361"/>
      <c r="AB724" s="1362"/>
      <c r="AC724" s="1347">
        <v>0.4</v>
      </c>
      <c r="AD724" s="1348"/>
      <c r="AE724" s="1348"/>
      <c r="AF724" s="1348"/>
      <c r="AG724" s="1349"/>
      <c r="AH724" s="1363">
        <f t="shared" si="36"/>
        <v>0.40017615971814446</v>
      </c>
      <c r="AI724" s="1364"/>
      <c r="AJ724" s="1365"/>
      <c r="AK724" s="1353" t="s">
        <v>591</v>
      </c>
      <c r="AL724" s="1354"/>
      <c r="AM724" s="1354"/>
      <c r="AN724" s="1354"/>
      <c r="AO724" s="1355"/>
      <c r="AP724" s="3"/>
      <c r="AQ724" s="3"/>
      <c r="AR724" s="3"/>
      <c r="AS724" s="3"/>
      <c r="AY724" s="116"/>
      <c r="AZ724" s="118">
        <f t="shared" si="9"/>
        <v>3406</v>
      </c>
      <c r="BA724" s="3"/>
      <c r="BB724" s="3"/>
      <c r="BC724" s="3"/>
      <c r="BD724" s="3"/>
      <c r="BE724" s="204"/>
      <c r="BF724" s="294">
        <f t="shared" si="10"/>
        <v>2</v>
      </c>
      <c r="BG724" s="297">
        <f t="shared" si="11"/>
        <v>4.5454545454545456E-2</v>
      </c>
      <c r="BH724" s="298">
        <f t="shared" si="12"/>
        <v>1.8181818181818184E-2</v>
      </c>
      <c r="BI724" s="3"/>
      <c r="BJ724" s="3"/>
      <c r="BK724" s="3"/>
      <c r="BL724" s="3"/>
      <c r="BM724" s="3"/>
      <c r="BN724" s="3"/>
      <c r="BS724" s="294">
        <f t="shared" si="13"/>
        <v>2</v>
      </c>
      <c r="BT724" s="297">
        <f t="shared" si="14"/>
        <v>4.5454545454545456E-2</v>
      </c>
      <c r="BU724" s="298">
        <f t="shared" si="15"/>
        <v>1.818982544173384E-2</v>
      </c>
      <c r="CC724" s="3"/>
      <c r="CE724" s="3"/>
      <c r="CF724" s="3"/>
      <c r="CG724" s="1488">
        <f t="shared" si="37"/>
        <v>1</v>
      </c>
      <c r="CH724" s="1489"/>
      <c r="CI724" s="1493">
        <f t="shared" si="38"/>
        <v>2</v>
      </c>
      <c r="CJ724" s="1494"/>
      <c r="CK724" s="1488">
        <f t="shared" si="16"/>
        <v>0</v>
      </c>
      <c r="CL724" s="1489"/>
      <c r="CM724" s="1493">
        <f t="shared" si="17"/>
        <v>0</v>
      </c>
      <c r="CN724" s="1494"/>
      <c r="CO724" s="3"/>
      <c r="CP724" s="1490">
        <f t="shared" si="18"/>
        <v>0</v>
      </c>
      <c r="CQ724" s="1491"/>
      <c r="CR724" s="1491"/>
      <c r="CS724" s="1491"/>
      <c r="CT724" s="1492"/>
      <c r="CU724" s="1467">
        <f t="shared" si="19"/>
        <v>0</v>
      </c>
      <c r="CV724" s="1467"/>
      <c r="CW724" s="1467"/>
      <c r="CX724" s="1467"/>
      <c r="CY724" s="1467"/>
      <c r="CZ724" s="1467">
        <f t="shared" si="20"/>
        <v>2</v>
      </c>
      <c r="DA724" s="1467"/>
      <c r="DB724" s="1467"/>
      <c r="DC724" s="1467"/>
      <c r="DD724" s="1467"/>
      <c r="DE724" s="1467">
        <f t="shared" si="21"/>
        <v>0</v>
      </c>
      <c r="DF724" s="1467"/>
      <c r="DG724" s="1467"/>
      <c r="DH724" s="1467"/>
      <c r="DI724" s="1467"/>
      <c r="DJ724" s="1467">
        <f t="shared" si="22"/>
        <v>0</v>
      </c>
      <c r="DK724" s="1467"/>
      <c r="DL724" s="1467"/>
      <c r="DM724" s="1467"/>
      <c r="DN724" s="1467"/>
      <c r="DO724" s="1467">
        <f t="shared" si="23"/>
        <v>0</v>
      </c>
      <c r="DP724" s="1467"/>
      <c r="DQ724" s="1467"/>
      <c r="DR724" s="1467"/>
      <c r="DS724" s="1467"/>
      <c r="DT724" s="6"/>
      <c r="DU724" s="1468">
        <f t="shared" si="24"/>
        <v>0</v>
      </c>
      <c r="DV724" s="1468"/>
      <c r="DW724" s="1468"/>
      <c r="DX724" s="1468"/>
      <c r="DY724" s="1468"/>
      <c r="DZ724" s="1468">
        <f t="shared" si="25"/>
        <v>0</v>
      </c>
      <c r="EA724" s="1468"/>
      <c r="EB724" s="1468"/>
      <c r="EC724" s="1468"/>
      <c r="ED724" s="1468"/>
      <c r="EE724" s="1468">
        <f t="shared" si="26"/>
        <v>0</v>
      </c>
      <c r="EF724" s="1468"/>
      <c r="EG724" s="1468"/>
      <c r="EH724" s="1468"/>
      <c r="EI724" s="1468"/>
      <c r="EJ724" s="1468">
        <f t="shared" si="27"/>
        <v>0</v>
      </c>
      <c r="EK724" s="1468"/>
      <c r="EL724" s="1468"/>
      <c r="EM724" s="1468"/>
      <c r="EN724" s="1468"/>
      <c r="EO724" s="1468">
        <f t="shared" si="28"/>
        <v>0</v>
      </c>
      <c r="EP724" s="1468"/>
      <c r="EQ724" s="1468"/>
      <c r="ER724" s="1468"/>
      <c r="ES724" s="1468"/>
      <c r="ET724" s="1468">
        <f t="shared" si="29"/>
        <v>0</v>
      </c>
      <c r="EU724" s="1468"/>
      <c r="EV724" s="1468"/>
      <c r="EW724" s="1468"/>
      <c r="EX724" s="1468"/>
      <c r="EZ724" s="1488" t="str">
        <f t="shared" si="30"/>
        <v/>
      </c>
      <c r="FA724" s="1495"/>
      <c r="FB724" s="1495"/>
      <c r="FC724" s="1495"/>
      <c r="FD724" s="1489"/>
      <c r="FE724" s="1488" t="str">
        <f t="shared" si="31"/>
        <v/>
      </c>
      <c r="FF724" s="1495"/>
      <c r="FG724" s="1495"/>
      <c r="FH724" s="1495"/>
      <c r="FI724" s="1489"/>
      <c r="FJ724" s="1488">
        <f t="shared" si="32"/>
        <v>1259</v>
      </c>
      <c r="FK724" s="1495"/>
      <c r="FL724" s="1495"/>
      <c r="FM724" s="1495"/>
      <c r="FN724" s="1489"/>
      <c r="FO724" s="1488" t="str">
        <f t="shared" si="33"/>
        <v/>
      </c>
      <c r="FP724" s="1495"/>
      <c r="FQ724" s="1495"/>
      <c r="FR724" s="1495"/>
      <c r="FS724" s="1489"/>
      <c r="FT724" s="1488" t="str">
        <f t="shared" si="34"/>
        <v/>
      </c>
      <c r="FU724" s="1495"/>
      <c r="FV724" s="1495"/>
      <c r="FW724" s="1495"/>
      <c r="FX724" s="1489"/>
      <c r="FY724" s="1488" t="str">
        <f t="shared" si="35"/>
        <v/>
      </c>
      <c r="FZ724" s="1495"/>
      <c r="GA724" s="1495"/>
      <c r="GB724" s="1495"/>
      <c r="GC724" s="1489"/>
    </row>
    <row r="725" spans="1:185" ht="13" customHeight="1">
      <c r="B725" s="1353" t="s">
        <v>163</v>
      </c>
      <c r="C725" s="1354"/>
      <c r="D725" s="1354"/>
      <c r="E725" s="1354"/>
      <c r="F725" s="1355"/>
      <c r="G725" s="1357">
        <v>3</v>
      </c>
      <c r="H725" s="1358"/>
      <c r="I725" s="1358"/>
      <c r="J725" s="1359"/>
      <c r="K725" s="1367">
        <v>814</v>
      </c>
      <c r="L725" s="1368"/>
      <c r="M725" s="1368"/>
      <c r="N725" s="1369"/>
      <c r="O725" s="1350">
        <v>918</v>
      </c>
      <c r="P725" s="1351"/>
      <c r="Q725" s="1351"/>
      <c r="R725" s="1351"/>
      <c r="S725" s="1352"/>
      <c r="T725" s="1350">
        <v>104</v>
      </c>
      <c r="U725" s="1351"/>
      <c r="V725" s="1351"/>
      <c r="W725" s="1352"/>
      <c r="X725" s="1360">
        <f t="shared" si="8"/>
        <v>1022</v>
      </c>
      <c r="Y725" s="1361"/>
      <c r="Z725" s="1361"/>
      <c r="AA725" s="1361"/>
      <c r="AB725" s="1362"/>
      <c r="AC725" s="1347">
        <v>0.3</v>
      </c>
      <c r="AD725" s="1348"/>
      <c r="AE725" s="1348"/>
      <c r="AF725" s="1348"/>
      <c r="AG725" s="1349"/>
      <c r="AH725" s="1363">
        <f t="shared" si="36"/>
        <v>0.30005871990604815</v>
      </c>
      <c r="AI725" s="1364"/>
      <c r="AJ725" s="1365"/>
      <c r="AK725" s="1353" t="s">
        <v>591</v>
      </c>
      <c r="AL725" s="1354"/>
      <c r="AM725" s="1354"/>
      <c r="AN725" s="1354"/>
      <c r="AO725" s="1355"/>
      <c r="AP725" s="3"/>
      <c r="AQ725" s="3"/>
      <c r="AR725" s="3"/>
      <c r="AS725" s="3"/>
      <c r="AY725" s="1085"/>
      <c r="AZ725" s="118">
        <f t="shared" si="9"/>
        <v>3406</v>
      </c>
      <c r="BA725" s="3"/>
      <c r="BB725" s="3"/>
      <c r="BC725" s="3"/>
      <c r="BD725" s="3"/>
      <c r="BE725" s="204"/>
      <c r="BF725" s="294">
        <f t="shared" si="10"/>
        <v>3</v>
      </c>
      <c r="BG725" s="297">
        <f t="shared" si="11"/>
        <v>6.8181818181818177E-2</v>
      </c>
      <c r="BH725" s="298">
        <f t="shared" si="12"/>
        <v>2.0454545454545451E-2</v>
      </c>
      <c r="BI725" s="3"/>
      <c r="BJ725" s="3"/>
      <c r="BK725" s="3"/>
      <c r="BL725" s="3"/>
      <c r="BM725" s="3"/>
      <c r="BN725" s="3"/>
      <c r="BS725" s="294">
        <f t="shared" si="13"/>
        <v>3</v>
      </c>
      <c r="BT725" s="297">
        <f t="shared" si="14"/>
        <v>6.8181818181818177E-2</v>
      </c>
      <c r="BU725" s="298">
        <f t="shared" si="15"/>
        <v>2.0458549084503282E-2</v>
      </c>
      <c r="BV725" s="292"/>
      <c r="BW725" s="3"/>
      <c r="BX725" s="3"/>
      <c r="BY725" s="3"/>
      <c r="BZ725" s="3"/>
      <c r="CA725" s="3"/>
      <c r="CB725" s="3"/>
      <c r="CC725" s="3"/>
      <c r="CE725" s="3"/>
      <c r="CF725" s="3"/>
      <c r="CG725" s="1488">
        <f t="shared" si="37"/>
        <v>0</v>
      </c>
      <c r="CH725" s="1489"/>
      <c r="CI725" s="1493">
        <f t="shared" si="38"/>
        <v>0</v>
      </c>
      <c r="CJ725" s="1494"/>
      <c r="CK725" s="1488">
        <f t="shared" si="16"/>
        <v>1</v>
      </c>
      <c r="CL725" s="1489"/>
      <c r="CM725" s="1493">
        <f t="shared" si="17"/>
        <v>3</v>
      </c>
      <c r="CN725" s="1494"/>
      <c r="CO725" s="3"/>
      <c r="CP725" s="1490">
        <f t="shared" si="18"/>
        <v>0</v>
      </c>
      <c r="CQ725" s="1491"/>
      <c r="CR725" s="1491"/>
      <c r="CS725" s="1491"/>
      <c r="CT725" s="1492"/>
      <c r="CU725" s="1467">
        <f t="shared" si="19"/>
        <v>0</v>
      </c>
      <c r="CV725" s="1467"/>
      <c r="CW725" s="1467"/>
      <c r="CX725" s="1467"/>
      <c r="CY725" s="1467"/>
      <c r="CZ725" s="1467">
        <f t="shared" si="20"/>
        <v>3</v>
      </c>
      <c r="DA725" s="1467"/>
      <c r="DB725" s="1467"/>
      <c r="DC725" s="1467"/>
      <c r="DD725" s="1467"/>
      <c r="DE725" s="1467">
        <f t="shared" si="21"/>
        <v>0</v>
      </c>
      <c r="DF725" s="1467"/>
      <c r="DG725" s="1467"/>
      <c r="DH725" s="1467"/>
      <c r="DI725" s="1467"/>
      <c r="DJ725" s="1467">
        <f t="shared" si="22"/>
        <v>0</v>
      </c>
      <c r="DK725" s="1467"/>
      <c r="DL725" s="1467"/>
      <c r="DM725" s="1467"/>
      <c r="DN725" s="1467"/>
      <c r="DO725" s="1467">
        <f t="shared" si="23"/>
        <v>0</v>
      </c>
      <c r="DP725" s="1467"/>
      <c r="DQ725" s="1467"/>
      <c r="DR725" s="1467"/>
      <c r="DS725" s="1467"/>
      <c r="DT725" s="6"/>
      <c r="DU725" s="1468">
        <f t="shared" si="24"/>
        <v>0</v>
      </c>
      <c r="DV725" s="1468"/>
      <c r="DW725" s="1468"/>
      <c r="DX725" s="1468"/>
      <c r="DY725" s="1468"/>
      <c r="DZ725" s="1468">
        <f t="shared" si="25"/>
        <v>0</v>
      </c>
      <c r="EA725" s="1468"/>
      <c r="EB725" s="1468"/>
      <c r="EC725" s="1468"/>
      <c r="ED725" s="1468"/>
      <c r="EE725" s="1468">
        <f t="shared" si="26"/>
        <v>3</v>
      </c>
      <c r="EF725" s="1468"/>
      <c r="EG725" s="1468"/>
      <c r="EH725" s="1468"/>
      <c r="EI725" s="1468"/>
      <c r="EJ725" s="1468">
        <f t="shared" si="27"/>
        <v>0</v>
      </c>
      <c r="EK725" s="1468"/>
      <c r="EL725" s="1468"/>
      <c r="EM725" s="1468"/>
      <c r="EN725" s="1468"/>
      <c r="EO725" s="1468">
        <f t="shared" si="28"/>
        <v>0</v>
      </c>
      <c r="EP725" s="1468"/>
      <c r="EQ725" s="1468"/>
      <c r="ER725" s="1468"/>
      <c r="ES725" s="1468"/>
      <c r="ET725" s="1468">
        <f t="shared" si="29"/>
        <v>0</v>
      </c>
      <c r="EU725" s="1468"/>
      <c r="EV725" s="1468"/>
      <c r="EW725" s="1468"/>
      <c r="EX725" s="1468"/>
      <c r="EZ725" s="1488" t="str">
        <f t="shared" si="30"/>
        <v/>
      </c>
      <c r="FA725" s="1495"/>
      <c r="FB725" s="1495"/>
      <c r="FC725" s="1495"/>
      <c r="FD725" s="1489"/>
      <c r="FE725" s="1488" t="str">
        <f t="shared" si="31"/>
        <v/>
      </c>
      <c r="FF725" s="1495"/>
      <c r="FG725" s="1495"/>
      <c r="FH725" s="1495"/>
      <c r="FI725" s="1489"/>
      <c r="FJ725" s="1488">
        <f t="shared" si="32"/>
        <v>918</v>
      </c>
      <c r="FK725" s="1495"/>
      <c r="FL725" s="1495"/>
      <c r="FM725" s="1495"/>
      <c r="FN725" s="1489"/>
      <c r="FO725" s="1488" t="str">
        <f t="shared" si="33"/>
        <v/>
      </c>
      <c r="FP725" s="1495"/>
      <c r="FQ725" s="1495"/>
      <c r="FR725" s="1495"/>
      <c r="FS725" s="1489"/>
      <c r="FT725" s="1488" t="str">
        <f t="shared" si="34"/>
        <v/>
      </c>
      <c r="FU725" s="1495"/>
      <c r="FV725" s="1495"/>
      <c r="FW725" s="1495"/>
      <c r="FX725" s="1489"/>
      <c r="FY725" s="1488" t="str">
        <f t="shared" si="35"/>
        <v/>
      </c>
      <c r="FZ725" s="1495"/>
      <c r="GA725" s="1495"/>
      <c r="GB725" s="1495"/>
      <c r="GC725" s="1489"/>
    </row>
    <row r="726" spans="1:185" ht="13" customHeight="1">
      <c r="B726" s="1353" t="s">
        <v>164</v>
      </c>
      <c r="C726" s="1354"/>
      <c r="D726" s="1354"/>
      <c r="E726" s="1354"/>
      <c r="F726" s="1355"/>
      <c r="G726" s="1357">
        <v>4</v>
      </c>
      <c r="H726" s="1358"/>
      <c r="I726" s="1358"/>
      <c r="J726" s="1359"/>
      <c r="K726" s="1367">
        <v>1057</v>
      </c>
      <c r="L726" s="1368"/>
      <c r="M726" s="1368"/>
      <c r="N726" s="1369"/>
      <c r="O726" s="1350">
        <v>2232</v>
      </c>
      <c r="P726" s="1351"/>
      <c r="Q726" s="1351"/>
      <c r="R726" s="1351"/>
      <c r="S726" s="1352"/>
      <c r="T726" s="1350">
        <v>131</v>
      </c>
      <c r="U726" s="1351"/>
      <c r="V726" s="1351"/>
      <c r="W726" s="1352"/>
      <c r="X726" s="1360">
        <f t="shared" si="8"/>
        <v>2363</v>
      </c>
      <c r="Y726" s="1361"/>
      <c r="Z726" s="1361"/>
      <c r="AA726" s="1361"/>
      <c r="AB726" s="1362"/>
      <c r="AC726" s="1347">
        <v>0.6</v>
      </c>
      <c r="AD726" s="1348"/>
      <c r="AE726" s="1348"/>
      <c r="AF726" s="1348"/>
      <c r="AG726" s="1349"/>
      <c r="AH726" s="1363">
        <f t="shared" si="36"/>
        <v>0.60005078720162519</v>
      </c>
      <c r="AI726" s="1364"/>
      <c r="AJ726" s="1365"/>
      <c r="AK726" s="1353" t="s">
        <v>591</v>
      </c>
      <c r="AL726" s="1354"/>
      <c r="AM726" s="1354"/>
      <c r="AN726" s="1354"/>
      <c r="AO726" s="1355"/>
      <c r="AP726" s="3"/>
      <c r="AQ726" s="3"/>
      <c r="AR726" s="3"/>
      <c r="AS726" s="3"/>
      <c r="AY726" s="1085"/>
      <c r="AZ726" s="118">
        <f t="shared" si="9"/>
        <v>3938</v>
      </c>
      <c r="BA726" s="3"/>
      <c r="BB726" s="3"/>
      <c r="BC726" s="3"/>
      <c r="BD726" s="3"/>
      <c r="BE726" s="204"/>
      <c r="BF726" s="294">
        <f t="shared" si="10"/>
        <v>4</v>
      </c>
      <c r="BG726" s="297">
        <f t="shared" si="11"/>
        <v>9.0909090909090912E-2</v>
      </c>
      <c r="BH726" s="298">
        <f t="shared" si="12"/>
        <v>5.4545454545454543E-2</v>
      </c>
      <c r="BI726" s="3"/>
      <c r="BJ726" s="3"/>
      <c r="BK726" s="3"/>
      <c r="BL726" s="3"/>
      <c r="BM726" s="3"/>
      <c r="BN726" s="3"/>
      <c r="BS726" s="294">
        <f t="shared" si="13"/>
        <v>4</v>
      </c>
      <c r="BT726" s="297">
        <f t="shared" si="14"/>
        <v>9.0909090909090912E-2</v>
      </c>
      <c r="BU726" s="298">
        <f t="shared" si="15"/>
        <v>5.4550071563784108E-2</v>
      </c>
      <c r="BV726" s="3"/>
      <c r="BW726" s="3"/>
      <c r="BX726" s="3"/>
      <c r="BY726" s="3"/>
      <c r="BZ726" s="3"/>
      <c r="CA726" s="3"/>
      <c r="CB726" s="3"/>
      <c r="CC726" s="3"/>
      <c r="CE726" s="3"/>
      <c r="CF726" s="3"/>
      <c r="CG726" s="1488">
        <f t="shared" si="37"/>
        <v>0</v>
      </c>
      <c r="CH726" s="1489"/>
      <c r="CI726" s="1493">
        <f t="shared" si="38"/>
        <v>0</v>
      </c>
      <c r="CJ726" s="1494"/>
      <c r="CK726" s="1488">
        <f t="shared" si="16"/>
        <v>0</v>
      </c>
      <c r="CL726" s="1489"/>
      <c r="CM726" s="1493">
        <f t="shared" si="17"/>
        <v>0</v>
      </c>
      <c r="CN726" s="1494"/>
      <c r="CO726" s="3"/>
      <c r="CP726" s="1490">
        <f t="shared" si="18"/>
        <v>0</v>
      </c>
      <c r="CQ726" s="1491"/>
      <c r="CR726" s="1491"/>
      <c r="CS726" s="1491"/>
      <c r="CT726" s="1492"/>
      <c r="CU726" s="1467">
        <f t="shared" si="19"/>
        <v>0</v>
      </c>
      <c r="CV726" s="1467"/>
      <c r="CW726" s="1467"/>
      <c r="CX726" s="1467"/>
      <c r="CY726" s="1467"/>
      <c r="CZ726" s="1467">
        <f t="shared" si="20"/>
        <v>0</v>
      </c>
      <c r="DA726" s="1467"/>
      <c r="DB726" s="1467"/>
      <c r="DC726" s="1467"/>
      <c r="DD726" s="1467"/>
      <c r="DE726" s="1467">
        <f t="shared" si="21"/>
        <v>4</v>
      </c>
      <c r="DF726" s="1467"/>
      <c r="DG726" s="1467"/>
      <c r="DH726" s="1467"/>
      <c r="DI726" s="1467"/>
      <c r="DJ726" s="1467">
        <f t="shared" si="22"/>
        <v>0</v>
      </c>
      <c r="DK726" s="1467"/>
      <c r="DL726" s="1467"/>
      <c r="DM726" s="1467"/>
      <c r="DN726" s="1467"/>
      <c r="DO726" s="1467">
        <f t="shared" si="23"/>
        <v>0</v>
      </c>
      <c r="DP726" s="1467"/>
      <c r="DQ726" s="1467"/>
      <c r="DR726" s="1467"/>
      <c r="DS726" s="1467"/>
      <c r="DT726" s="6"/>
      <c r="DU726" s="1468">
        <f t="shared" si="24"/>
        <v>0</v>
      </c>
      <c r="DV726" s="1468"/>
      <c r="DW726" s="1468"/>
      <c r="DX726" s="1468"/>
      <c r="DY726" s="1468"/>
      <c r="DZ726" s="1468">
        <f t="shared" si="25"/>
        <v>0</v>
      </c>
      <c r="EA726" s="1468"/>
      <c r="EB726" s="1468"/>
      <c r="EC726" s="1468"/>
      <c r="ED726" s="1468"/>
      <c r="EE726" s="1468">
        <f t="shared" si="26"/>
        <v>0</v>
      </c>
      <c r="EF726" s="1468"/>
      <c r="EG726" s="1468"/>
      <c r="EH726" s="1468"/>
      <c r="EI726" s="1468"/>
      <c r="EJ726" s="1468">
        <f t="shared" si="27"/>
        <v>0</v>
      </c>
      <c r="EK726" s="1468"/>
      <c r="EL726" s="1468"/>
      <c r="EM726" s="1468"/>
      <c r="EN726" s="1468"/>
      <c r="EO726" s="1468">
        <f t="shared" si="28"/>
        <v>0</v>
      </c>
      <c r="EP726" s="1468"/>
      <c r="EQ726" s="1468"/>
      <c r="ER726" s="1468"/>
      <c r="ES726" s="1468"/>
      <c r="ET726" s="1468">
        <f t="shared" si="29"/>
        <v>0</v>
      </c>
      <c r="EU726" s="1468"/>
      <c r="EV726" s="1468"/>
      <c r="EW726" s="1468"/>
      <c r="EX726" s="1468"/>
      <c r="EY726" s="4"/>
      <c r="EZ726" s="1488" t="str">
        <f t="shared" si="30"/>
        <v/>
      </c>
      <c r="FA726" s="1495"/>
      <c r="FB726" s="1495"/>
      <c r="FC726" s="1495"/>
      <c r="FD726" s="1489"/>
      <c r="FE726" s="1488" t="str">
        <f t="shared" si="31"/>
        <v/>
      </c>
      <c r="FF726" s="1495"/>
      <c r="FG726" s="1495"/>
      <c r="FH726" s="1495"/>
      <c r="FI726" s="1489"/>
      <c r="FJ726" s="1488" t="str">
        <f t="shared" si="32"/>
        <v/>
      </c>
      <c r="FK726" s="1495"/>
      <c r="FL726" s="1495"/>
      <c r="FM726" s="1495"/>
      <c r="FN726" s="1489"/>
      <c r="FO726" s="1488">
        <f t="shared" si="33"/>
        <v>2232</v>
      </c>
      <c r="FP726" s="1495"/>
      <c r="FQ726" s="1495"/>
      <c r="FR726" s="1495"/>
      <c r="FS726" s="1489"/>
      <c r="FT726" s="1488" t="str">
        <f t="shared" si="34"/>
        <v/>
      </c>
      <c r="FU726" s="1495"/>
      <c r="FV726" s="1495"/>
      <c r="FW726" s="1495"/>
      <c r="FX726" s="1489"/>
      <c r="FY726" s="1488" t="str">
        <f t="shared" si="35"/>
        <v/>
      </c>
      <c r="FZ726" s="1495"/>
      <c r="GA726" s="1495"/>
      <c r="GB726" s="1495"/>
      <c r="GC726" s="1489"/>
    </row>
    <row r="727" spans="1:185" ht="13" customHeight="1">
      <c r="A727" s="4"/>
      <c r="B727" s="1353" t="s">
        <v>164</v>
      </c>
      <c r="C727" s="1354"/>
      <c r="D727" s="1354"/>
      <c r="E727" s="1354"/>
      <c r="F727" s="1355"/>
      <c r="G727" s="1357">
        <v>8</v>
      </c>
      <c r="H727" s="1358"/>
      <c r="I727" s="1358"/>
      <c r="J727" s="1359"/>
      <c r="K727" s="1367">
        <v>1057</v>
      </c>
      <c r="L727" s="1368"/>
      <c r="M727" s="1368"/>
      <c r="N727" s="1369"/>
      <c r="O727" s="1350">
        <v>1838</v>
      </c>
      <c r="P727" s="1351"/>
      <c r="Q727" s="1351"/>
      <c r="R727" s="1351"/>
      <c r="S727" s="1352"/>
      <c r="T727" s="1350">
        <v>131</v>
      </c>
      <c r="U727" s="1351"/>
      <c r="V727" s="1351"/>
      <c r="W727" s="1352"/>
      <c r="X727" s="1360">
        <f t="shared" si="8"/>
        <v>1969</v>
      </c>
      <c r="Y727" s="1361"/>
      <c r="Z727" s="1361"/>
      <c r="AA727" s="1361"/>
      <c r="AB727" s="1362"/>
      <c r="AC727" s="1347">
        <v>0.5</v>
      </c>
      <c r="AD727" s="1348"/>
      <c r="AE727" s="1348"/>
      <c r="AF727" s="1348"/>
      <c r="AG727" s="1349"/>
      <c r="AH727" s="1363">
        <f t="shared" si="36"/>
        <v>0.5</v>
      </c>
      <c r="AI727" s="1364"/>
      <c r="AJ727" s="1365"/>
      <c r="AK727" s="1353" t="s">
        <v>591</v>
      </c>
      <c r="AL727" s="1354"/>
      <c r="AM727" s="1354"/>
      <c r="AN727" s="1354"/>
      <c r="AO727" s="1355"/>
      <c r="AP727" s="3"/>
      <c r="AQ727" s="3"/>
      <c r="AR727" s="3"/>
      <c r="AS727" s="3"/>
      <c r="AY727" s="1085"/>
      <c r="AZ727" s="118">
        <f t="shared" si="9"/>
        <v>3938</v>
      </c>
      <c r="BA727" s="3"/>
      <c r="BB727" s="3"/>
      <c r="BC727" s="3"/>
      <c r="BD727" s="3"/>
      <c r="BE727" s="204"/>
      <c r="BF727" s="294">
        <f t="shared" si="10"/>
        <v>8</v>
      </c>
      <c r="BG727" s="297">
        <f t="shared" si="11"/>
        <v>0.18181818181818182</v>
      </c>
      <c r="BH727" s="298">
        <f t="shared" si="12"/>
        <v>9.0909090909090912E-2</v>
      </c>
      <c r="BI727" s="3"/>
      <c r="BJ727" s="3"/>
      <c r="BK727" s="3"/>
      <c r="BL727" s="3"/>
      <c r="BM727" s="3"/>
      <c r="BN727" s="3"/>
      <c r="BS727" s="294">
        <f t="shared" si="13"/>
        <v>8</v>
      </c>
      <c r="BT727" s="297">
        <f t="shared" si="14"/>
        <v>0.18181818181818182</v>
      </c>
      <c r="BU727" s="298">
        <f t="shared" si="15"/>
        <v>9.0909090909090912E-2</v>
      </c>
      <c r="BV727" s="3"/>
      <c r="BW727" s="3"/>
      <c r="BX727" s="3"/>
      <c r="BY727" s="3"/>
      <c r="BZ727" s="3"/>
      <c r="CA727" s="3"/>
      <c r="CB727" s="3"/>
      <c r="CC727" s="3"/>
      <c r="CE727" s="3"/>
      <c r="CF727" s="3"/>
      <c r="CG727" s="1488">
        <f t="shared" si="37"/>
        <v>1</v>
      </c>
      <c r="CH727" s="1489"/>
      <c r="CI727" s="1493">
        <f t="shared" si="38"/>
        <v>8</v>
      </c>
      <c r="CJ727" s="1494"/>
      <c r="CK727" s="1488">
        <f t="shared" si="16"/>
        <v>0</v>
      </c>
      <c r="CL727" s="1489"/>
      <c r="CM727" s="1493">
        <f t="shared" si="17"/>
        <v>0</v>
      </c>
      <c r="CN727" s="1494"/>
      <c r="CO727" s="3"/>
      <c r="CP727" s="1490">
        <f t="shared" si="18"/>
        <v>0</v>
      </c>
      <c r="CQ727" s="1491"/>
      <c r="CR727" s="1491"/>
      <c r="CS727" s="1491"/>
      <c r="CT727" s="1492"/>
      <c r="CU727" s="1467">
        <f t="shared" si="19"/>
        <v>0</v>
      </c>
      <c r="CV727" s="1467"/>
      <c r="CW727" s="1467"/>
      <c r="CX727" s="1467"/>
      <c r="CY727" s="1467"/>
      <c r="CZ727" s="1467">
        <f t="shared" si="20"/>
        <v>0</v>
      </c>
      <c r="DA727" s="1467"/>
      <c r="DB727" s="1467"/>
      <c r="DC727" s="1467"/>
      <c r="DD727" s="1467"/>
      <c r="DE727" s="1467">
        <f t="shared" si="21"/>
        <v>8</v>
      </c>
      <c r="DF727" s="1467"/>
      <c r="DG727" s="1467"/>
      <c r="DH727" s="1467"/>
      <c r="DI727" s="1467"/>
      <c r="DJ727" s="1467">
        <f t="shared" si="22"/>
        <v>0</v>
      </c>
      <c r="DK727" s="1467"/>
      <c r="DL727" s="1467"/>
      <c r="DM727" s="1467"/>
      <c r="DN727" s="1467"/>
      <c r="DO727" s="1467">
        <f t="shared" si="23"/>
        <v>0</v>
      </c>
      <c r="DP727" s="1467"/>
      <c r="DQ727" s="1467"/>
      <c r="DR727" s="1467"/>
      <c r="DS727" s="1467"/>
      <c r="DT727" s="6"/>
      <c r="DU727" s="1468">
        <f t="shared" si="24"/>
        <v>0</v>
      </c>
      <c r="DV727" s="1468"/>
      <c r="DW727" s="1468"/>
      <c r="DX727" s="1468"/>
      <c r="DY727" s="1468"/>
      <c r="DZ727" s="1468">
        <f t="shared" si="25"/>
        <v>0</v>
      </c>
      <c r="EA727" s="1468"/>
      <c r="EB727" s="1468"/>
      <c r="EC727" s="1468"/>
      <c r="ED727" s="1468"/>
      <c r="EE727" s="1468">
        <f t="shared" si="26"/>
        <v>0</v>
      </c>
      <c r="EF727" s="1468"/>
      <c r="EG727" s="1468"/>
      <c r="EH727" s="1468"/>
      <c r="EI727" s="1468"/>
      <c r="EJ727" s="1468">
        <f t="shared" si="27"/>
        <v>0</v>
      </c>
      <c r="EK727" s="1468"/>
      <c r="EL727" s="1468"/>
      <c r="EM727" s="1468"/>
      <c r="EN727" s="1468"/>
      <c r="EO727" s="1468">
        <f t="shared" si="28"/>
        <v>0</v>
      </c>
      <c r="EP727" s="1468"/>
      <c r="EQ727" s="1468"/>
      <c r="ER727" s="1468"/>
      <c r="ES727" s="1468"/>
      <c r="ET727" s="1468">
        <f t="shared" si="29"/>
        <v>0</v>
      </c>
      <c r="EU727" s="1468"/>
      <c r="EV727" s="1468"/>
      <c r="EW727" s="1468"/>
      <c r="EX727" s="1468"/>
      <c r="EY727" s="4"/>
      <c r="EZ727" s="1488" t="str">
        <f t="shared" si="30"/>
        <v/>
      </c>
      <c r="FA727" s="1495"/>
      <c r="FB727" s="1495"/>
      <c r="FC727" s="1495"/>
      <c r="FD727" s="1489"/>
      <c r="FE727" s="1488" t="str">
        <f t="shared" si="31"/>
        <v/>
      </c>
      <c r="FF727" s="1495"/>
      <c r="FG727" s="1495"/>
      <c r="FH727" s="1495"/>
      <c r="FI727" s="1489"/>
      <c r="FJ727" s="1488" t="str">
        <f t="shared" si="32"/>
        <v/>
      </c>
      <c r="FK727" s="1495"/>
      <c r="FL727" s="1495"/>
      <c r="FM727" s="1495"/>
      <c r="FN727" s="1489"/>
      <c r="FO727" s="1488">
        <f t="shared" si="33"/>
        <v>1838</v>
      </c>
      <c r="FP727" s="1495"/>
      <c r="FQ727" s="1495"/>
      <c r="FR727" s="1495"/>
      <c r="FS727" s="1489"/>
      <c r="FT727" s="1488" t="str">
        <f t="shared" si="34"/>
        <v/>
      </c>
      <c r="FU727" s="1495"/>
      <c r="FV727" s="1495"/>
      <c r="FW727" s="1495"/>
      <c r="FX727" s="1489"/>
      <c r="FY727" s="1488" t="str">
        <f t="shared" si="35"/>
        <v/>
      </c>
      <c r="FZ727" s="1495"/>
      <c r="GA727" s="1495"/>
      <c r="GB727" s="1495"/>
      <c r="GC727" s="1489"/>
    </row>
    <row r="728" spans="1:185" ht="13" customHeight="1">
      <c r="A728" s="4"/>
      <c r="B728" s="1353" t="s">
        <v>164</v>
      </c>
      <c r="C728" s="1354"/>
      <c r="D728" s="1354"/>
      <c r="E728" s="1354"/>
      <c r="F728" s="1355"/>
      <c r="G728" s="1357">
        <v>2</v>
      </c>
      <c r="H728" s="1358"/>
      <c r="I728" s="1358"/>
      <c r="J728" s="1359"/>
      <c r="K728" s="1367">
        <v>1057</v>
      </c>
      <c r="L728" s="1368"/>
      <c r="M728" s="1368"/>
      <c r="N728" s="1369"/>
      <c r="O728" s="1350">
        <v>1444</v>
      </c>
      <c r="P728" s="1351"/>
      <c r="Q728" s="1351"/>
      <c r="R728" s="1351"/>
      <c r="S728" s="1352"/>
      <c r="T728" s="1350">
        <v>131</v>
      </c>
      <c r="U728" s="1351"/>
      <c r="V728" s="1351"/>
      <c r="W728" s="1352"/>
      <c r="X728" s="1360">
        <f t="shared" si="8"/>
        <v>1575</v>
      </c>
      <c r="Y728" s="1361"/>
      <c r="Z728" s="1361"/>
      <c r="AA728" s="1361"/>
      <c r="AB728" s="1362"/>
      <c r="AC728" s="1347">
        <v>0.4</v>
      </c>
      <c r="AD728" s="1348"/>
      <c r="AE728" s="1348"/>
      <c r="AF728" s="1348"/>
      <c r="AG728" s="1349"/>
      <c r="AH728" s="1363">
        <f t="shared" si="36"/>
        <v>0.39994921279837481</v>
      </c>
      <c r="AI728" s="1364"/>
      <c r="AJ728" s="1365"/>
      <c r="AK728" s="1353" t="s">
        <v>591</v>
      </c>
      <c r="AL728" s="1354"/>
      <c r="AM728" s="1354"/>
      <c r="AN728" s="1354"/>
      <c r="AO728" s="1355"/>
      <c r="AP728" s="3"/>
      <c r="AQ728" s="3"/>
      <c r="AR728" s="3"/>
      <c r="AS728" s="3"/>
      <c r="AY728" s="1085"/>
      <c r="AZ728" s="118">
        <f t="shared" si="9"/>
        <v>3938</v>
      </c>
      <c r="BA728" s="3"/>
      <c r="BB728" s="3"/>
      <c r="BC728" s="3"/>
      <c r="BD728" s="3"/>
      <c r="BE728" s="204"/>
      <c r="BF728" s="294">
        <f t="shared" si="10"/>
        <v>2</v>
      </c>
      <c r="BG728" s="297">
        <f t="shared" si="11"/>
        <v>4.5454545454545456E-2</v>
      </c>
      <c r="BH728" s="298">
        <f t="shared" si="12"/>
        <v>1.8181818181818184E-2</v>
      </c>
      <c r="BI728" s="3"/>
      <c r="BJ728" s="3"/>
      <c r="BK728" s="3"/>
      <c r="BL728" s="3"/>
      <c r="BM728" s="3"/>
      <c r="BN728" s="3"/>
      <c r="BS728" s="294">
        <f t="shared" si="13"/>
        <v>2</v>
      </c>
      <c r="BT728" s="297">
        <f t="shared" si="14"/>
        <v>4.5454545454545456E-2</v>
      </c>
      <c r="BU728" s="298">
        <f t="shared" si="15"/>
        <v>1.8179509672653402E-2</v>
      </c>
      <c r="BV728" s="3"/>
      <c r="BW728" s="3"/>
      <c r="BX728" s="3"/>
      <c r="BY728" s="3"/>
      <c r="BZ728" s="3"/>
      <c r="CA728" s="3"/>
      <c r="CB728" s="3"/>
      <c r="CC728" s="3"/>
      <c r="CE728" s="3"/>
      <c r="CF728" s="3"/>
      <c r="CG728" s="1488">
        <f t="shared" si="37"/>
        <v>1</v>
      </c>
      <c r="CH728" s="1489"/>
      <c r="CI728" s="1493">
        <f t="shared" si="38"/>
        <v>2</v>
      </c>
      <c r="CJ728" s="1494"/>
      <c r="CK728" s="1488">
        <f t="shared" si="16"/>
        <v>0</v>
      </c>
      <c r="CL728" s="1489"/>
      <c r="CM728" s="1493">
        <f t="shared" si="17"/>
        <v>0</v>
      </c>
      <c r="CN728" s="1494"/>
      <c r="CO728" s="3"/>
      <c r="CP728" s="1490">
        <f t="shared" si="18"/>
        <v>0</v>
      </c>
      <c r="CQ728" s="1491"/>
      <c r="CR728" s="1491"/>
      <c r="CS728" s="1491"/>
      <c r="CT728" s="1492"/>
      <c r="CU728" s="1467">
        <f t="shared" si="19"/>
        <v>0</v>
      </c>
      <c r="CV728" s="1467"/>
      <c r="CW728" s="1467"/>
      <c r="CX728" s="1467"/>
      <c r="CY728" s="1467"/>
      <c r="CZ728" s="1467">
        <f t="shared" si="20"/>
        <v>0</v>
      </c>
      <c r="DA728" s="1467"/>
      <c r="DB728" s="1467"/>
      <c r="DC728" s="1467"/>
      <c r="DD728" s="1467"/>
      <c r="DE728" s="1467">
        <f t="shared" si="21"/>
        <v>2</v>
      </c>
      <c r="DF728" s="1467"/>
      <c r="DG728" s="1467"/>
      <c r="DH728" s="1467"/>
      <c r="DI728" s="1467"/>
      <c r="DJ728" s="1467">
        <f t="shared" si="22"/>
        <v>0</v>
      </c>
      <c r="DK728" s="1467"/>
      <c r="DL728" s="1467"/>
      <c r="DM728" s="1467"/>
      <c r="DN728" s="1467"/>
      <c r="DO728" s="1467">
        <f t="shared" si="23"/>
        <v>0</v>
      </c>
      <c r="DP728" s="1467"/>
      <c r="DQ728" s="1467"/>
      <c r="DR728" s="1467"/>
      <c r="DS728" s="1467"/>
      <c r="DT728" s="6"/>
      <c r="DU728" s="1468">
        <f t="shared" si="24"/>
        <v>0</v>
      </c>
      <c r="DV728" s="1468"/>
      <c r="DW728" s="1468"/>
      <c r="DX728" s="1468"/>
      <c r="DY728" s="1468"/>
      <c r="DZ728" s="1468">
        <f t="shared" si="25"/>
        <v>0</v>
      </c>
      <c r="EA728" s="1468"/>
      <c r="EB728" s="1468"/>
      <c r="EC728" s="1468"/>
      <c r="ED728" s="1468"/>
      <c r="EE728" s="1468">
        <f t="shared" si="26"/>
        <v>0</v>
      </c>
      <c r="EF728" s="1468"/>
      <c r="EG728" s="1468"/>
      <c r="EH728" s="1468"/>
      <c r="EI728" s="1468"/>
      <c r="EJ728" s="1468">
        <f t="shared" si="27"/>
        <v>0</v>
      </c>
      <c r="EK728" s="1468"/>
      <c r="EL728" s="1468"/>
      <c r="EM728" s="1468"/>
      <c r="EN728" s="1468"/>
      <c r="EO728" s="1468">
        <f t="shared" si="28"/>
        <v>0</v>
      </c>
      <c r="EP728" s="1468"/>
      <c r="EQ728" s="1468"/>
      <c r="ER728" s="1468"/>
      <c r="ES728" s="1468"/>
      <c r="ET728" s="1468">
        <f t="shared" si="29"/>
        <v>0</v>
      </c>
      <c r="EU728" s="1468"/>
      <c r="EV728" s="1468"/>
      <c r="EW728" s="1468"/>
      <c r="EX728" s="1468"/>
      <c r="EY728" s="4"/>
      <c r="EZ728" s="1488" t="str">
        <f t="shared" si="30"/>
        <v/>
      </c>
      <c r="FA728" s="1495"/>
      <c r="FB728" s="1495"/>
      <c r="FC728" s="1495"/>
      <c r="FD728" s="1489"/>
      <c r="FE728" s="1488" t="str">
        <f t="shared" si="31"/>
        <v/>
      </c>
      <c r="FF728" s="1495"/>
      <c r="FG728" s="1495"/>
      <c r="FH728" s="1495"/>
      <c r="FI728" s="1489"/>
      <c r="FJ728" s="1488" t="str">
        <f t="shared" si="32"/>
        <v/>
      </c>
      <c r="FK728" s="1495"/>
      <c r="FL728" s="1495"/>
      <c r="FM728" s="1495"/>
      <c r="FN728" s="1489"/>
      <c r="FO728" s="1488">
        <f t="shared" si="33"/>
        <v>1444</v>
      </c>
      <c r="FP728" s="1495"/>
      <c r="FQ728" s="1495"/>
      <c r="FR728" s="1495"/>
      <c r="FS728" s="1489"/>
      <c r="FT728" s="1488" t="str">
        <f t="shared" si="34"/>
        <v/>
      </c>
      <c r="FU728" s="1495"/>
      <c r="FV728" s="1495"/>
      <c r="FW728" s="1495"/>
      <c r="FX728" s="1489"/>
      <c r="FY728" s="1488" t="str">
        <f t="shared" si="35"/>
        <v/>
      </c>
      <c r="FZ728" s="1495"/>
      <c r="GA728" s="1495"/>
      <c r="GB728" s="1495"/>
      <c r="GC728" s="1489"/>
    </row>
    <row r="729" spans="1:185" ht="13" customHeight="1">
      <c r="A729" s="4"/>
      <c r="B729" s="1353" t="s">
        <v>164</v>
      </c>
      <c r="C729" s="1354"/>
      <c r="D729" s="1354"/>
      <c r="E729" s="1354"/>
      <c r="F729" s="1355"/>
      <c r="G729" s="1357">
        <v>3</v>
      </c>
      <c r="H729" s="1358"/>
      <c r="I729" s="1358"/>
      <c r="J729" s="1359"/>
      <c r="K729" s="1367">
        <v>1057</v>
      </c>
      <c r="L729" s="1368"/>
      <c r="M729" s="1368"/>
      <c r="N729" s="1369"/>
      <c r="O729" s="1350">
        <v>1050</v>
      </c>
      <c r="P729" s="1351"/>
      <c r="Q729" s="1351"/>
      <c r="R729" s="1351"/>
      <c r="S729" s="1352"/>
      <c r="T729" s="1350">
        <v>131</v>
      </c>
      <c r="U729" s="1351"/>
      <c r="V729" s="1351"/>
      <c r="W729" s="1352"/>
      <c r="X729" s="1360">
        <f t="shared" si="8"/>
        <v>1181</v>
      </c>
      <c r="Y729" s="1361"/>
      <c r="Z729" s="1361"/>
      <c r="AA729" s="1361"/>
      <c r="AB729" s="1362"/>
      <c r="AC729" s="1347">
        <v>0.3</v>
      </c>
      <c r="AD729" s="1348"/>
      <c r="AE729" s="1348"/>
      <c r="AF729" s="1348"/>
      <c r="AG729" s="1349"/>
      <c r="AH729" s="1363">
        <f t="shared" si="36"/>
        <v>0.29989842559674962</v>
      </c>
      <c r="AI729" s="1364"/>
      <c r="AJ729" s="1365"/>
      <c r="AK729" s="1353" t="s">
        <v>591</v>
      </c>
      <c r="AL729" s="1354"/>
      <c r="AM729" s="1354"/>
      <c r="AN729" s="1354"/>
      <c r="AO729" s="1355"/>
      <c r="AP729" s="3"/>
      <c r="AQ729" s="3"/>
      <c r="AR729" s="3"/>
      <c r="AS729" s="3"/>
      <c r="AY729" s="1085"/>
      <c r="AZ729" s="118">
        <f t="shared" si="9"/>
        <v>3938</v>
      </c>
      <c r="BA729" s="3"/>
      <c r="BB729" s="3"/>
      <c r="BC729" s="3"/>
      <c r="BD729" s="3"/>
      <c r="BE729" s="204"/>
      <c r="BF729" s="294">
        <f t="shared" si="10"/>
        <v>3</v>
      </c>
      <c r="BG729" s="297">
        <f t="shared" si="11"/>
        <v>6.8181818181818177E-2</v>
      </c>
      <c r="BH729" s="298">
        <f t="shared" si="12"/>
        <v>2.0454545454545451E-2</v>
      </c>
      <c r="BI729" s="3"/>
      <c r="BJ729" s="3"/>
      <c r="BK729" s="3"/>
      <c r="BL729" s="3"/>
      <c r="BM729" s="3"/>
      <c r="BN729" s="3"/>
      <c r="BS729" s="294">
        <f t="shared" si="13"/>
        <v>3</v>
      </c>
      <c r="BT729" s="297">
        <f t="shared" si="14"/>
        <v>6.8181818181818177E-2</v>
      </c>
      <c r="BU729" s="298">
        <f t="shared" si="15"/>
        <v>2.044761992705111E-2</v>
      </c>
      <c r="BV729" s="3"/>
      <c r="BW729" s="3"/>
      <c r="BX729" s="3"/>
      <c r="BY729" s="3"/>
      <c r="BZ729" s="3"/>
      <c r="CA729" s="3"/>
      <c r="CB729" s="3"/>
      <c r="CC729" s="3"/>
      <c r="CE729" s="3"/>
      <c r="CF729" s="3"/>
      <c r="CG729" s="1488">
        <f t="shared" si="37"/>
        <v>0</v>
      </c>
      <c r="CH729" s="1489"/>
      <c r="CI729" s="1493">
        <f t="shared" si="38"/>
        <v>0</v>
      </c>
      <c r="CJ729" s="1494"/>
      <c r="CK729" s="1488">
        <f t="shared" si="16"/>
        <v>1</v>
      </c>
      <c r="CL729" s="1489"/>
      <c r="CM729" s="1493">
        <f t="shared" si="17"/>
        <v>3</v>
      </c>
      <c r="CN729" s="1494"/>
      <c r="CO729" s="3"/>
      <c r="CP729" s="1490">
        <f t="shared" si="18"/>
        <v>0</v>
      </c>
      <c r="CQ729" s="1491"/>
      <c r="CR729" s="1491"/>
      <c r="CS729" s="1491"/>
      <c r="CT729" s="1492"/>
      <c r="CU729" s="1467">
        <f t="shared" si="19"/>
        <v>0</v>
      </c>
      <c r="CV729" s="1467"/>
      <c r="CW729" s="1467"/>
      <c r="CX729" s="1467"/>
      <c r="CY729" s="1467"/>
      <c r="CZ729" s="1467">
        <f t="shared" si="20"/>
        <v>0</v>
      </c>
      <c r="DA729" s="1467"/>
      <c r="DB729" s="1467"/>
      <c r="DC729" s="1467"/>
      <c r="DD729" s="1467"/>
      <c r="DE729" s="1467">
        <f t="shared" si="21"/>
        <v>3</v>
      </c>
      <c r="DF729" s="1467"/>
      <c r="DG729" s="1467"/>
      <c r="DH729" s="1467"/>
      <c r="DI729" s="1467"/>
      <c r="DJ729" s="1467">
        <f t="shared" si="22"/>
        <v>0</v>
      </c>
      <c r="DK729" s="1467"/>
      <c r="DL729" s="1467"/>
      <c r="DM729" s="1467"/>
      <c r="DN729" s="1467"/>
      <c r="DO729" s="1467">
        <f t="shared" si="23"/>
        <v>0</v>
      </c>
      <c r="DP729" s="1467"/>
      <c r="DQ729" s="1467"/>
      <c r="DR729" s="1467"/>
      <c r="DS729" s="1467"/>
      <c r="DT729" s="6"/>
      <c r="DU729" s="1468">
        <f t="shared" si="24"/>
        <v>0</v>
      </c>
      <c r="DV729" s="1468"/>
      <c r="DW729" s="1468"/>
      <c r="DX729" s="1468"/>
      <c r="DY729" s="1468"/>
      <c r="DZ729" s="1468">
        <f t="shared" si="25"/>
        <v>0</v>
      </c>
      <c r="EA729" s="1468"/>
      <c r="EB729" s="1468"/>
      <c r="EC729" s="1468"/>
      <c r="ED729" s="1468"/>
      <c r="EE729" s="1468">
        <f t="shared" si="26"/>
        <v>0</v>
      </c>
      <c r="EF729" s="1468"/>
      <c r="EG729" s="1468"/>
      <c r="EH729" s="1468"/>
      <c r="EI729" s="1468"/>
      <c r="EJ729" s="1468">
        <f t="shared" si="27"/>
        <v>3</v>
      </c>
      <c r="EK729" s="1468"/>
      <c r="EL729" s="1468"/>
      <c r="EM729" s="1468"/>
      <c r="EN729" s="1468"/>
      <c r="EO729" s="1468">
        <f t="shared" si="28"/>
        <v>0</v>
      </c>
      <c r="EP729" s="1468"/>
      <c r="EQ729" s="1468"/>
      <c r="ER729" s="1468"/>
      <c r="ES729" s="1468"/>
      <c r="ET729" s="1468">
        <f t="shared" si="29"/>
        <v>0</v>
      </c>
      <c r="EU729" s="1468"/>
      <c r="EV729" s="1468"/>
      <c r="EW729" s="1468"/>
      <c r="EX729" s="1468"/>
      <c r="EZ729" s="1488" t="str">
        <f t="shared" si="30"/>
        <v/>
      </c>
      <c r="FA729" s="1495"/>
      <c r="FB729" s="1495"/>
      <c r="FC729" s="1495"/>
      <c r="FD729" s="1489"/>
      <c r="FE729" s="1488" t="str">
        <f t="shared" si="31"/>
        <v/>
      </c>
      <c r="FF729" s="1495"/>
      <c r="FG729" s="1495"/>
      <c r="FH729" s="1495"/>
      <c r="FI729" s="1489"/>
      <c r="FJ729" s="1488" t="str">
        <f t="shared" si="32"/>
        <v/>
      </c>
      <c r="FK729" s="1495"/>
      <c r="FL729" s="1495"/>
      <c r="FM729" s="1495"/>
      <c r="FN729" s="1489"/>
      <c r="FO729" s="1488">
        <f t="shared" si="33"/>
        <v>1050</v>
      </c>
      <c r="FP729" s="1495"/>
      <c r="FQ729" s="1495"/>
      <c r="FR729" s="1495"/>
      <c r="FS729" s="1489"/>
      <c r="FT729" s="1488" t="str">
        <f t="shared" si="34"/>
        <v/>
      </c>
      <c r="FU729" s="1495"/>
      <c r="FV729" s="1495"/>
      <c r="FW729" s="1495"/>
      <c r="FX729" s="1489"/>
      <c r="FY729" s="1488" t="str">
        <f t="shared" si="35"/>
        <v/>
      </c>
      <c r="FZ729" s="1495"/>
      <c r="GA729" s="1495"/>
      <c r="GB729" s="1495"/>
      <c r="GC729" s="1489"/>
    </row>
    <row r="730" spans="1:185" ht="13" customHeight="1">
      <c r="B730" s="1353"/>
      <c r="C730" s="1354"/>
      <c r="D730" s="1354"/>
      <c r="E730" s="1354"/>
      <c r="F730" s="1355"/>
      <c r="G730" s="1357"/>
      <c r="H730" s="1358"/>
      <c r="I730" s="1358"/>
      <c r="J730" s="1359"/>
      <c r="K730" s="1367"/>
      <c r="L730" s="1368"/>
      <c r="M730" s="1368"/>
      <c r="N730" s="1369"/>
      <c r="O730" s="1350"/>
      <c r="P730" s="1351"/>
      <c r="Q730" s="1351"/>
      <c r="R730" s="1351"/>
      <c r="S730" s="1352"/>
      <c r="T730" s="1350"/>
      <c r="U730" s="1351"/>
      <c r="V730" s="1351"/>
      <c r="W730" s="1352"/>
      <c r="X730" s="1360">
        <f t="shared" si="8"/>
        <v>0</v>
      </c>
      <c r="Y730" s="1361"/>
      <c r="Z730" s="1361"/>
      <c r="AA730" s="1361"/>
      <c r="AB730" s="1362"/>
      <c r="AC730" s="1347"/>
      <c r="AD730" s="1348"/>
      <c r="AE730" s="1348"/>
      <c r="AF730" s="1348"/>
      <c r="AG730" s="1349"/>
      <c r="AH730" s="1363" t="str">
        <f t="shared" si="36"/>
        <v/>
      </c>
      <c r="AI730" s="1364"/>
      <c r="AJ730" s="1365"/>
      <c r="AK730" s="1353" t="s">
        <v>591</v>
      </c>
      <c r="AL730" s="1354"/>
      <c r="AM730" s="1354"/>
      <c r="AN730" s="1354"/>
      <c r="AO730" s="1355"/>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88">
        <f t="shared" si="37"/>
        <v>0</v>
      </c>
      <c r="CH730" s="1489"/>
      <c r="CI730" s="1493">
        <f t="shared" si="38"/>
        <v>0</v>
      </c>
      <c r="CJ730" s="1494"/>
      <c r="CK730" s="1488">
        <f t="shared" si="16"/>
        <v>0</v>
      </c>
      <c r="CL730" s="1489"/>
      <c r="CM730" s="1493">
        <f t="shared" si="17"/>
        <v>0</v>
      </c>
      <c r="CN730" s="1494"/>
      <c r="CO730" s="3"/>
      <c r="CP730" s="1490">
        <f t="shared" si="18"/>
        <v>0</v>
      </c>
      <c r="CQ730" s="1491"/>
      <c r="CR730" s="1491"/>
      <c r="CS730" s="1491"/>
      <c r="CT730" s="1492"/>
      <c r="CU730" s="1467">
        <f t="shared" si="19"/>
        <v>0</v>
      </c>
      <c r="CV730" s="1467"/>
      <c r="CW730" s="1467"/>
      <c r="CX730" s="1467"/>
      <c r="CY730" s="1467"/>
      <c r="CZ730" s="1467">
        <f t="shared" si="20"/>
        <v>0</v>
      </c>
      <c r="DA730" s="1467"/>
      <c r="DB730" s="1467"/>
      <c r="DC730" s="1467"/>
      <c r="DD730" s="1467"/>
      <c r="DE730" s="1467">
        <f t="shared" si="21"/>
        <v>0</v>
      </c>
      <c r="DF730" s="1467"/>
      <c r="DG730" s="1467"/>
      <c r="DH730" s="1467"/>
      <c r="DI730" s="1467"/>
      <c r="DJ730" s="1467">
        <f t="shared" si="22"/>
        <v>0</v>
      </c>
      <c r="DK730" s="1467"/>
      <c r="DL730" s="1467"/>
      <c r="DM730" s="1467"/>
      <c r="DN730" s="1467"/>
      <c r="DO730" s="1467">
        <f t="shared" si="23"/>
        <v>0</v>
      </c>
      <c r="DP730" s="1467"/>
      <c r="DQ730" s="1467"/>
      <c r="DR730" s="1467"/>
      <c r="DS730" s="1467"/>
      <c r="DT730" s="6"/>
      <c r="DU730" s="1468">
        <f t="shared" si="24"/>
        <v>0</v>
      </c>
      <c r="DV730" s="1468"/>
      <c r="DW730" s="1468"/>
      <c r="DX730" s="1468"/>
      <c r="DY730" s="1468"/>
      <c r="DZ730" s="1468">
        <f t="shared" si="25"/>
        <v>0</v>
      </c>
      <c r="EA730" s="1468"/>
      <c r="EB730" s="1468"/>
      <c r="EC730" s="1468"/>
      <c r="ED730" s="1468"/>
      <c r="EE730" s="1468">
        <f t="shared" si="26"/>
        <v>0</v>
      </c>
      <c r="EF730" s="1468"/>
      <c r="EG730" s="1468"/>
      <c r="EH730" s="1468"/>
      <c r="EI730" s="1468"/>
      <c r="EJ730" s="1468">
        <f t="shared" si="27"/>
        <v>0</v>
      </c>
      <c r="EK730" s="1468"/>
      <c r="EL730" s="1468"/>
      <c r="EM730" s="1468"/>
      <c r="EN730" s="1468"/>
      <c r="EO730" s="1468">
        <f t="shared" si="28"/>
        <v>0</v>
      </c>
      <c r="EP730" s="1468"/>
      <c r="EQ730" s="1468"/>
      <c r="ER730" s="1468"/>
      <c r="ES730" s="1468"/>
      <c r="ET730" s="1468">
        <f t="shared" si="29"/>
        <v>0</v>
      </c>
      <c r="EU730" s="1468"/>
      <c r="EV730" s="1468"/>
      <c r="EW730" s="1468"/>
      <c r="EX730" s="1468"/>
      <c r="EZ730" s="1488" t="str">
        <f t="shared" si="30"/>
        <v/>
      </c>
      <c r="FA730" s="1495"/>
      <c r="FB730" s="1495"/>
      <c r="FC730" s="1495"/>
      <c r="FD730" s="1489"/>
      <c r="FE730" s="1488" t="str">
        <f t="shared" si="31"/>
        <v/>
      </c>
      <c r="FF730" s="1495"/>
      <c r="FG730" s="1495"/>
      <c r="FH730" s="1495"/>
      <c r="FI730" s="1489"/>
      <c r="FJ730" s="1488" t="str">
        <f t="shared" si="32"/>
        <v/>
      </c>
      <c r="FK730" s="1495"/>
      <c r="FL730" s="1495"/>
      <c r="FM730" s="1495"/>
      <c r="FN730" s="1489"/>
      <c r="FO730" s="1488" t="str">
        <f t="shared" si="33"/>
        <v/>
      </c>
      <c r="FP730" s="1495"/>
      <c r="FQ730" s="1495"/>
      <c r="FR730" s="1495"/>
      <c r="FS730" s="1489"/>
      <c r="FT730" s="1488" t="str">
        <f t="shared" si="34"/>
        <v/>
      </c>
      <c r="FU730" s="1495"/>
      <c r="FV730" s="1495"/>
      <c r="FW730" s="1495"/>
      <c r="FX730" s="1489"/>
      <c r="FY730" s="1488" t="str">
        <f t="shared" si="35"/>
        <v/>
      </c>
      <c r="FZ730" s="1495"/>
      <c r="GA730" s="1495"/>
      <c r="GB730" s="1495"/>
      <c r="GC730" s="1489"/>
    </row>
    <row r="731" spans="1:185" ht="13" customHeight="1">
      <c r="B731" s="1353"/>
      <c r="C731" s="1354"/>
      <c r="D731" s="1354"/>
      <c r="E731" s="1354"/>
      <c r="F731" s="1355"/>
      <c r="G731" s="1357"/>
      <c r="H731" s="1358"/>
      <c r="I731" s="1358"/>
      <c r="J731" s="1359"/>
      <c r="K731" s="1367"/>
      <c r="L731" s="1368"/>
      <c r="M731" s="1368"/>
      <c r="N731" s="1369"/>
      <c r="O731" s="1350"/>
      <c r="P731" s="1351"/>
      <c r="Q731" s="1351"/>
      <c r="R731" s="1351"/>
      <c r="S731" s="1352"/>
      <c r="T731" s="1350"/>
      <c r="U731" s="1351"/>
      <c r="V731" s="1351"/>
      <c r="W731" s="1352"/>
      <c r="X731" s="1360">
        <f t="shared" si="8"/>
        <v>0</v>
      </c>
      <c r="Y731" s="1361"/>
      <c r="Z731" s="1361"/>
      <c r="AA731" s="1361"/>
      <c r="AB731" s="1362"/>
      <c r="AC731" s="1347"/>
      <c r="AD731" s="1348"/>
      <c r="AE731" s="1348"/>
      <c r="AF731" s="1348"/>
      <c r="AG731" s="1349"/>
      <c r="AH731" s="1363" t="str">
        <f t="shared" si="36"/>
        <v/>
      </c>
      <c r="AI731" s="1364"/>
      <c r="AJ731" s="1365"/>
      <c r="AK731" s="1353" t="s">
        <v>591</v>
      </c>
      <c r="AL731" s="1354"/>
      <c r="AM731" s="1354"/>
      <c r="AN731" s="1354"/>
      <c r="AO731" s="1355"/>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88">
        <f t="shared" si="37"/>
        <v>0</v>
      </c>
      <c r="CH731" s="1489"/>
      <c r="CI731" s="1493">
        <f t="shared" si="38"/>
        <v>0</v>
      </c>
      <c r="CJ731" s="1494"/>
      <c r="CK731" s="1488">
        <f t="shared" si="16"/>
        <v>0</v>
      </c>
      <c r="CL731" s="1489"/>
      <c r="CM731" s="1493">
        <f t="shared" si="17"/>
        <v>0</v>
      </c>
      <c r="CN731" s="1494"/>
      <c r="CO731" s="3"/>
      <c r="CP731" s="1490">
        <f t="shared" si="18"/>
        <v>0</v>
      </c>
      <c r="CQ731" s="1491"/>
      <c r="CR731" s="1491"/>
      <c r="CS731" s="1491"/>
      <c r="CT731" s="1492"/>
      <c r="CU731" s="1467">
        <f t="shared" si="19"/>
        <v>0</v>
      </c>
      <c r="CV731" s="1467"/>
      <c r="CW731" s="1467"/>
      <c r="CX731" s="1467"/>
      <c r="CY731" s="1467"/>
      <c r="CZ731" s="1467">
        <f t="shared" si="20"/>
        <v>0</v>
      </c>
      <c r="DA731" s="1467"/>
      <c r="DB731" s="1467"/>
      <c r="DC731" s="1467"/>
      <c r="DD731" s="1467"/>
      <c r="DE731" s="1467">
        <f t="shared" si="21"/>
        <v>0</v>
      </c>
      <c r="DF731" s="1467"/>
      <c r="DG731" s="1467"/>
      <c r="DH731" s="1467"/>
      <c r="DI731" s="1467"/>
      <c r="DJ731" s="1467">
        <f t="shared" si="22"/>
        <v>0</v>
      </c>
      <c r="DK731" s="1467"/>
      <c r="DL731" s="1467"/>
      <c r="DM731" s="1467"/>
      <c r="DN731" s="1467"/>
      <c r="DO731" s="1467">
        <f t="shared" si="23"/>
        <v>0</v>
      </c>
      <c r="DP731" s="1467"/>
      <c r="DQ731" s="1467"/>
      <c r="DR731" s="1467"/>
      <c r="DS731" s="1467"/>
      <c r="DT731" s="6"/>
      <c r="DU731" s="1468">
        <f t="shared" si="24"/>
        <v>0</v>
      </c>
      <c r="DV731" s="1468"/>
      <c r="DW731" s="1468"/>
      <c r="DX731" s="1468"/>
      <c r="DY731" s="1468"/>
      <c r="DZ731" s="1468">
        <f t="shared" si="25"/>
        <v>0</v>
      </c>
      <c r="EA731" s="1468"/>
      <c r="EB731" s="1468"/>
      <c r="EC731" s="1468"/>
      <c r="ED731" s="1468"/>
      <c r="EE731" s="1468">
        <f t="shared" si="26"/>
        <v>0</v>
      </c>
      <c r="EF731" s="1468"/>
      <c r="EG731" s="1468"/>
      <c r="EH731" s="1468"/>
      <c r="EI731" s="1468"/>
      <c r="EJ731" s="1468">
        <f t="shared" si="27"/>
        <v>0</v>
      </c>
      <c r="EK731" s="1468"/>
      <c r="EL731" s="1468"/>
      <c r="EM731" s="1468"/>
      <c r="EN731" s="1468"/>
      <c r="EO731" s="1468">
        <f t="shared" si="28"/>
        <v>0</v>
      </c>
      <c r="EP731" s="1468"/>
      <c r="EQ731" s="1468"/>
      <c r="ER731" s="1468"/>
      <c r="ES731" s="1468"/>
      <c r="ET731" s="1468">
        <f t="shared" si="29"/>
        <v>0</v>
      </c>
      <c r="EU731" s="1468"/>
      <c r="EV731" s="1468"/>
      <c r="EW731" s="1468"/>
      <c r="EX731" s="1468"/>
      <c r="EZ731" s="1488" t="str">
        <f t="shared" si="30"/>
        <v/>
      </c>
      <c r="FA731" s="1495"/>
      <c r="FB731" s="1495"/>
      <c r="FC731" s="1495"/>
      <c r="FD731" s="1489"/>
      <c r="FE731" s="1488" t="str">
        <f t="shared" si="31"/>
        <v/>
      </c>
      <c r="FF731" s="1495"/>
      <c r="FG731" s="1495"/>
      <c r="FH731" s="1495"/>
      <c r="FI731" s="1489"/>
      <c r="FJ731" s="1488" t="str">
        <f t="shared" si="32"/>
        <v/>
      </c>
      <c r="FK731" s="1495"/>
      <c r="FL731" s="1495"/>
      <c r="FM731" s="1495"/>
      <c r="FN731" s="1489"/>
      <c r="FO731" s="1488" t="str">
        <f t="shared" si="33"/>
        <v/>
      </c>
      <c r="FP731" s="1495"/>
      <c r="FQ731" s="1495"/>
      <c r="FR731" s="1495"/>
      <c r="FS731" s="1489"/>
      <c r="FT731" s="1488" t="str">
        <f t="shared" si="34"/>
        <v/>
      </c>
      <c r="FU731" s="1495"/>
      <c r="FV731" s="1495"/>
      <c r="FW731" s="1495"/>
      <c r="FX731" s="1489"/>
      <c r="FY731" s="1488" t="str">
        <f t="shared" si="35"/>
        <v/>
      </c>
      <c r="FZ731" s="1495"/>
      <c r="GA731" s="1495"/>
      <c r="GB731" s="1495"/>
      <c r="GC731" s="1489"/>
    </row>
    <row r="732" spans="1:185" ht="13" customHeight="1">
      <c r="B732" s="1353"/>
      <c r="C732" s="1354"/>
      <c r="D732" s="1354"/>
      <c r="E732" s="1354"/>
      <c r="F732" s="1355"/>
      <c r="G732" s="1357"/>
      <c r="H732" s="1358"/>
      <c r="I732" s="1358"/>
      <c r="J732" s="1359"/>
      <c r="K732" s="1367"/>
      <c r="L732" s="1368"/>
      <c r="M732" s="1368"/>
      <c r="N732" s="1369"/>
      <c r="O732" s="1350"/>
      <c r="P732" s="1351"/>
      <c r="Q732" s="1351"/>
      <c r="R732" s="1351"/>
      <c r="S732" s="1352"/>
      <c r="T732" s="1350"/>
      <c r="U732" s="1351"/>
      <c r="V732" s="1351"/>
      <c r="W732" s="1352"/>
      <c r="X732" s="1360">
        <f t="shared" si="8"/>
        <v>0</v>
      </c>
      <c r="Y732" s="1361"/>
      <c r="Z732" s="1361"/>
      <c r="AA732" s="1361"/>
      <c r="AB732" s="1362"/>
      <c r="AC732" s="1347"/>
      <c r="AD732" s="1348"/>
      <c r="AE732" s="1348"/>
      <c r="AF732" s="1348"/>
      <c r="AG732" s="1349"/>
      <c r="AH732" s="1363" t="str">
        <f t="shared" si="36"/>
        <v/>
      </c>
      <c r="AI732" s="1364"/>
      <c r="AJ732" s="1365"/>
      <c r="AK732" s="1353" t="s">
        <v>591</v>
      </c>
      <c r="AL732" s="1354"/>
      <c r="AM732" s="1354"/>
      <c r="AN732" s="1354"/>
      <c r="AO732" s="1355"/>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88">
        <f t="shared" si="37"/>
        <v>0</v>
      </c>
      <c r="CH732" s="1489"/>
      <c r="CI732" s="1493">
        <f t="shared" si="38"/>
        <v>0</v>
      </c>
      <c r="CJ732" s="1494"/>
      <c r="CK732" s="1488">
        <f t="shared" si="16"/>
        <v>0</v>
      </c>
      <c r="CL732" s="1489"/>
      <c r="CM732" s="1493">
        <f t="shared" si="17"/>
        <v>0</v>
      </c>
      <c r="CN732" s="1494"/>
      <c r="CO732" s="3"/>
      <c r="CP732" s="1490">
        <f t="shared" si="18"/>
        <v>0</v>
      </c>
      <c r="CQ732" s="1491"/>
      <c r="CR732" s="1491"/>
      <c r="CS732" s="1491"/>
      <c r="CT732" s="1492"/>
      <c r="CU732" s="1467">
        <f t="shared" si="19"/>
        <v>0</v>
      </c>
      <c r="CV732" s="1467"/>
      <c r="CW732" s="1467"/>
      <c r="CX732" s="1467"/>
      <c r="CY732" s="1467"/>
      <c r="CZ732" s="1467">
        <f t="shared" si="20"/>
        <v>0</v>
      </c>
      <c r="DA732" s="1467"/>
      <c r="DB732" s="1467"/>
      <c r="DC732" s="1467"/>
      <c r="DD732" s="1467"/>
      <c r="DE732" s="1467">
        <f t="shared" si="21"/>
        <v>0</v>
      </c>
      <c r="DF732" s="1467"/>
      <c r="DG732" s="1467"/>
      <c r="DH732" s="1467"/>
      <c r="DI732" s="1467"/>
      <c r="DJ732" s="1467">
        <f t="shared" si="22"/>
        <v>0</v>
      </c>
      <c r="DK732" s="1467"/>
      <c r="DL732" s="1467"/>
      <c r="DM732" s="1467"/>
      <c r="DN732" s="1467"/>
      <c r="DO732" s="1467">
        <f t="shared" si="23"/>
        <v>0</v>
      </c>
      <c r="DP732" s="1467"/>
      <c r="DQ732" s="1467"/>
      <c r="DR732" s="1467"/>
      <c r="DS732" s="1467"/>
      <c r="DT732" s="6"/>
      <c r="DU732" s="1468">
        <f t="shared" si="24"/>
        <v>0</v>
      </c>
      <c r="DV732" s="1468"/>
      <c r="DW732" s="1468"/>
      <c r="DX732" s="1468"/>
      <c r="DY732" s="1468"/>
      <c r="DZ732" s="1468">
        <f t="shared" si="25"/>
        <v>0</v>
      </c>
      <c r="EA732" s="1468"/>
      <c r="EB732" s="1468"/>
      <c r="EC732" s="1468"/>
      <c r="ED732" s="1468"/>
      <c r="EE732" s="1468">
        <f t="shared" si="26"/>
        <v>0</v>
      </c>
      <c r="EF732" s="1468"/>
      <c r="EG732" s="1468"/>
      <c r="EH732" s="1468"/>
      <c r="EI732" s="1468"/>
      <c r="EJ732" s="1468">
        <f t="shared" si="27"/>
        <v>0</v>
      </c>
      <c r="EK732" s="1468"/>
      <c r="EL732" s="1468"/>
      <c r="EM732" s="1468"/>
      <c r="EN732" s="1468"/>
      <c r="EO732" s="1468">
        <f t="shared" si="28"/>
        <v>0</v>
      </c>
      <c r="EP732" s="1468"/>
      <c r="EQ732" s="1468"/>
      <c r="ER732" s="1468"/>
      <c r="ES732" s="1468"/>
      <c r="ET732" s="1468">
        <f t="shared" si="29"/>
        <v>0</v>
      </c>
      <c r="EU732" s="1468"/>
      <c r="EV732" s="1468"/>
      <c r="EW732" s="1468"/>
      <c r="EX732" s="1468"/>
      <c r="EZ732" s="1488" t="str">
        <f t="shared" si="30"/>
        <v/>
      </c>
      <c r="FA732" s="1495"/>
      <c r="FB732" s="1495"/>
      <c r="FC732" s="1495"/>
      <c r="FD732" s="1489"/>
      <c r="FE732" s="1488" t="str">
        <f t="shared" si="31"/>
        <v/>
      </c>
      <c r="FF732" s="1495"/>
      <c r="FG732" s="1495"/>
      <c r="FH732" s="1495"/>
      <c r="FI732" s="1489"/>
      <c r="FJ732" s="1488" t="str">
        <f t="shared" si="32"/>
        <v/>
      </c>
      <c r="FK732" s="1495"/>
      <c r="FL732" s="1495"/>
      <c r="FM732" s="1495"/>
      <c r="FN732" s="1489"/>
      <c r="FO732" s="1488" t="str">
        <f t="shared" si="33"/>
        <v/>
      </c>
      <c r="FP732" s="1495"/>
      <c r="FQ732" s="1495"/>
      <c r="FR732" s="1495"/>
      <c r="FS732" s="1489"/>
      <c r="FT732" s="1488" t="str">
        <f t="shared" si="34"/>
        <v/>
      </c>
      <c r="FU732" s="1495"/>
      <c r="FV732" s="1495"/>
      <c r="FW732" s="1495"/>
      <c r="FX732" s="1489"/>
      <c r="FY732" s="1488" t="str">
        <f t="shared" si="35"/>
        <v/>
      </c>
      <c r="FZ732" s="1495"/>
      <c r="GA732" s="1495"/>
      <c r="GB732" s="1495"/>
      <c r="GC732" s="1489"/>
    </row>
    <row r="733" spans="1:185" ht="13" customHeight="1">
      <c r="B733" s="1353"/>
      <c r="C733" s="1354"/>
      <c r="D733" s="1354"/>
      <c r="E733" s="1354"/>
      <c r="F733" s="1355"/>
      <c r="G733" s="1357"/>
      <c r="H733" s="1358"/>
      <c r="I733" s="1358"/>
      <c r="J733" s="1359"/>
      <c r="K733" s="1367"/>
      <c r="L733" s="1368"/>
      <c r="M733" s="1368"/>
      <c r="N733" s="1369"/>
      <c r="O733" s="1350"/>
      <c r="P733" s="1351"/>
      <c r="Q733" s="1351"/>
      <c r="R733" s="1351"/>
      <c r="S733" s="1352"/>
      <c r="T733" s="1350"/>
      <c r="U733" s="1351"/>
      <c r="V733" s="1351"/>
      <c r="W733" s="1352"/>
      <c r="X733" s="1360">
        <f t="shared" si="8"/>
        <v>0</v>
      </c>
      <c r="Y733" s="1361"/>
      <c r="Z733" s="1361"/>
      <c r="AA733" s="1361"/>
      <c r="AB733" s="1362"/>
      <c r="AC733" s="1347"/>
      <c r="AD733" s="1348"/>
      <c r="AE733" s="1348"/>
      <c r="AF733" s="1348"/>
      <c r="AG733" s="1349"/>
      <c r="AH733" s="1363" t="str">
        <f t="shared" si="36"/>
        <v/>
      </c>
      <c r="AI733" s="1364"/>
      <c r="AJ733" s="1365"/>
      <c r="AK733" s="1353" t="s">
        <v>591</v>
      </c>
      <c r="AL733" s="1354"/>
      <c r="AM733" s="1354"/>
      <c r="AN733" s="1354"/>
      <c r="AO733" s="1355"/>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88">
        <f t="shared" si="37"/>
        <v>0</v>
      </c>
      <c r="CH733" s="1489"/>
      <c r="CI733" s="1493">
        <f t="shared" si="38"/>
        <v>0</v>
      </c>
      <c r="CJ733" s="1494"/>
      <c r="CK733" s="1488">
        <f t="shared" si="16"/>
        <v>0</v>
      </c>
      <c r="CL733" s="1489"/>
      <c r="CM733" s="1493">
        <f t="shared" si="17"/>
        <v>0</v>
      </c>
      <c r="CN733" s="1494"/>
      <c r="CO733" s="3"/>
      <c r="CP733" s="1490">
        <f t="shared" si="18"/>
        <v>0</v>
      </c>
      <c r="CQ733" s="1491"/>
      <c r="CR733" s="1491"/>
      <c r="CS733" s="1491"/>
      <c r="CT733" s="1492"/>
      <c r="CU733" s="1467">
        <f t="shared" si="19"/>
        <v>0</v>
      </c>
      <c r="CV733" s="1467"/>
      <c r="CW733" s="1467"/>
      <c r="CX733" s="1467"/>
      <c r="CY733" s="1467"/>
      <c r="CZ733" s="1467">
        <f t="shared" si="20"/>
        <v>0</v>
      </c>
      <c r="DA733" s="1467"/>
      <c r="DB733" s="1467"/>
      <c r="DC733" s="1467"/>
      <c r="DD733" s="1467"/>
      <c r="DE733" s="1467">
        <f t="shared" si="21"/>
        <v>0</v>
      </c>
      <c r="DF733" s="1467"/>
      <c r="DG733" s="1467"/>
      <c r="DH733" s="1467"/>
      <c r="DI733" s="1467"/>
      <c r="DJ733" s="1467">
        <f t="shared" si="22"/>
        <v>0</v>
      </c>
      <c r="DK733" s="1467"/>
      <c r="DL733" s="1467"/>
      <c r="DM733" s="1467"/>
      <c r="DN733" s="1467"/>
      <c r="DO733" s="1467">
        <f t="shared" si="23"/>
        <v>0</v>
      </c>
      <c r="DP733" s="1467"/>
      <c r="DQ733" s="1467"/>
      <c r="DR733" s="1467"/>
      <c r="DS733" s="1467"/>
      <c r="DT733" s="6"/>
      <c r="DU733" s="1468">
        <f t="shared" si="24"/>
        <v>0</v>
      </c>
      <c r="DV733" s="1468"/>
      <c r="DW733" s="1468"/>
      <c r="DX733" s="1468"/>
      <c r="DY733" s="1468"/>
      <c r="DZ733" s="1468">
        <f t="shared" si="25"/>
        <v>0</v>
      </c>
      <c r="EA733" s="1468"/>
      <c r="EB733" s="1468"/>
      <c r="EC733" s="1468"/>
      <c r="ED733" s="1468"/>
      <c r="EE733" s="1468">
        <f t="shared" si="26"/>
        <v>0</v>
      </c>
      <c r="EF733" s="1468"/>
      <c r="EG733" s="1468"/>
      <c r="EH733" s="1468"/>
      <c r="EI733" s="1468"/>
      <c r="EJ733" s="1468">
        <f t="shared" si="27"/>
        <v>0</v>
      </c>
      <c r="EK733" s="1468"/>
      <c r="EL733" s="1468"/>
      <c r="EM733" s="1468"/>
      <c r="EN733" s="1468"/>
      <c r="EO733" s="1468">
        <f t="shared" si="28"/>
        <v>0</v>
      </c>
      <c r="EP733" s="1468"/>
      <c r="EQ733" s="1468"/>
      <c r="ER733" s="1468"/>
      <c r="ES733" s="1468"/>
      <c r="ET733" s="1468">
        <f t="shared" si="29"/>
        <v>0</v>
      </c>
      <c r="EU733" s="1468"/>
      <c r="EV733" s="1468"/>
      <c r="EW733" s="1468"/>
      <c r="EX733" s="1468"/>
      <c r="EZ733" s="1488" t="str">
        <f t="shared" si="30"/>
        <v/>
      </c>
      <c r="FA733" s="1495"/>
      <c r="FB733" s="1495"/>
      <c r="FC733" s="1495"/>
      <c r="FD733" s="1489"/>
      <c r="FE733" s="1488" t="str">
        <f t="shared" si="31"/>
        <v/>
      </c>
      <c r="FF733" s="1495"/>
      <c r="FG733" s="1495"/>
      <c r="FH733" s="1495"/>
      <c r="FI733" s="1489"/>
      <c r="FJ733" s="1488" t="str">
        <f t="shared" si="32"/>
        <v/>
      </c>
      <c r="FK733" s="1495"/>
      <c r="FL733" s="1495"/>
      <c r="FM733" s="1495"/>
      <c r="FN733" s="1489"/>
      <c r="FO733" s="1488" t="str">
        <f t="shared" si="33"/>
        <v/>
      </c>
      <c r="FP733" s="1495"/>
      <c r="FQ733" s="1495"/>
      <c r="FR733" s="1495"/>
      <c r="FS733" s="1489"/>
      <c r="FT733" s="1488" t="str">
        <f t="shared" si="34"/>
        <v/>
      </c>
      <c r="FU733" s="1495"/>
      <c r="FV733" s="1495"/>
      <c r="FW733" s="1495"/>
      <c r="FX733" s="1489"/>
      <c r="FY733" s="1488" t="str">
        <f t="shared" si="35"/>
        <v/>
      </c>
      <c r="FZ733" s="1495"/>
      <c r="GA733" s="1495"/>
      <c r="GB733" s="1495"/>
      <c r="GC733" s="1489"/>
    </row>
    <row r="734" spans="1:185" ht="13" customHeight="1">
      <c r="B734" s="1353"/>
      <c r="C734" s="1354"/>
      <c r="D734" s="1354"/>
      <c r="E734" s="1354"/>
      <c r="F734" s="1355"/>
      <c r="G734" s="1357"/>
      <c r="H734" s="1358"/>
      <c r="I734" s="1358"/>
      <c r="J734" s="1359"/>
      <c r="K734" s="1367"/>
      <c r="L734" s="1368"/>
      <c r="M734" s="1368"/>
      <c r="N734" s="1369"/>
      <c r="O734" s="1350"/>
      <c r="P734" s="1351"/>
      <c r="Q734" s="1351"/>
      <c r="R734" s="1351"/>
      <c r="S734" s="1352"/>
      <c r="T734" s="1350"/>
      <c r="U734" s="1351"/>
      <c r="V734" s="1351"/>
      <c r="W734" s="1352"/>
      <c r="X734" s="1360">
        <f t="shared" si="8"/>
        <v>0</v>
      </c>
      <c r="Y734" s="1361"/>
      <c r="Z734" s="1361"/>
      <c r="AA734" s="1361"/>
      <c r="AB734" s="1362"/>
      <c r="AC734" s="1347"/>
      <c r="AD734" s="1348"/>
      <c r="AE734" s="1348"/>
      <c r="AF734" s="1348"/>
      <c r="AG734" s="1349"/>
      <c r="AH734" s="1363" t="str">
        <f t="shared" si="36"/>
        <v/>
      </c>
      <c r="AI734" s="1364"/>
      <c r="AJ734" s="1365"/>
      <c r="AK734" s="1353" t="s">
        <v>591</v>
      </c>
      <c r="AL734" s="1354"/>
      <c r="AM734" s="1354"/>
      <c r="AN734" s="1354"/>
      <c r="AO734" s="1355"/>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88">
        <f t="shared" si="37"/>
        <v>0</v>
      </c>
      <c r="CH734" s="1489"/>
      <c r="CI734" s="1493">
        <f t="shared" si="38"/>
        <v>0</v>
      </c>
      <c r="CJ734" s="1494"/>
      <c r="CK734" s="1488">
        <f t="shared" si="16"/>
        <v>0</v>
      </c>
      <c r="CL734" s="1489"/>
      <c r="CM734" s="1493">
        <f t="shared" si="17"/>
        <v>0</v>
      </c>
      <c r="CN734" s="1494"/>
      <c r="CO734" s="3"/>
      <c r="CP734" s="1490">
        <f t="shared" si="18"/>
        <v>0</v>
      </c>
      <c r="CQ734" s="1491"/>
      <c r="CR734" s="1491"/>
      <c r="CS734" s="1491"/>
      <c r="CT734" s="1492"/>
      <c r="CU734" s="1467">
        <f t="shared" si="19"/>
        <v>0</v>
      </c>
      <c r="CV734" s="1467"/>
      <c r="CW734" s="1467"/>
      <c r="CX734" s="1467"/>
      <c r="CY734" s="1467"/>
      <c r="CZ734" s="1467">
        <f t="shared" si="20"/>
        <v>0</v>
      </c>
      <c r="DA734" s="1467"/>
      <c r="DB734" s="1467"/>
      <c r="DC734" s="1467"/>
      <c r="DD734" s="1467"/>
      <c r="DE734" s="1467">
        <f t="shared" si="21"/>
        <v>0</v>
      </c>
      <c r="DF734" s="1467"/>
      <c r="DG734" s="1467"/>
      <c r="DH734" s="1467"/>
      <c r="DI734" s="1467"/>
      <c r="DJ734" s="1467">
        <f t="shared" si="22"/>
        <v>0</v>
      </c>
      <c r="DK734" s="1467"/>
      <c r="DL734" s="1467"/>
      <c r="DM734" s="1467"/>
      <c r="DN734" s="1467"/>
      <c r="DO734" s="1467">
        <f t="shared" si="23"/>
        <v>0</v>
      </c>
      <c r="DP734" s="1467"/>
      <c r="DQ734" s="1467"/>
      <c r="DR734" s="1467"/>
      <c r="DS734" s="1467"/>
      <c r="DT734" s="6"/>
      <c r="DU734" s="1468">
        <f t="shared" si="24"/>
        <v>0</v>
      </c>
      <c r="DV734" s="1468"/>
      <c r="DW734" s="1468"/>
      <c r="DX734" s="1468"/>
      <c r="DY734" s="1468"/>
      <c r="DZ734" s="1468">
        <f t="shared" si="25"/>
        <v>0</v>
      </c>
      <c r="EA734" s="1468"/>
      <c r="EB734" s="1468"/>
      <c r="EC734" s="1468"/>
      <c r="ED734" s="1468"/>
      <c r="EE734" s="1468">
        <f t="shared" si="26"/>
        <v>0</v>
      </c>
      <c r="EF734" s="1468"/>
      <c r="EG734" s="1468"/>
      <c r="EH734" s="1468"/>
      <c r="EI734" s="1468"/>
      <c r="EJ734" s="1468">
        <f t="shared" si="27"/>
        <v>0</v>
      </c>
      <c r="EK734" s="1468"/>
      <c r="EL734" s="1468"/>
      <c r="EM734" s="1468"/>
      <c r="EN734" s="1468"/>
      <c r="EO734" s="1468">
        <f t="shared" si="28"/>
        <v>0</v>
      </c>
      <c r="EP734" s="1468"/>
      <c r="EQ734" s="1468"/>
      <c r="ER734" s="1468"/>
      <c r="ES734" s="1468"/>
      <c r="ET734" s="1468">
        <f t="shared" si="29"/>
        <v>0</v>
      </c>
      <c r="EU734" s="1468"/>
      <c r="EV734" s="1468"/>
      <c r="EW734" s="1468"/>
      <c r="EX734" s="1468"/>
      <c r="EZ734" s="1488" t="str">
        <f t="shared" si="30"/>
        <v/>
      </c>
      <c r="FA734" s="1495"/>
      <c r="FB734" s="1495"/>
      <c r="FC734" s="1495"/>
      <c r="FD734" s="1489"/>
      <c r="FE734" s="1488" t="str">
        <f t="shared" si="31"/>
        <v/>
      </c>
      <c r="FF734" s="1495"/>
      <c r="FG734" s="1495"/>
      <c r="FH734" s="1495"/>
      <c r="FI734" s="1489"/>
      <c r="FJ734" s="1488" t="str">
        <f t="shared" si="32"/>
        <v/>
      </c>
      <c r="FK734" s="1495"/>
      <c r="FL734" s="1495"/>
      <c r="FM734" s="1495"/>
      <c r="FN734" s="1489"/>
      <c r="FO734" s="1488" t="str">
        <f t="shared" si="33"/>
        <v/>
      </c>
      <c r="FP734" s="1495"/>
      <c r="FQ734" s="1495"/>
      <c r="FR734" s="1495"/>
      <c r="FS734" s="1489"/>
      <c r="FT734" s="1488" t="str">
        <f t="shared" si="34"/>
        <v/>
      </c>
      <c r="FU734" s="1495"/>
      <c r="FV734" s="1495"/>
      <c r="FW734" s="1495"/>
      <c r="FX734" s="1489"/>
      <c r="FY734" s="1488" t="str">
        <f t="shared" si="35"/>
        <v/>
      </c>
      <c r="FZ734" s="1495"/>
      <c r="GA734" s="1495"/>
      <c r="GB734" s="1495"/>
      <c r="GC734" s="1489"/>
    </row>
    <row r="735" spans="1:185" ht="13" customHeight="1">
      <c r="B735" s="1353"/>
      <c r="C735" s="1354"/>
      <c r="D735" s="1354"/>
      <c r="E735" s="1354"/>
      <c r="F735" s="1355"/>
      <c r="G735" s="1357"/>
      <c r="H735" s="1358"/>
      <c r="I735" s="1358"/>
      <c r="J735" s="1359"/>
      <c r="K735" s="1367"/>
      <c r="L735" s="1368"/>
      <c r="M735" s="1368"/>
      <c r="N735" s="1369"/>
      <c r="O735" s="1350"/>
      <c r="P735" s="1351"/>
      <c r="Q735" s="1351"/>
      <c r="R735" s="1351"/>
      <c r="S735" s="1352"/>
      <c r="T735" s="1350"/>
      <c r="U735" s="1351"/>
      <c r="V735" s="1351"/>
      <c r="W735" s="1352"/>
      <c r="X735" s="1360">
        <f t="shared" si="8"/>
        <v>0</v>
      </c>
      <c r="Y735" s="1361"/>
      <c r="Z735" s="1361"/>
      <c r="AA735" s="1361"/>
      <c r="AB735" s="1362"/>
      <c r="AC735" s="1347"/>
      <c r="AD735" s="1348"/>
      <c r="AE735" s="1348"/>
      <c r="AF735" s="1348"/>
      <c r="AG735" s="1349"/>
      <c r="AH735" s="1363" t="str">
        <f t="shared" si="36"/>
        <v/>
      </c>
      <c r="AI735" s="1364"/>
      <c r="AJ735" s="1365"/>
      <c r="AK735" s="1353" t="s">
        <v>591</v>
      </c>
      <c r="AL735" s="1354"/>
      <c r="AM735" s="1354"/>
      <c r="AN735" s="1354"/>
      <c r="AO735" s="1355"/>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88">
        <f t="shared" si="37"/>
        <v>0</v>
      </c>
      <c r="CH735" s="1489"/>
      <c r="CI735" s="1493">
        <f t="shared" si="38"/>
        <v>0</v>
      </c>
      <c r="CJ735" s="1494"/>
      <c r="CK735" s="1488">
        <f t="shared" si="16"/>
        <v>0</v>
      </c>
      <c r="CL735" s="1489"/>
      <c r="CM735" s="1493">
        <f t="shared" si="17"/>
        <v>0</v>
      </c>
      <c r="CN735" s="1494"/>
      <c r="CO735" s="3"/>
      <c r="CP735" s="1490">
        <f t="shared" si="18"/>
        <v>0</v>
      </c>
      <c r="CQ735" s="1491"/>
      <c r="CR735" s="1491"/>
      <c r="CS735" s="1491"/>
      <c r="CT735" s="1492"/>
      <c r="CU735" s="1467">
        <f t="shared" si="19"/>
        <v>0</v>
      </c>
      <c r="CV735" s="1467"/>
      <c r="CW735" s="1467"/>
      <c r="CX735" s="1467"/>
      <c r="CY735" s="1467"/>
      <c r="CZ735" s="1467">
        <f t="shared" si="20"/>
        <v>0</v>
      </c>
      <c r="DA735" s="1467"/>
      <c r="DB735" s="1467"/>
      <c r="DC735" s="1467"/>
      <c r="DD735" s="1467"/>
      <c r="DE735" s="1467">
        <f t="shared" si="21"/>
        <v>0</v>
      </c>
      <c r="DF735" s="1467"/>
      <c r="DG735" s="1467"/>
      <c r="DH735" s="1467"/>
      <c r="DI735" s="1467"/>
      <c r="DJ735" s="1467">
        <f t="shared" si="22"/>
        <v>0</v>
      </c>
      <c r="DK735" s="1467"/>
      <c r="DL735" s="1467"/>
      <c r="DM735" s="1467"/>
      <c r="DN735" s="1467"/>
      <c r="DO735" s="1467">
        <f t="shared" si="23"/>
        <v>0</v>
      </c>
      <c r="DP735" s="1467"/>
      <c r="DQ735" s="1467"/>
      <c r="DR735" s="1467"/>
      <c r="DS735" s="1467"/>
      <c r="DT735" s="6"/>
      <c r="DU735" s="1468">
        <f t="shared" si="24"/>
        <v>0</v>
      </c>
      <c r="DV735" s="1468"/>
      <c r="DW735" s="1468"/>
      <c r="DX735" s="1468"/>
      <c r="DY735" s="1468"/>
      <c r="DZ735" s="1468">
        <f t="shared" si="25"/>
        <v>0</v>
      </c>
      <c r="EA735" s="1468"/>
      <c r="EB735" s="1468"/>
      <c r="EC735" s="1468"/>
      <c r="ED735" s="1468"/>
      <c r="EE735" s="1468">
        <f t="shared" si="26"/>
        <v>0</v>
      </c>
      <c r="EF735" s="1468"/>
      <c r="EG735" s="1468"/>
      <c r="EH735" s="1468"/>
      <c r="EI735" s="1468"/>
      <c r="EJ735" s="1468">
        <f t="shared" si="27"/>
        <v>0</v>
      </c>
      <c r="EK735" s="1468"/>
      <c r="EL735" s="1468"/>
      <c r="EM735" s="1468"/>
      <c r="EN735" s="1468"/>
      <c r="EO735" s="1468">
        <f t="shared" si="28"/>
        <v>0</v>
      </c>
      <c r="EP735" s="1468"/>
      <c r="EQ735" s="1468"/>
      <c r="ER735" s="1468"/>
      <c r="ES735" s="1468"/>
      <c r="ET735" s="1468">
        <f t="shared" si="29"/>
        <v>0</v>
      </c>
      <c r="EU735" s="1468"/>
      <c r="EV735" s="1468"/>
      <c r="EW735" s="1468"/>
      <c r="EX735" s="1468"/>
      <c r="EZ735" s="1488" t="str">
        <f t="shared" si="30"/>
        <v/>
      </c>
      <c r="FA735" s="1495"/>
      <c r="FB735" s="1495"/>
      <c r="FC735" s="1495"/>
      <c r="FD735" s="1489"/>
      <c r="FE735" s="1488" t="str">
        <f t="shared" si="31"/>
        <v/>
      </c>
      <c r="FF735" s="1495"/>
      <c r="FG735" s="1495"/>
      <c r="FH735" s="1495"/>
      <c r="FI735" s="1489"/>
      <c r="FJ735" s="1488" t="str">
        <f t="shared" si="32"/>
        <v/>
      </c>
      <c r="FK735" s="1495"/>
      <c r="FL735" s="1495"/>
      <c r="FM735" s="1495"/>
      <c r="FN735" s="1489"/>
      <c r="FO735" s="1488" t="str">
        <f t="shared" si="33"/>
        <v/>
      </c>
      <c r="FP735" s="1495"/>
      <c r="FQ735" s="1495"/>
      <c r="FR735" s="1495"/>
      <c r="FS735" s="1489"/>
      <c r="FT735" s="1488" t="str">
        <f t="shared" si="34"/>
        <v/>
      </c>
      <c r="FU735" s="1495"/>
      <c r="FV735" s="1495"/>
      <c r="FW735" s="1495"/>
      <c r="FX735" s="1489"/>
      <c r="FY735" s="1488" t="str">
        <f t="shared" si="35"/>
        <v/>
      </c>
      <c r="FZ735" s="1495"/>
      <c r="GA735" s="1495"/>
      <c r="GB735" s="1495"/>
      <c r="GC735" s="1489"/>
    </row>
    <row r="736" spans="1:185" ht="13" customHeight="1">
      <c r="B736" s="1353"/>
      <c r="C736" s="1354"/>
      <c r="D736" s="1354"/>
      <c r="E736" s="1354"/>
      <c r="F736" s="1355"/>
      <c r="G736" s="1357"/>
      <c r="H736" s="1358"/>
      <c r="I736" s="1358"/>
      <c r="J736" s="1359"/>
      <c r="K736" s="1367"/>
      <c r="L736" s="1368"/>
      <c r="M736" s="1368"/>
      <c r="N736" s="1369"/>
      <c r="O736" s="1350"/>
      <c r="P736" s="1351"/>
      <c r="Q736" s="1351"/>
      <c r="R736" s="1351"/>
      <c r="S736" s="1352"/>
      <c r="T736" s="1350"/>
      <c r="U736" s="1351"/>
      <c r="V736" s="1351"/>
      <c r="W736" s="1352"/>
      <c r="X736" s="1360">
        <f t="shared" si="8"/>
        <v>0</v>
      </c>
      <c r="Y736" s="1361"/>
      <c r="Z736" s="1361"/>
      <c r="AA736" s="1361"/>
      <c r="AB736" s="1362"/>
      <c r="AC736" s="1347"/>
      <c r="AD736" s="1348"/>
      <c r="AE736" s="1348"/>
      <c r="AF736" s="1348"/>
      <c r="AG736" s="1349"/>
      <c r="AH736" s="1363" t="str">
        <f t="shared" si="36"/>
        <v/>
      </c>
      <c r="AI736" s="1364"/>
      <c r="AJ736" s="1365"/>
      <c r="AK736" s="1353" t="s">
        <v>591</v>
      </c>
      <c r="AL736" s="1354"/>
      <c r="AM736" s="1354"/>
      <c r="AN736" s="1354"/>
      <c r="AO736" s="1355"/>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88">
        <f t="shared" si="37"/>
        <v>0</v>
      </c>
      <c r="CH736" s="1489"/>
      <c r="CI736" s="1493">
        <f t="shared" si="38"/>
        <v>0</v>
      </c>
      <c r="CJ736" s="1494"/>
      <c r="CK736" s="1488">
        <f t="shared" si="16"/>
        <v>0</v>
      </c>
      <c r="CL736" s="1489"/>
      <c r="CM736" s="1493">
        <f t="shared" si="17"/>
        <v>0</v>
      </c>
      <c r="CN736" s="1494"/>
      <c r="CO736" s="3"/>
      <c r="CP736" s="1490">
        <f t="shared" si="18"/>
        <v>0</v>
      </c>
      <c r="CQ736" s="1491"/>
      <c r="CR736" s="1491"/>
      <c r="CS736" s="1491"/>
      <c r="CT736" s="1492"/>
      <c r="CU736" s="1467">
        <f t="shared" si="19"/>
        <v>0</v>
      </c>
      <c r="CV736" s="1467"/>
      <c r="CW736" s="1467"/>
      <c r="CX736" s="1467"/>
      <c r="CY736" s="1467"/>
      <c r="CZ736" s="1467">
        <f t="shared" si="20"/>
        <v>0</v>
      </c>
      <c r="DA736" s="1467"/>
      <c r="DB736" s="1467"/>
      <c r="DC736" s="1467"/>
      <c r="DD736" s="1467"/>
      <c r="DE736" s="1467">
        <f t="shared" si="21"/>
        <v>0</v>
      </c>
      <c r="DF736" s="1467"/>
      <c r="DG736" s="1467"/>
      <c r="DH736" s="1467"/>
      <c r="DI736" s="1467"/>
      <c r="DJ736" s="1467">
        <f t="shared" si="22"/>
        <v>0</v>
      </c>
      <c r="DK736" s="1467"/>
      <c r="DL736" s="1467"/>
      <c r="DM736" s="1467"/>
      <c r="DN736" s="1467"/>
      <c r="DO736" s="1467">
        <f t="shared" si="23"/>
        <v>0</v>
      </c>
      <c r="DP736" s="1467"/>
      <c r="DQ736" s="1467"/>
      <c r="DR736" s="1467"/>
      <c r="DS736" s="1467"/>
      <c r="DT736" s="6"/>
      <c r="DU736" s="1468">
        <f t="shared" si="24"/>
        <v>0</v>
      </c>
      <c r="DV736" s="1468"/>
      <c r="DW736" s="1468"/>
      <c r="DX736" s="1468"/>
      <c r="DY736" s="1468"/>
      <c r="DZ736" s="1468">
        <f t="shared" si="25"/>
        <v>0</v>
      </c>
      <c r="EA736" s="1468"/>
      <c r="EB736" s="1468"/>
      <c r="EC736" s="1468"/>
      <c r="ED736" s="1468"/>
      <c r="EE736" s="1468">
        <f t="shared" si="26"/>
        <v>0</v>
      </c>
      <c r="EF736" s="1468"/>
      <c r="EG736" s="1468"/>
      <c r="EH736" s="1468"/>
      <c r="EI736" s="1468"/>
      <c r="EJ736" s="1468">
        <f t="shared" si="27"/>
        <v>0</v>
      </c>
      <c r="EK736" s="1468"/>
      <c r="EL736" s="1468"/>
      <c r="EM736" s="1468"/>
      <c r="EN736" s="1468"/>
      <c r="EO736" s="1468">
        <f t="shared" si="28"/>
        <v>0</v>
      </c>
      <c r="EP736" s="1468"/>
      <c r="EQ736" s="1468"/>
      <c r="ER736" s="1468"/>
      <c r="ES736" s="1468"/>
      <c r="ET736" s="1468">
        <f t="shared" si="29"/>
        <v>0</v>
      </c>
      <c r="EU736" s="1468"/>
      <c r="EV736" s="1468"/>
      <c r="EW736" s="1468"/>
      <c r="EX736" s="1468"/>
      <c r="EZ736" s="1488" t="str">
        <f t="shared" si="30"/>
        <v/>
      </c>
      <c r="FA736" s="1495"/>
      <c r="FB736" s="1495"/>
      <c r="FC736" s="1495"/>
      <c r="FD736" s="1489"/>
      <c r="FE736" s="1488" t="str">
        <f t="shared" si="31"/>
        <v/>
      </c>
      <c r="FF736" s="1495"/>
      <c r="FG736" s="1495"/>
      <c r="FH736" s="1495"/>
      <c r="FI736" s="1489"/>
      <c r="FJ736" s="1488" t="str">
        <f t="shared" si="32"/>
        <v/>
      </c>
      <c r="FK736" s="1495"/>
      <c r="FL736" s="1495"/>
      <c r="FM736" s="1495"/>
      <c r="FN736" s="1489"/>
      <c r="FO736" s="1488" t="str">
        <f t="shared" si="33"/>
        <v/>
      </c>
      <c r="FP736" s="1495"/>
      <c r="FQ736" s="1495"/>
      <c r="FR736" s="1495"/>
      <c r="FS736" s="1489"/>
      <c r="FT736" s="1488" t="str">
        <f t="shared" si="34"/>
        <v/>
      </c>
      <c r="FU736" s="1495"/>
      <c r="FV736" s="1495"/>
      <c r="FW736" s="1495"/>
      <c r="FX736" s="1489"/>
      <c r="FY736" s="1488" t="str">
        <f t="shared" si="35"/>
        <v/>
      </c>
      <c r="FZ736" s="1495"/>
      <c r="GA736" s="1495"/>
      <c r="GB736" s="1495"/>
      <c r="GC736" s="1489"/>
    </row>
    <row r="737" spans="1:185" ht="13" customHeight="1">
      <c r="B737" s="1353"/>
      <c r="C737" s="1354"/>
      <c r="D737" s="1354"/>
      <c r="E737" s="1354"/>
      <c r="F737" s="1355"/>
      <c r="G737" s="1357"/>
      <c r="H737" s="1358"/>
      <c r="I737" s="1358"/>
      <c r="J737" s="1359"/>
      <c r="K737" s="1367"/>
      <c r="L737" s="1368"/>
      <c r="M737" s="1368"/>
      <c r="N737" s="1369"/>
      <c r="O737" s="1350"/>
      <c r="P737" s="1351"/>
      <c r="Q737" s="1351"/>
      <c r="R737" s="1351"/>
      <c r="S737" s="1352"/>
      <c r="T737" s="1350"/>
      <c r="U737" s="1351"/>
      <c r="V737" s="1351"/>
      <c r="W737" s="1352"/>
      <c r="X737" s="1360">
        <f t="shared" si="8"/>
        <v>0</v>
      </c>
      <c r="Y737" s="1361"/>
      <c r="Z737" s="1361"/>
      <c r="AA737" s="1361"/>
      <c r="AB737" s="1362"/>
      <c r="AC737" s="1347"/>
      <c r="AD737" s="1348"/>
      <c r="AE737" s="1348"/>
      <c r="AF737" s="1348"/>
      <c r="AG737" s="1349"/>
      <c r="AH737" s="1363" t="str">
        <f t="shared" si="36"/>
        <v/>
      </c>
      <c r="AI737" s="1364"/>
      <c r="AJ737" s="1365"/>
      <c r="AK737" s="1353" t="s">
        <v>591</v>
      </c>
      <c r="AL737" s="1354"/>
      <c r="AM737" s="1354"/>
      <c r="AN737" s="1354"/>
      <c r="AO737" s="1355"/>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88">
        <f t="shared" si="37"/>
        <v>0</v>
      </c>
      <c r="CH737" s="1489"/>
      <c r="CI737" s="1493">
        <f t="shared" si="38"/>
        <v>0</v>
      </c>
      <c r="CJ737" s="1494"/>
      <c r="CK737" s="1488">
        <f t="shared" si="16"/>
        <v>0</v>
      </c>
      <c r="CL737" s="1489"/>
      <c r="CM737" s="1493">
        <f t="shared" si="17"/>
        <v>0</v>
      </c>
      <c r="CN737" s="1494"/>
      <c r="CO737" s="3"/>
      <c r="CP737" s="1490">
        <f t="shared" si="18"/>
        <v>0</v>
      </c>
      <c r="CQ737" s="1491"/>
      <c r="CR737" s="1491"/>
      <c r="CS737" s="1491"/>
      <c r="CT737" s="1492"/>
      <c r="CU737" s="1467">
        <f t="shared" si="19"/>
        <v>0</v>
      </c>
      <c r="CV737" s="1467"/>
      <c r="CW737" s="1467"/>
      <c r="CX737" s="1467"/>
      <c r="CY737" s="1467"/>
      <c r="CZ737" s="1467">
        <f t="shared" si="20"/>
        <v>0</v>
      </c>
      <c r="DA737" s="1467"/>
      <c r="DB737" s="1467"/>
      <c r="DC737" s="1467"/>
      <c r="DD737" s="1467"/>
      <c r="DE737" s="1467">
        <f t="shared" si="21"/>
        <v>0</v>
      </c>
      <c r="DF737" s="1467"/>
      <c r="DG737" s="1467"/>
      <c r="DH737" s="1467"/>
      <c r="DI737" s="1467"/>
      <c r="DJ737" s="1467">
        <f t="shared" si="22"/>
        <v>0</v>
      </c>
      <c r="DK737" s="1467"/>
      <c r="DL737" s="1467"/>
      <c r="DM737" s="1467"/>
      <c r="DN737" s="1467"/>
      <c r="DO737" s="1467">
        <f t="shared" si="23"/>
        <v>0</v>
      </c>
      <c r="DP737" s="1467"/>
      <c r="DQ737" s="1467"/>
      <c r="DR737" s="1467"/>
      <c r="DS737" s="1467"/>
      <c r="DT737" s="6"/>
      <c r="DU737" s="1468">
        <f t="shared" si="24"/>
        <v>0</v>
      </c>
      <c r="DV737" s="1468"/>
      <c r="DW737" s="1468"/>
      <c r="DX737" s="1468"/>
      <c r="DY737" s="1468"/>
      <c r="DZ737" s="1468">
        <f t="shared" si="25"/>
        <v>0</v>
      </c>
      <c r="EA737" s="1468"/>
      <c r="EB737" s="1468"/>
      <c r="EC737" s="1468"/>
      <c r="ED737" s="1468"/>
      <c r="EE737" s="1468">
        <f t="shared" si="26"/>
        <v>0</v>
      </c>
      <c r="EF737" s="1468"/>
      <c r="EG737" s="1468"/>
      <c r="EH737" s="1468"/>
      <c r="EI737" s="1468"/>
      <c r="EJ737" s="1468">
        <f t="shared" si="27"/>
        <v>0</v>
      </c>
      <c r="EK737" s="1468"/>
      <c r="EL737" s="1468"/>
      <c r="EM737" s="1468"/>
      <c r="EN737" s="1468"/>
      <c r="EO737" s="1468">
        <f t="shared" si="28"/>
        <v>0</v>
      </c>
      <c r="EP737" s="1468"/>
      <c r="EQ737" s="1468"/>
      <c r="ER737" s="1468"/>
      <c r="ES737" s="1468"/>
      <c r="ET737" s="1468">
        <f t="shared" si="29"/>
        <v>0</v>
      </c>
      <c r="EU737" s="1468"/>
      <c r="EV737" s="1468"/>
      <c r="EW737" s="1468"/>
      <c r="EX737" s="1468"/>
      <c r="EZ737" s="1488" t="str">
        <f t="shared" si="30"/>
        <v/>
      </c>
      <c r="FA737" s="1495"/>
      <c r="FB737" s="1495"/>
      <c r="FC737" s="1495"/>
      <c r="FD737" s="1489"/>
      <c r="FE737" s="1488" t="str">
        <f t="shared" si="31"/>
        <v/>
      </c>
      <c r="FF737" s="1495"/>
      <c r="FG737" s="1495"/>
      <c r="FH737" s="1495"/>
      <c r="FI737" s="1489"/>
      <c r="FJ737" s="1488" t="str">
        <f t="shared" si="32"/>
        <v/>
      </c>
      <c r="FK737" s="1495"/>
      <c r="FL737" s="1495"/>
      <c r="FM737" s="1495"/>
      <c r="FN737" s="1489"/>
      <c r="FO737" s="1488" t="str">
        <f t="shared" si="33"/>
        <v/>
      </c>
      <c r="FP737" s="1495"/>
      <c r="FQ737" s="1495"/>
      <c r="FR737" s="1495"/>
      <c r="FS737" s="1489"/>
      <c r="FT737" s="1488" t="str">
        <f t="shared" si="34"/>
        <v/>
      </c>
      <c r="FU737" s="1495"/>
      <c r="FV737" s="1495"/>
      <c r="FW737" s="1495"/>
      <c r="FX737" s="1489"/>
      <c r="FY737" s="1488" t="str">
        <f t="shared" si="35"/>
        <v/>
      </c>
      <c r="FZ737" s="1495"/>
      <c r="GA737" s="1495"/>
      <c r="GB737" s="1495"/>
      <c r="GC737" s="1489"/>
    </row>
    <row r="738" spans="1:185" ht="13" customHeight="1">
      <c r="B738" s="1353"/>
      <c r="C738" s="1354"/>
      <c r="D738" s="1354"/>
      <c r="E738" s="1354"/>
      <c r="F738" s="1355"/>
      <c r="G738" s="1357"/>
      <c r="H738" s="1358"/>
      <c r="I738" s="1358"/>
      <c r="J738" s="1359"/>
      <c r="K738" s="1367"/>
      <c r="L738" s="1368"/>
      <c r="M738" s="1368"/>
      <c r="N738" s="1369"/>
      <c r="O738" s="1350"/>
      <c r="P738" s="1351"/>
      <c r="Q738" s="1351"/>
      <c r="R738" s="1351"/>
      <c r="S738" s="1352"/>
      <c r="T738" s="1350"/>
      <c r="U738" s="1351"/>
      <c r="V738" s="1351"/>
      <c r="W738" s="1352"/>
      <c r="X738" s="1360">
        <f t="shared" si="8"/>
        <v>0</v>
      </c>
      <c r="Y738" s="1361"/>
      <c r="Z738" s="1361"/>
      <c r="AA738" s="1361"/>
      <c r="AB738" s="1362"/>
      <c r="AC738" s="1347"/>
      <c r="AD738" s="1348"/>
      <c r="AE738" s="1348"/>
      <c r="AF738" s="1348"/>
      <c r="AG738" s="1349"/>
      <c r="AH738" s="1363" t="str">
        <f t="shared" si="36"/>
        <v/>
      </c>
      <c r="AI738" s="1364"/>
      <c r="AJ738" s="1365"/>
      <c r="AK738" s="1353" t="s">
        <v>591</v>
      </c>
      <c r="AL738" s="1354"/>
      <c r="AM738" s="1354"/>
      <c r="AN738" s="1354"/>
      <c r="AO738" s="1355"/>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88">
        <f t="shared" si="37"/>
        <v>0</v>
      </c>
      <c r="CH738" s="1489"/>
      <c r="CI738" s="1493">
        <f t="shared" si="38"/>
        <v>0</v>
      </c>
      <c r="CJ738" s="1494"/>
      <c r="CK738" s="1488">
        <f t="shared" si="16"/>
        <v>0</v>
      </c>
      <c r="CL738" s="1489"/>
      <c r="CM738" s="1493">
        <f t="shared" si="17"/>
        <v>0</v>
      </c>
      <c r="CN738" s="1494"/>
      <c r="CO738" s="3"/>
      <c r="CP738" s="1490">
        <f t="shared" si="18"/>
        <v>0</v>
      </c>
      <c r="CQ738" s="1491"/>
      <c r="CR738" s="1491"/>
      <c r="CS738" s="1491"/>
      <c r="CT738" s="1492"/>
      <c r="CU738" s="1467">
        <f t="shared" si="19"/>
        <v>0</v>
      </c>
      <c r="CV738" s="1467"/>
      <c r="CW738" s="1467"/>
      <c r="CX738" s="1467"/>
      <c r="CY738" s="1467"/>
      <c r="CZ738" s="1467">
        <f t="shared" si="20"/>
        <v>0</v>
      </c>
      <c r="DA738" s="1467"/>
      <c r="DB738" s="1467"/>
      <c r="DC738" s="1467"/>
      <c r="DD738" s="1467"/>
      <c r="DE738" s="1467">
        <f t="shared" si="21"/>
        <v>0</v>
      </c>
      <c r="DF738" s="1467"/>
      <c r="DG738" s="1467"/>
      <c r="DH738" s="1467"/>
      <c r="DI738" s="1467"/>
      <c r="DJ738" s="1467">
        <f t="shared" si="22"/>
        <v>0</v>
      </c>
      <c r="DK738" s="1467"/>
      <c r="DL738" s="1467"/>
      <c r="DM738" s="1467"/>
      <c r="DN738" s="1467"/>
      <c r="DO738" s="1467">
        <f t="shared" si="23"/>
        <v>0</v>
      </c>
      <c r="DP738" s="1467"/>
      <c r="DQ738" s="1467"/>
      <c r="DR738" s="1467"/>
      <c r="DS738" s="1467"/>
      <c r="DT738" s="6"/>
      <c r="DU738" s="1468">
        <f t="shared" si="24"/>
        <v>0</v>
      </c>
      <c r="DV738" s="1468"/>
      <c r="DW738" s="1468"/>
      <c r="DX738" s="1468"/>
      <c r="DY738" s="1468"/>
      <c r="DZ738" s="1468">
        <f t="shared" si="25"/>
        <v>0</v>
      </c>
      <c r="EA738" s="1468"/>
      <c r="EB738" s="1468"/>
      <c r="EC738" s="1468"/>
      <c r="ED738" s="1468"/>
      <c r="EE738" s="1468">
        <f t="shared" si="26"/>
        <v>0</v>
      </c>
      <c r="EF738" s="1468"/>
      <c r="EG738" s="1468"/>
      <c r="EH738" s="1468"/>
      <c r="EI738" s="1468"/>
      <c r="EJ738" s="1468">
        <f t="shared" si="27"/>
        <v>0</v>
      </c>
      <c r="EK738" s="1468"/>
      <c r="EL738" s="1468"/>
      <c r="EM738" s="1468"/>
      <c r="EN738" s="1468"/>
      <c r="EO738" s="1468">
        <f t="shared" si="28"/>
        <v>0</v>
      </c>
      <c r="EP738" s="1468"/>
      <c r="EQ738" s="1468"/>
      <c r="ER738" s="1468"/>
      <c r="ES738" s="1468"/>
      <c r="ET738" s="1468">
        <f t="shared" si="29"/>
        <v>0</v>
      </c>
      <c r="EU738" s="1468"/>
      <c r="EV738" s="1468"/>
      <c r="EW738" s="1468"/>
      <c r="EX738" s="1468"/>
      <c r="EZ738" s="1488" t="str">
        <f t="shared" si="30"/>
        <v/>
      </c>
      <c r="FA738" s="1495"/>
      <c r="FB738" s="1495"/>
      <c r="FC738" s="1495"/>
      <c r="FD738" s="1489"/>
      <c r="FE738" s="1488" t="str">
        <f t="shared" si="31"/>
        <v/>
      </c>
      <c r="FF738" s="1495"/>
      <c r="FG738" s="1495"/>
      <c r="FH738" s="1495"/>
      <c r="FI738" s="1489"/>
      <c r="FJ738" s="1488" t="str">
        <f t="shared" si="32"/>
        <v/>
      </c>
      <c r="FK738" s="1495"/>
      <c r="FL738" s="1495"/>
      <c r="FM738" s="1495"/>
      <c r="FN738" s="1489"/>
      <c r="FO738" s="1488" t="str">
        <f t="shared" si="33"/>
        <v/>
      </c>
      <c r="FP738" s="1495"/>
      <c r="FQ738" s="1495"/>
      <c r="FR738" s="1495"/>
      <c r="FS738" s="1489"/>
      <c r="FT738" s="1488" t="str">
        <f t="shared" si="34"/>
        <v/>
      </c>
      <c r="FU738" s="1495"/>
      <c r="FV738" s="1495"/>
      <c r="FW738" s="1495"/>
      <c r="FX738" s="1489"/>
      <c r="FY738" s="1488" t="str">
        <f t="shared" si="35"/>
        <v/>
      </c>
      <c r="FZ738" s="1495"/>
      <c r="GA738" s="1495"/>
      <c r="GB738" s="1495"/>
      <c r="GC738" s="1489"/>
    </row>
    <row r="739" spans="1:185" ht="13" customHeight="1">
      <c r="B739" s="1353"/>
      <c r="C739" s="1354"/>
      <c r="D739" s="1354"/>
      <c r="E739" s="1354"/>
      <c r="F739" s="1355"/>
      <c r="G739" s="1357"/>
      <c r="H739" s="1358"/>
      <c r="I739" s="1358"/>
      <c r="J739" s="1359"/>
      <c r="K739" s="1367"/>
      <c r="L739" s="1368"/>
      <c r="M739" s="1368"/>
      <c r="N739" s="1369"/>
      <c r="O739" s="1350"/>
      <c r="P739" s="1351"/>
      <c r="Q739" s="1351"/>
      <c r="R739" s="1351"/>
      <c r="S739" s="1352"/>
      <c r="T739" s="1350"/>
      <c r="U739" s="1351"/>
      <c r="V739" s="1351"/>
      <c r="W739" s="1352"/>
      <c r="X739" s="1360">
        <f t="shared" si="8"/>
        <v>0</v>
      </c>
      <c r="Y739" s="1361"/>
      <c r="Z739" s="1361"/>
      <c r="AA739" s="1361"/>
      <c r="AB739" s="1362"/>
      <c r="AC739" s="1347"/>
      <c r="AD739" s="1348"/>
      <c r="AE739" s="1348"/>
      <c r="AF739" s="1348"/>
      <c r="AG739" s="1349"/>
      <c r="AH739" s="1363" t="str">
        <f t="shared" si="36"/>
        <v/>
      </c>
      <c r="AI739" s="1364"/>
      <c r="AJ739" s="1365"/>
      <c r="AK739" s="1353" t="s">
        <v>591</v>
      </c>
      <c r="AL739" s="1354"/>
      <c r="AM739" s="1354"/>
      <c r="AN739" s="1354"/>
      <c r="AO739" s="1355"/>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88">
        <f t="shared" si="37"/>
        <v>0</v>
      </c>
      <c r="CH739" s="1489"/>
      <c r="CI739" s="1493">
        <f t="shared" si="38"/>
        <v>0</v>
      </c>
      <c r="CJ739" s="1494"/>
      <c r="CK739" s="1488">
        <f t="shared" si="16"/>
        <v>0</v>
      </c>
      <c r="CL739" s="1489"/>
      <c r="CM739" s="1493">
        <f t="shared" si="17"/>
        <v>0</v>
      </c>
      <c r="CN739" s="1494"/>
      <c r="CO739" s="3"/>
      <c r="CP739" s="1490">
        <f t="shared" si="18"/>
        <v>0</v>
      </c>
      <c r="CQ739" s="1491"/>
      <c r="CR739" s="1491"/>
      <c r="CS739" s="1491"/>
      <c r="CT739" s="1492"/>
      <c r="CU739" s="1467">
        <f t="shared" si="19"/>
        <v>0</v>
      </c>
      <c r="CV739" s="1467"/>
      <c r="CW739" s="1467"/>
      <c r="CX739" s="1467"/>
      <c r="CY739" s="1467"/>
      <c r="CZ739" s="1467">
        <f t="shared" si="20"/>
        <v>0</v>
      </c>
      <c r="DA739" s="1467"/>
      <c r="DB739" s="1467"/>
      <c r="DC739" s="1467"/>
      <c r="DD739" s="1467"/>
      <c r="DE739" s="1467">
        <f t="shared" si="21"/>
        <v>0</v>
      </c>
      <c r="DF739" s="1467"/>
      <c r="DG739" s="1467"/>
      <c r="DH739" s="1467"/>
      <c r="DI739" s="1467"/>
      <c r="DJ739" s="1467">
        <f t="shared" si="22"/>
        <v>0</v>
      </c>
      <c r="DK739" s="1467"/>
      <c r="DL739" s="1467"/>
      <c r="DM739" s="1467"/>
      <c r="DN739" s="1467"/>
      <c r="DO739" s="1467">
        <f t="shared" si="23"/>
        <v>0</v>
      </c>
      <c r="DP739" s="1467"/>
      <c r="DQ739" s="1467"/>
      <c r="DR739" s="1467"/>
      <c r="DS739" s="1467"/>
      <c r="DT739" s="6"/>
      <c r="DU739" s="1468">
        <f t="shared" si="24"/>
        <v>0</v>
      </c>
      <c r="DV739" s="1468"/>
      <c r="DW739" s="1468"/>
      <c r="DX739" s="1468"/>
      <c r="DY739" s="1468"/>
      <c r="DZ739" s="1468">
        <f t="shared" si="25"/>
        <v>0</v>
      </c>
      <c r="EA739" s="1468"/>
      <c r="EB739" s="1468"/>
      <c r="EC739" s="1468"/>
      <c r="ED739" s="1468"/>
      <c r="EE739" s="1468">
        <f t="shared" si="26"/>
        <v>0</v>
      </c>
      <c r="EF739" s="1468"/>
      <c r="EG739" s="1468"/>
      <c r="EH739" s="1468"/>
      <c r="EI739" s="1468"/>
      <c r="EJ739" s="1468">
        <f t="shared" si="27"/>
        <v>0</v>
      </c>
      <c r="EK739" s="1468"/>
      <c r="EL739" s="1468"/>
      <c r="EM739" s="1468"/>
      <c r="EN739" s="1468"/>
      <c r="EO739" s="1468">
        <f t="shared" si="28"/>
        <v>0</v>
      </c>
      <c r="EP739" s="1468"/>
      <c r="EQ739" s="1468"/>
      <c r="ER739" s="1468"/>
      <c r="ES739" s="1468"/>
      <c r="ET739" s="1468">
        <f t="shared" si="29"/>
        <v>0</v>
      </c>
      <c r="EU739" s="1468"/>
      <c r="EV739" s="1468"/>
      <c r="EW739" s="1468"/>
      <c r="EX739" s="1468"/>
      <c r="EZ739" s="1488" t="str">
        <f t="shared" si="30"/>
        <v/>
      </c>
      <c r="FA739" s="1495"/>
      <c r="FB739" s="1495"/>
      <c r="FC739" s="1495"/>
      <c r="FD739" s="1489"/>
      <c r="FE739" s="1488" t="str">
        <f t="shared" si="31"/>
        <v/>
      </c>
      <c r="FF739" s="1495"/>
      <c r="FG739" s="1495"/>
      <c r="FH739" s="1495"/>
      <c r="FI739" s="1489"/>
      <c r="FJ739" s="1488" t="str">
        <f t="shared" si="32"/>
        <v/>
      </c>
      <c r="FK739" s="1495"/>
      <c r="FL739" s="1495"/>
      <c r="FM739" s="1495"/>
      <c r="FN739" s="1489"/>
      <c r="FO739" s="1488" t="str">
        <f t="shared" si="33"/>
        <v/>
      </c>
      <c r="FP739" s="1495"/>
      <c r="FQ739" s="1495"/>
      <c r="FR739" s="1495"/>
      <c r="FS739" s="1489"/>
      <c r="FT739" s="1488" t="str">
        <f t="shared" si="34"/>
        <v/>
      </c>
      <c r="FU739" s="1495"/>
      <c r="FV739" s="1495"/>
      <c r="FW739" s="1495"/>
      <c r="FX739" s="1489"/>
      <c r="FY739" s="1488" t="str">
        <f t="shared" si="35"/>
        <v/>
      </c>
      <c r="FZ739" s="1495"/>
      <c r="GA739" s="1495"/>
      <c r="GB739" s="1495"/>
      <c r="GC739" s="1489"/>
    </row>
    <row r="740" spans="1:185" ht="13" customHeight="1">
      <c r="B740" s="1353"/>
      <c r="C740" s="1354"/>
      <c r="D740" s="1354"/>
      <c r="E740" s="1354"/>
      <c r="F740" s="1355"/>
      <c r="G740" s="1357"/>
      <c r="H740" s="1358"/>
      <c r="I740" s="1358"/>
      <c r="J740" s="1359"/>
      <c r="K740" s="1367"/>
      <c r="L740" s="1368"/>
      <c r="M740" s="1368"/>
      <c r="N740" s="1369"/>
      <c r="O740" s="1350"/>
      <c r="P740" s="1351"/>
      <c r="Q740" s="1351"/>
      <c r="R740" s="1351"/>
      <c r="S740" s="1352"/>
      <c r="T740" s="1350"/>
      <c r="U740" s="1351"/>
      <c r="V740" s="1351"/>
      <c r="W740" s="1352"/>
      <c r="X740" s="1360">
        <f t="shared" si="8"/>
        <v>0</v>
      </c>
      <c r="Y740" s="1361"/>
      <c r="Z740" s="1361"/>
      <c r="AA740" s="1361"/>
      <c r="AB740" s="1362"/>
      <c r="AC740" s="1347"/>
      <c r="AD740" s="1348"/>
      <c r="AE740" s="1348"/>
      <c r="AF740" s="1348"/>
      <c r="AG740" s="1349"/>
      <c r="AH740" s="1363" t="str">
        <f t="shared" si="36"/>
        <v/>
      </c>
      <c r="AI740" s="1364"/>
      <c r="AJ740" s="1365"/>
      <c r="AK740" s="1353" t="s">
        <v>591</v>
      </c>
      <c r="AL740" s="1354"/>
      <c r="AM740" s="1354"/>
      <c r="AN740" s="1354"/>
      <c r="AO740" s="1355"/>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88">
        <f t="shared" si="37"/>
        <v>0</v>
      </c>
      <c r="CH740" s="1489"/>
      <c r="CI740" s="1493">
        <f t="shared" si="38"/>
        <v>0</v>
      </c>
      <c r="CJ740" s="1494"/>
      <c r="CK740" s="1488">
        <f t="shared" si="16"/>
        <v>0</v>
      </c>
      <c r="CL740" s="1489"/>
      <c r="CM740" s="1493">
        <f t="shared" si="17"/>
        <v>0</v>
      </c>
      <c r="CN740" s="1494"/>
      <c r="CO740" s="3"/>
      <c r="CP740" s="1490">
        <f t="shared" si="18"/>
        <v>0</v>
      </c>
      <c r="CQ740" s="1491"/>
      <c r="CR740" s="1491"/>
      <c r="CS740" s="1491"/>
      <c r="CT740" s="1492"/>
      <c r="CU740" s="1467">
        <f t="shared" si="19"/>
        <v>0</v>
      </c>
      <c r="CV740" s="1467"/>
      <c r="CW740" s="1467"/>
      <c r="CX740" s="1467"/>
      <c r="CY740" s="1467"/>
      <c r="CZ740" s="1467">
        <f t="shared" si="20"/>
        <v>0</v>
      </c>
      <c r="DA740" s="1467"/>
      <c r="DB740" s="1467"/>
      <c r="DC740" s="1467"/>
      <c r="DD740" s="1467"/>
      <c r="DE740" s="1467">
        <f t="shared" si="21"/>
        <v>0</v>
      </c>
      <c r="DF740" s="1467"/>
      <c r="DG740" s="1467"/>
      <c r="DH740" s="1467"/>
      <c r="DI740" s="1467"/>
      <c r="DJ740" s="1467">
        <f t="shared" si="22"/>
        <v>0</v>
      </c>
      <c r="DK740" s="1467"/>
      <c r="DL740" s="1467"/>
      <c r="DM740" s="1467"/>
      <c r="DN740" s="1467"/>
      <c r="DO740" s="1467">
        <f t="shared" si="23"/>
        <v>0</v>
      </c>
      <c r="DP740" s="1467"/>
      <c r="DQ740" s="1467"/>
      <c r="DR740" s="1467"/>
      <c r="DS740" s="1467"/>
      <c r="DT740" s="6"/>
      <c r="DU740" s="1468">
        <f t="shared" si="24"/>
        <v>0</v>
      </c>
      <c r="DV740" s="1468"/>
      <c r="DW740" s="1468"/>
      <c r="DX740" s="1468"/>
      <c r="DY740" s="1468"/>
      <c r="DZ740" s="1468">
        <f t="shared" si="25"/>
        <v>0</v>
      </c>
      <c r="EA740" s="1468"/>
      <c r="EB740" s="1468"/>
      <c r="EC740" s="1468"/>
      <c r="ED740" s="1468"/>
      <c r="EE740" s="1468">
        <f t="shared" si="26"/>
        <v>0</v>
      </c>
      <c r="EF740" s="1468"/>
      <c r="EG740" s="1468"/>
      <c r="EH740" s="1468"/>
      <c r="EI740" s="1468"/>
      <c r="EJ740" s="1468">
        <f t="shared" si="27"/>
        <v>0</v>
      </c>
      <c r="EK740" s="1468"/>
      <c r="EL740" s="1468"/>
      <c r="EM740" s="1468"/>
      <c r="EN740" s="1468"/>
      <c r="EO740" s="1468">
        <f t="shared" si="28"/>
        <v>0</v>
      </c>
      <c r="EP740" s="1468"/>
      <c r="EQ740" s="1468"/>
      <c r="ER740" s="1468"/>
      <c r="ES740" s="1468"/>
      <c r="ET740" s="1468">
        <f t="shared" si="29"/>
        <v>0</v>
      </c>
      <c r="EU740" s="1468"/>
      <c r="EV740" s="1468"/>
      <c r="EW740" s="1468"/>
      <c r="EX740" s="1468"/>
      <c r="EZ740" s="1488" t="str">
        <f t="shared" si="30"/>
        <v/>
      </c>
      <c r="FA740" s="1495"/>
      <c r="FB740" s="1495"/>
      <c r="FC740" s="1495"/>
      <c r="FD740" s="1489"/>
      <c r="FE740" s="1488" t="str">
        <f t="shared" si="31"/>
        <v/>
      </c>
      <c r="FF740" s="1495"/>
      <c r="FG740" s="1495"/>
      <c r="FH740" s="1495"/>
      <c r="FI740" s="1489"/>
      <c r="FJ740" s="1488" t="str">
        <f t="shared" si="32"/>
        <v/>
      </c>
      <c r="FK740" s="1495"/>
      <c r="FL740" s="1495"/>
      <c r="FM740" s="1495"/>
      <c r="FN740" s="1489"/>
      <c r="FO740" s="1488" t="str">
        <f t="shared" si="33"/>
        <v/>
      </c>
      <c r="FP740" s="1495"/>
      <c r="FQ740" s="1495"/>
      <c r="FR740" s="1495"/>
      <c r="FS740" s="1489"/>
      <c r="FT740" s="1488" t="str">
        <f t="shared" si="34"/>
        <v/>
      </c>
      <c r="FU740" s="1495"/>
      <c r="FV740" s="1495"/>
      <c r="FW740" s="1495"/>
      <c r="FX740" s="1489"/>
      <c r="FY740" s="1488" t="str">
        <f t="shared" si="35"/>
        <v/>
      </c>
      <c r="FZ740" s="1495"/>
      <c r="GA740" s="1495"/>
      <c r="GB740" s="1495"/>
      <c r="GC740" s="1489"/>
    </row>
    <row r="741" spans="1:185" ht="13" customHeight="1">
      <c r="B741" s="1353"/>
      <c r="C741" s="1354"/>
      <c r="D741" s="1354"/>
      <c r="E741" s="1354"/>
      <c r="F741" s="1355"/>
      <c r="G741" s="1357"/>
      <c r="H741" s="1358"/>
      <c r="I741" s="1358"/>
      <c r="J741" s="1359"/>
      <c r="K741" s="1367"/>
      <c r="L741" s="1368"/>
      <c r="M741" s="1368"/>
      <c r="N741" s="1369"/>
      <c r="O741" s="1350"/>
      <c r="P741" s="1351"/>
      <c r="Q741" s="1351"/>
      <c r="R741" s="1351"/>
      <c r="S741" s="1352"/>
      <c r="T741" s="1350"/>
      <c r="U741" s="1351"/>
      <c r="V741" s="1351"/>
      <c r="W741" s="1352"/>
      <c r="X741" s="1360">
        <f t="shared" si="8"/>
        <v>0</v>
      </c>
      <c r="Y741" s="1361"/>
      <c r="Z741" s="1361"/>
      <c r="AA741" s="1361"/>
      <c r="AB741" s="1362"/>
      <c r="AC741" s="1347"/>
      <c r="AD741" s="1348"/>
      <c r="AE741" s="1348"/>
      <c r="AF741" s="1348"/>
      <c r="AG741" s="1349"/>
      <c r="AH741" s="1363" t="str">
        <f t="shared" si="36"/>
        <v/>
      </c>
      <c r="AI741" s="1364"/>
      <c r="AJ741" s="1365"/>
      <c r="AK741" s="1353" t="s">
        <v>591</v>
      </c>
      <c r="AL741" s="1354"/>
      <c r="AM741" s="1354"/>
      <c r="AN741" s="1354"/>
      <c r="AO741" s="1355"/>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88">
        <f t="shared" si="37"/>
        <v>0</v>
      </c>
      <c r="CH741" s="1489"/>
      <c r="CI741" s="1493">
        <f t="shared" si="38"/>
        <v>0</v>
      </c>
      <c r="CJ741" s="1494"/>
      <c r="CK741" s="1488">
        <f t="shared" si="16"/>
        <v>0</v>
      </c>
      <c r="CL741" s="1489"/>
      <c r="CM741" s="1493">
        <f t="shared" si="17"/>
        <v>0</v>
      </c>
      <c r="CN741" s="1494"/>
      <c r="CO741" s="3"/>
      <c r="CP741" s="1490">
        <f t="shared" si="18"/>
        <v>0</v>
      </c>
      <c r="CQ741" s="1491"/>
      <c r="CR741" s="1491"/>
      <c r="CS741" s="1491"/>
      <c r="CT741" s="1492"/>
      <c r="CU741" s="1467">
        <f t="shared" si="19"/>
        <v>0</v>
      </c>
      <c r="CV741" s="1467"/>
      <c r="CW741" s="1467"/>
      <c r="CX741" s="1467"/>
      <c r="CY741" s="1467"/>
      <c r="CZ741" s="1467">
        <f t="shared" si="20"/>
        <v>0</v>
      </c>
      <c r="DA741" s="1467"/>
      <c r="DB741" s="1467"/>
      <c r="DC741" s="1467"/>
      <c r="DD741" s="1467"/>
      <c r="DE741" s="1467">
        <f t="shared" si="21"/>
        <v>0</v>
      </c>
      <c r="DF741" s="1467"/>
      <c r="DG741" s="1467"/>
      <c r="DH741" s="1467"/>
      <c r="DI741" s="1467"/>
      <c r="DJ741" s="1467">
        <f t="shared" si="22"/>
        <v>0</v>
      </c>
      <c r="DK741" s="1467"/>
      <c r="DL741" s="1467"/>
      <c r="DM741" s="1467"/>
      <c r="DN741" s="1467"/>
      <c r="DO741" s="1467">
        <f t="shared" si="23"/>
        <v>0</v>
      </c>
      <c r="DP741" s="1467"/>
      <c r="DQ741" s="1467"/>
      <c r="DR741" s="1467"/>
      <c r="DS741" s="1467"/>
      <c r="DT741" s="6"/>
      <c r="DU741" s="1468">
        <f t="shared" si="24"/>
        <v>0</v>
      </c>
      <c r="DV741" s="1468"/>
      <c r="DW741" s="1468"/>
      <c r="DX741" s="1468"/>
      <c r="DY741" s="1468"/>
      <c r="DZ741" s="1468">
        <f t="shared" si="25"/>
        <v>0</v>
      </c>
      <c r="EA741" s="1468"/>
      <c r="EB741" s="1468"/>
      <c r="EC741" s="1468"/>
      <c r="ED741" s="1468"/>
      <c r="EE741" s="1468">
        <f t="shared" si="26"/>
        <v>0</v>
      </c>
      <c r="EF741" s="1468"/>
      <c r="EG741" s="1468"/>
      <c r="EH741" s="1468"/>
      <c r="EI741" s="1468"/>
      <c r="EJ741" s="1468">
        <f t="shared" si="27"/>
        <v>0</v>
      </c>
      <c r="EK741" s="1468"/>
      <c r="EL741" s="1468"/>
      <c r="EM741" s="1468"/>
      <c r="EN741" s="1468"/>
      <c r="EO741" s="1468">
        <f t="shared" si="28"/>
        <v>0</v>
      </c>
      <c r="EP741" s="1468"/>
      <c r="EQ741" s="1468"/>
      <c r="ER741" s="1468"/>
      <c r="ES741" s="1468"/>
      <c r="ET741" s="1468">
        <f t="shared" si="29"/>
        <v>0</v>
      </c>
      <c r="EU741" s="1468"/>
      <c r="EV741" s="1468"/>
      <c r="EW741" s="1468"/>
      <c r="EX741" s="1468"/>
      <c r="EZ741" s="1488" t="str">
        <f t="shared" si="30"/>
        <v/>
      </c>
      <c r="FA741" s="1495"/>
      <c r="FB741" s="1495"/>
      <c r="FC741" s="1495"/>
      <c r="FD741" s="1489"/>
      <c r="FE741" s="1488" t="str">
        <f t="shared" si="31"/>
        <v/>
      </c>
      <c r="FF741" s="1495"/>
      <c r="FG741" s="1495"/>
      <c r="FH741" s="1495"/>
      <c r="FI741" s="1489"/>
      <c r="FJ741" s="1488" t="str">
        <f t="shared" si="32"/>
        <v/>
      </c>
      <c r="FK741" s="1495"/>
      <c r="FL741" s="1495"/>
      <c r="FM741" s="1495"/>
      <c r="FN741" s="1489"/>
      <c r="FO741" s="1488" t="str">
        <f t="shared" si="33"/>
        <v/>
      </c>
      <c r="FP741" s="1495"/>
      <c r="FQ741" s="1495"/>
      <c r="FR741" s="1495"/>
      <c r="FS741" s="1489"/>
      <c r="FT741" s="1488" t="str">
        <f t="shared" si="34"/>
        <v/>
      </c>
      <c r="FU741" s="1495"/>
      <c r="FV741" s="1495"/>
      <c r="FW741" s="1495"/>
      <c r="FX741" s="1489"/>
      <c r="FY741" s="1488" t="str">
        <f t="shared" si="35"/>
        <v/>
      </c>
      <c r="FZ741" s="1495"/>
      <c r="GA741" s="1495"/>
      <c r="GB741" s="1495"/>
      <c r="GC741" s="1489"/>
    </row>
    <row r="742" spans="1:185" ht="13" customHeight="1">
      <c r="B742" s="1353"/>
      <c r="C742" s="1354"/>
      <c r="D742" s="1354"/>
      <c r="E742" s="1354"/>
      <c r="F742" s="1355"/>
      <c r="G742" s="1357"/>
      <c r="H742" s="1358"/>
      <c r="I742" s="1358"/>
      <c r="J742" s="1359"/>
      <c r="K742" s="1367"/>
      <c r="L742" s="1368"/>
      <c r="M742" s="1368"/>
      <c r="N742" s="1369"/>
      <c r="O742" s="1350"/>
      <c r="P742" s="1351"/>
      <c r="Q742" s="1351"/>
      <c r="R742" s="1351"/>
      <c r="S742" s="1352"/>
      <c r="T742" s="1350"/>
      <c r="U742" s="1351"/>
      <c r="V742" s="1351"/>
      <c r="W742" s="1352"/>
      <c r="X742" s="1360">
        <f t="shared" ref="X742:X751" si="39">O742+T742</f>
        <v>0</v>
      </c>
      <c r="Y742" s="1361"/>
      <c r="Z742" s="1361"/>
      <c r="AA742" s="1361"/>
      <c r="AB742" s="1362"/>
      <c r="AC742" s="1347"/>
      <c r="AD742" s="1348"/>
      <c r="AE742" s="1348"/>
      <c r="AF742" s="1348"/>
      <c r="AG742" s="1349"/>
      <c r="AH742" s="1363" t="str">
        <f t="shared" si="36"/>
        <v/>
      </c>
      <c r="AI742" s="1364"/>
      <c r="AJ742" s="1365"/>
      <c r="AK742" s="1353" t="s">
        <v>591</v>
      </c>
      <c r="AL742" s="1354"/>
      <c r="AM742" s="1354"/>
      <c r="AN742" s="1354"/>
      <c r="AO742" s="1355"/>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88">
        <f t="shared" si="37"/>
        <v>0</v>
      </c>
      <c r="CH742" s="1489"/>
      <c r="CI742" s="1493">
        <f t="shared" si="38"/>
        <v>0</v>
      </c>
      <c r="CJ742" s="1494"/>
      <c r="CK742" s="1488">
        <f t="shared" si="16"/>
        <v>0</v>
      </c>
      <c r="CL742" s="1489"/>
      <c r="CM742" s="1493">
        <f t="shared" si="17"/>
        <v>0</v>
      </c>
      <c r="CN742" s="1494"/>
      <c r="CO742" s="3"/>
      <c r="CP742" s="1490">
        <f t="shared" si="18"/>
        <v>0</v>
      </c>
      <c r="CQ742" s="1491"/>
      <c r="CR742" s="1491"/>
      <c r="CS742" s="1491"/>
      <c r="CT742" s="1492"/>
      <c r="CU742" s="1467">
        <f t="shared" si="19"/>
        <v>0</v>
      </c>
      <c r="CV742" s="1467"/>
      <c r="CW742" s="1467"/>
      <c r="CX742" s="1467"/>
      <c r="CY742" s="1467"/>
      <c r="CZ742" s="1467">
        <f t="shared" si="20"/>
        <v>0</v>
      </c>
      <c r="DA742" s="1467"/>
      <c r="DB742" s="1467"/>
      <c r="DC742" s="1467"/>
      <c r="DD742" s="1467"/>
      <c r="DE742" s="1467">
        <f t="shared" si="21"/>
        <v>0</v>
      </c>
      <c r="DF742" s="1467"/>
      <c r="DG742" s="1467"/>
      <c r="DH742" s="1467"/>
      <c r="DI742" s="1467"/>
      <c r="DJ742" s="1467">
        <f t="shared" si="22"/>
        <v>0</v>
      </c>
      <c r="DK742" s="1467"/>
      <c r="DL742" s="1467"/>
      <c r="DM742" s="1467"/>
      <c r="DN742" s="1467"/>
      <c r="DO742" s="1467">
        <f t="shared" si="23"/>
        <v>0</v>
      </c>
      <c r="DP742" s="1467"/>
      <c r="DQ742" s="1467"/>
      <c r="DR742" s="1467"/>
      <c r="DS742" s="1467"/>
      <c r="DT742" s="6"/>
      <c r="DU742" s="1468">
        <f t="shared" si="24"/>
        <v>0</v>
      </c>
      <c r="DV742" s="1468"/>
      <c r="DW742" s="1468"/>
      <c r="DX742" s="1468"/>
      <c r="DY742" s="1468"/>
      <c r="DZ742" s="1468">
        <f t="shared" si="25"/>
        <v>0</v>
      </c>
      <c r="EA742" s="1468"/>
      <c r="EB742" s="1468"/>
      <c r="EC742" s="1468"/>
      <c r="ED742" s="1468"/>
      <c r="EE742" s="1468">
        <f t="shared" si="26"/>
        <v>0</v>
      </c>
      <c r="EF742" s="1468"/>
      <c r="EG742" s="1468"/>
      <c r="EH742" s="1468"/>
      <c r="EI742" s="1468"/>
      <c r="EJ742" s="1468">
        <f t="shared" si="27"/>
        <v>0</v>
      </c>
      <c r="EK742" s="1468"/>
      <c r="EL742" s="1468"/>
      <c r="EM742" s="1468"/>
      <c r="EN742" s="1468"/>
      <c r="EO742" s="1468">
        <f t="shared" si="28"/>
        <v>0</v>
      </c>
      <c r="EP742" s="1468"/>
      <c r="EQ742" s="1468"/>
      <c r="ER742" s="1468"/>
      <c r="ES742" s="1468"/>
      <c r="ET742" s="1468">
        <f t="shared" si="29"/>
        <v>0</v>
      </c>
      <c r="EU742" s="1468"/>
      <c r="EV742" s="1468"/>
      <c r="EW742" s="1468"/>
      <c r="EX742" s="1468"/>
      <c r="EZ742" s="1488" t="str">
        <f t="shared" si="30"/>
        <v/>
      </c>
      <c r="FA742" s="1495"/>
      <c r="FB742" s="1495"/>
      <c r="FC742" s="1495"/>
      <c r="FD742" s="1489"/>
      <c r="FE742" s="1488" t="str">
        <f t="shared" si="31"/>
        <v/>
      </c>
      <c r="FF742" s="1495"/>
      <c r="FG742" s="1495"/>
      <c r="FH742" s="1495"/>
      <c r="FI742" s="1489"/>
      <c r="FJ742" s="1488" t="str">
        <f t="shared" si="32"/>
        <v/>
      </c>
      <c r="FK742" s="1495"/>
      <c r="FL742" s="1495"/>
      <c r="FM742" s="1495"/>
      <c r="FN742" s="1489"/>
      <c r="FO742" s="1488" t="str">
        <f t="shared" si="33"/>
        <v/>
      </c>
      <c r="FP742" s="1495"/>
      <c r="FQ742" s="1495"/>
      <c r="FR742" s="1495"/>
      <c r="FS742" s="1489"/>
      <c r="FT742" s="1488" t="str">
        <f t="shared" si="34"/>
        <v/>
      </c>
      <c r="FU742" s="1495"/>
      <c r="FV742" s="1495"/>
      <c r="FW742" s="1495"/>
      <c r="FX742" s="1489"/>
      <c r="FY742" s="1488" t="str">
        <f t="shared" si="35"/>
        <v/>
      </c>
      <c r="FZ742" s="1495"/>
      <c r="GA742" s="1495"/>
      <c r="GB742" s="1495"/>
      <c r="GC742" s="1489"/>
    </row>
    <row r="743" spans="1:185" s="3" customFormat="1" ht="13" customHeight="1">
      <c r="A743"/>
      <c r="B743" s="1353"/>
      <c r="C743" s="1354"/>
      <c r="D743" s="1354"/>
      <c r="E743" s="1354"/>
      <c r="F743" s="1355"/>
      <c r="G743" s="1357"/>
      <c r="H743" s="1358"/>
      <c r="I743" s="1358"/>
      <c r="J743" s="1359"/>
      <c r="K743" s="1367"/>
      <c r="L743" s="1368"/>
      <c r="M743" s="1368"/>
      <c r="N743" s="1369"/>
      <c r="O743" s="1350"/>
      <c r="P743" s="1351"/>
      <c r="Q743" s="1351"/>
      <c r="R743" s="1351"/>
      <c r="S743" s="1352"/>
      <c r="T743" s="1350"/>
      <c r="U743" s="1351"/>
      <c r="V743" s="1351"/>
      <c r="W743" s="1352"/>
      <c r="X743" s="1360">
        <f t="shared" si="39"/>
        <v>0</v>
      </c>
      <c r="Y743" s="1361"/>
      <c r="Z743" s="1361"/>
      <c r="AA743" s="1361"/>
      <c r="AB743" s="1362"/>
      <c r="AC743" s="1347"/>
      <c r="AD743" s="1348"/>
      <c r="AE743" s="1348"/>
      <c r="AF743" s="1348"/>
      <c r="AG743" s="1349"/>
      <c r="AH743" s="1363" t="str">
        <f t="shared" si="36"/>
        <v/>
      </c>
      <c r="AI743" s="1364"/>
      <c r="AJ743" s="1365"/>
      <c r="AK743" s="1353" t="s">
        <v>591</v>
      </c>
      <c r="AL743" s="1354"/>
      <c r="AM743" s="1354"/>
      <c r="AN743" s="1354"/>
      <c r="AO743" s="1355"/>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88">
        <f t="shared" si="37"/>
        <v>0</v>
      </c>
      <c r="CH743" s="1489"/>
      <c r="CI743" s="1493">
        <f t="shared" si="38"/>
        <v>0</v>
      </c>
      <c r="CJ743" s="1494"/>
      <c r="CK743" s="1488">
        <f t="shared" si="16"/>
        <v>0</v>
      </c>
      <c r="CL743" s="1489"/>
      <c r="CM743" s="1493">
        <f t="shared" si="17"/>
        <v>0</v>
      </c>
      <c r="CN743" s="1494"/>
      <c r="CP743" s="1490">
        <f t="shared" si="18"/>
        <v>0</v>
      </c>
      <c r="CQ743" s="1491"/>
      <c r="CR743" s="1491"/>
      <c r="CS743" s="1491"/>
      <c r="CT743" s="1492"/>
      <c r="CU743" s="1467">
        <f t="shared" si="19"/>
        <v>0</v>
      </c>
      <c r="CV743" s="1467"/>
      <c r="CW743" s="1467"/>
      <c r="CX743" s="1467"/>
      <c r="CY743" s="1467"/>
      <c r="CZ743" s="1467">
        <f t="shared" si="20"/>
        <v>0</v>
      </c>
      <c r="DA743" s="1467"/>
      <c r="DB743" s="1467"/>
      <c r="DC743" s="1467"/>
      <c r="DD743" s="1467"/>
      <c r="DE743" s="1467">
        <f t="shared" si="21"/>
        <v>0</v>
      </c>
      <c r="DF743" s="1467"/>
      <c r="DG743" s="1467"/>
      <c r="DH743" s="1467"/>
      <c r="DI743" s="1467"/>
      <c r="DJ743" s="1467">
        <f t="shared" si="22"/>
        <v>0</v>
      </c>
      <c r="DK743" s="1467"/>
      <c r="DL743" s="1467"/>
      <c r="DM743" s="1467"/>
      <c r="DN743" s="1467"/>
      <c r="DO743" s="1467">
        <f t="shared" si="23"/>
        <v>0</v>
      </c>
      <c r="DP743" s="1467"/>
      <c r="DQ743" s="1467"/>
      <c r="DR743" s="1467"/>
      <c r="DS743" s="1467"/>
      <c r="DT743" s="6"/>
      <c r="DU743" s="1468">
        <f t="shared" si="24"/>
        <v>0</v>
      </c>
      <c r="DV743" s="1468"/>
      <c r="DW743" s="1468"/>
      <c r="DX743" s="1468"/>
      <c r="DY743" s="1468"/>
      <c r="DZ743" s="1468">
        <f t="shared" si="25"/>
        <v>0</v>
      </c>
      <c r="EA743" s="1468"/>
      <c r="EB743" s="1468"/>
      <c r="EC743" s="1468"/>
      <c r="ED743" s="1468"/>
      <c r="EE743" s="1468">
        <f t="shared" si="26"/>
        <v>0</v>
      </c>
      <c r="EF743" s="1468"/>
      <c r="EG743" s="1468"/>
      <c r="EH743" s="1468"/>
      <c r="EI743" s="1468"/>
      <c r="EJ743" s="1468">
        <f t="shared" si="27"/>
        <v>0</v>
      </c>
      <c r="EK743" s="1468"/>
      <c r="EL743" s="1468"/>
      <c r="EM743" s="1468"/>
      <c r="EN743" s="1468"/>
      <c r="EO743" s="1468">
        <f t="shared" si="28"/>
        <v>0</v>
      </c>
      <c r="EP743" s="1468"/>
      <c r="EQ743" s="1468"/>
      <c r="ER743" s="1468"/>
      <c r="ES743" s="1468"/>
      <c r="ET743" s="1468">
        <f t="shared" si="29"/>
        <v>0</v>
      </c>
      <c r="EU743" s="1468"/>
      <c r="EV743" s="1468"/>
      <c r="EW743" s="1468"/>
      <c r="EX743" s="1468"/>
      <c r="EY743"/>
      <c r="EZ743" s="1488" t="str">
        <f t="shared" si="30"/>
        <v/>
      </c>
      <c r="FA743" s="1495"/>
      <c r="FB743" s="1495"/>
      <c r="FC743" s="1495"/>
      <c r="FD743" s="1489"/>
      <c r="FE743" s="1488" t="str">
        <f t="shared" si="31"/>
        <v/>
      </c>
      <c r="FF743" s="1495"/>
      <c r="FG743" s="1495"/>
      <c r="FH743" s="1495"/>
      <c r="FI743" s="1489"/>
      <c r="FJ743" s="1488" t="str">
        <f t="shared" si="32"/>
        <v/>
      </c>
      <c r="FK743" s="1495"/>
      <c r="FL743" s="1495"/>
      <c r="FM743" s="1495"/>
      <c r="FN743" s="1489"/>
      <c r="FO743" s="1488" t="str">
        <f t="shared" si="33"/>
        <v/>
      </c>
      <c r="FP743" s="1495"/>
      <c r="FQ743" s="1495"/>
      <c r="FR743" s="1495"/>
      <c r="FS743" s="1489"/>
      <c r="FT743" s="1488" t="str">
        <f t="shared" si="34"/>
        <v/>
      </c>
      <c r="FU743" s="1495"/>
      <c r="FV743" s="1495"/>
      <c r="FW743" s="1495"/>
      <c r="FX743" s="1489"/>
      <c r="FY743" s="1488" t="str">
        <f t="shared" si="35"/>
        <v/>
      </c>
      <c r="FZ743" s="1495"/>
      <c r="GA743" s="1495"/>
      <c r="GB743" s="1495"/>
      <c r="GC743" s="1489"/>
    </row>
    <row r="744" spans="1:185" ht="13" customHeight="1">
      <c r="B744" s="1353"/>
      <c r="C744" s="1354"/>
      <c r="D744" s="1354"/>
      <c r="E744" s="1354"/>
      <c r="F744" s="1355"/>
      <c r="G744" s="1357"/>
      <c r="H744" s="1358"/>
      <c r="I744" s="1358"/>
      <c r="J744" s="1359"/>
      <c r="K744" s="1367"/>
      <c r="L744" s="1368"/>
      <c r="M744" s="1368"/>
      <c r="N744" s="1369"/>
      <c r="O744" s="1350"/>
      <c r="P744" s="1351"/>
      <c r="Q744" s="1351"/>
      <c r="R744" s="1351"/>
      <c r="S744" s="1352"/>
      <c r="T744" s="1350"/>
      <c r="U744" s="1351"/>
      <c r="V744" s="1351"/>
      <c r="W744" s="1352"/>
      <c r="X744" s="1360">
        <f t="shared" si="39"/>
        <v>0</v>
      </c>
      <c r="Y744" s="1361"/>
      <c r="Z744" s="1361"/>
      <c r="AA744" s="1361"/>
      <c r="AB744" s="1362"/>
      <c r="AC744" s="1347"/>
      <c r="AD744" s="1348"/>
      <c r="AE744" s="1348"/>
      <c r="AF744" s="1348"/>
      <c r="AG744" s="1349"/>
      <c r="AH744" s="1363" t="str">
        <f t="shared" si="36"/>
        <v/>
      </c>
      <c r="AI744" s="1364"/>
      <c r="AJ744" s="1365"/>
      <c r="AK744" s="1353" t="s">
        <v>591</v>
      </c>
      <c r="AL744" s="1354"/>
      <c r="AM744" s="1354"/>
      <c r="AN744" s="1354"/>
      <c r="AO744" s="1355"/>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88">
        <f t="shared" si="37"/>
        <v>0</v>
      </c>
      <c r="CH744" s="1489"/>
      <c r="CI744" s="1493">
        <f t="shared" si="38"/>
        <v>0</v>
      </c>
      <c r="CJ744" s="1494"/>
      <c r="CK744" s="1488">
        <f t="shared" si="16"/>
        <v>0</v>
      </c>
      <c r="CL744" s="1489"/>
      <c r="CM744" s="1493">
        <f t="shared" si="17"/>
        <v>0</v>
      </c>
      <c r="CN744" s="1494"/>
      <c r="CO744" s="3"/>
      <c r="CP744" s="1490">
        <f t="shared" si="18"/>
        <v>0</v>
      </c>
      <c r="CQ744" s="1491"/>
      <c r="CR744" s="1491"/>
      <c r="CS744" s="1491"/>
      <c r="CT744" s="1492"/>
      <c r="CU744" s="1467">
        <f t="shared" si="19"/>
        <v>0</v>
      </c>
      <c r="CV744" s="1467"/>
      <c r="CW744" s="1467"/>
      <c r="CX744" s="1467"/>
      <c r="CY744" s="1467"/>
      <c r="CZ744" s="1467">
        <f t="shared" si="20"/>
        <v>0</v>
      </c>
      <c r="DA744" s="1467"/>
      <c r="DB744" s="1467"/>
      <c r="DC744" s="1467"/>
      <c r="DD744" s="1467"/>
      <c r="DE744" s="1467">
        <f t="shared" si="21"/>
        <v>0</v>
      </c>
      <c r="DF744" s="1467"/>
      <c r="DG744" s="1467"/>
      <c r="DH744" s="1467"/>
      <c r="DI744" s="1467"/>
      <c r="DJ744" s="1467">
        <f t="shared" si="22"/>
        <v>0</v>
      </c>
      <c r="DK744" s="1467"/>
      <c r="DL744" s="1467"/>
      <c r="DM744" s="1467"/>
      <c r="DN744" s="1467"/>
      <c r="DO744" s="1467">
        <f t="shared" si="23"/>
        <v>0</v>
      </c>
      <c r="DP744" s="1467"/>
      <c r="DQ744" s="1467"/>
      <c r="DR744" s="1467"/>
      <c r="DS744" s="1467"/>
      <c r="DT744" s="6"/>
      <c r="DU744" s="1468">
        <f t="shared" si="24"/>
        <v>0</v>
      </c>
      <c r="DV744" s="1468"/>
      <c r="DW744" s="1468"/>
      <c r="DX744" s="1468"/>
      <c r="DY744" s="1468"/>
      <c r="DZ744" s="1468">
        <f t="shared" si="25"/>
        <v>0</v>
      </c>
      <c r="EA744" s="1468"/>
      <c r="EB744" s="1468"/>
      <c r="EC744" s="1468"/>
      <c r="ED744" s="1468"/>
      <c r="EE744" s="1468">
        <f t="shared" si="26"/>
        <v>0</v>
      </c>
      <c r="EF744" s="1468"/>
      <c r="EG744" s="1468"/>
      <c r="EH744" s="1468"/>
      <c r="EI744" s="1468"/>
      <c r="EJ744" s="1468">
        <f t="shared" si="27"/>
        <v>0</v>
      </c>
      <c r="EK744" s="1468"/>
      <c r="EL744" s="1468"/>
      <c r="EM744" s="1468"/>
      <c r="EN744" s="1468"/>
      <c r="EO744" s="1468">
        <f t="shared" si="28"/>
        <v>0</v>
      </c>
      <c r="EP744" s="1468"/>
      <c r="EQ744" s="1468"/>
      <c r="ER744" s="1468"/>
      <c r="ES744" s="1468"/>
      <c r="ET744" s="1468">
        <f t="shared" si="29"/>
        <v>0</v>
      </c>
      <c r="EU744" s="1468"/>
      <c r="EV744" s="1468"/>
      <c r="EW744" s="1468"/>
      <c r="EX744" s="1468"/>
      <c r="EZ744" s="1488" t="str">
        <f t="shared" si="30"/>
        <v/>
      </c>
      <c r="FA744" s="1495"/>
      <c r="FB744" s="1495"/>
      <c r="FC744" s="1495"/>
      <c r="FD744" s="1489"/>
      <c r="FE744" s="1488" t="str">
        <f t="shared" si="31"/>
        <v/>
      </c>
      <c r="FF744" s="1495"/>
      <c r="FG744" s="1495"/>
      <c r="FH744" s="1495"/>
      <c r="FI744" s="1489"/>
      <c r="FJ744" s="1488" t="str">
        <f t="shared" si="32"/>
        <v/>
      </c>
      <c r="FK744" s="1495"/>
      <c r="FL744" s="1495"/>
      <c r="FM744" s="1495"/>
      <c r="FN744" s="1489"/>
      <c r="FO744" s="1488" t="str">
        <f t="shared" si="33"/>
        <v/>
      </c>
      <c r="FP744" s="1495"/>
      <c r="FQ744" s="1495"/>
      <c r="FR744" s="1495"/>
      <c r="FS744" s="1489"/>
      <c r="FT744" s="1488" t="str">
        <f t="shared" si="34"/>
        <v/>
      </c>
      <c r="FU744" s="1495"/>
      <c r="FV744" s="1495"/>
      <c r="FW744" s="1495"/>
      <c r="FX744" s="1489"/>
      <c r="FY744" s="1488" t="str">
        <f t="shared" si="35"/>
        <v/>
      </c>
      <c r="FZ744" s="1495"/>
      <c r="GA744" s="1495"/>
      <c r="GB744" s="1495"/>
      <c r="GC744" s="1489"/>
    </row>
    <row r="745" spans="1:185" ht="13" customHeight="1">
      <c r="B745" s="1353"/>
      <c r="C745" s="1354"/>
      <c r="D745" s="1354"/>
      <c r="E745" s="1354"/>
      <c r="F745" s="1355"/>
      <c r="G745" s="1357"/>
      <c r="H745" s="1358"/>
      <c r="I745" s="1358"/>
      <c r="J745" s="1359"/>
      <c r="K745" s="1367"/>
      <c r="L745" s="1368"/>
      <c r="M745" s="1368"/>
      <c r="N745" s="1369"/>
      <c r="O745" s="1350"/>
      <c r="P745" s="1351"/>
      <c r="Q745" s="1351"/>
      <c r="R745" s="1351"/>
      <c r="S745" s="1352"/>
      <c r="T745" s="1350"/>
      <c r="U745" s="1351"/>
      <c r="V745" s="1351"/>
      <c r="W745" s="1352"/>
      <c r="X745" s="1360">
        <f t="shared" si="39"/>
        <v>0</v>
      </c>
      <c r="Y745" s="1361"/>
      <c r="Z745" s="1361"/>
      <c r="AA745" s="1361"/>
      <c r="AB745" s="1362"/>
      <c r="AC745" s="1347"/>
      <c r="AD745" s="1348"/>
      <c r="AE745" s="1348"/>
      <c r="AF745" s="1348"/>
      <c r="AG745" s="1349"/>
      <c r="AH745" s="1363" t="str">
        <f t="shared" si="36"/>
        <v/>
      </c>
      <c r="AI745" s="1364"/>
      <c r="AJ745" s="1365"/>
      <c r="AK745" s="1353" t="s">
        <v>591</v>
      </c>
      <c r="AL745" s="1354"/>
      <c r="AM745" s="1354"/>
      <c r="AN745" s="1354"/>
      <c r="AO745" s="1355"/>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88">
        <f t="shared" si="37"/>
        <v>0</v>
      </c>
      <c r="CH745" s="1489"/>
      <c r="CI745" s="1493">
        <f t="shared" si="38"/>
        <v>0</v>
      </c>
      <c r="CJ745" s="1494"/>
      <c r="CK745" s="1488">
        <f t="shared" si="16"/>
        <v>0</v>
      </c>
      <c r="CL745" s="1489"/>
      <c r="CM745" s="1493">
        <f t="shared" si="17"/>
        <v>0</v>
      </c>
      <c r="CN745" s="1494"/>
      <c r="CO745" s="3"/>
      <c r="CP745" s="1490">
        <f t="shared" si="18"/>
        <v>0</v>
      </c>
      <c r="CQ745" s="1491"/>
      <c r="CR745" s="1491"/>
      <c r="CS745" s="1491"/>
      <c r="CT745" s="1492"/>
      <c r="CU745" s="1467">
        <f t="shared" si="19"/>
        <v>0</v>
      </c>
      <c r="CV745" s="1467"/>
      <c r="CW745" s="1467"/>
      <c r="CX745" s="1467"/>
      <c r="CY745" s="1467"/>
      <c r="CZ745" s="1467">
        <f t="shared" si="20"/>
        <v>0</v>
      </c>
      <c r="DA745" s="1467"/>
      <c r="DB745" s="1467"/>
      <c r="DC745" s="1467"/>
      <c r="DD745" s="1467"/>
      <c r="DE745" s="1467">
        <f t="shared" si="21"/>
        <v>0</v>
      </c>
      <c r="DF745" s="1467"/>
      <c r="DG745" s="1467"/>
      <c r="DH745" s="1467"/>
      <c r="DI745" s="1467"/>
      <c r="DJ745" s="1467">
        <f t="shared" si="22"/>
        <v>0</v>
      </c>
      <c r="DK745" s="1467"/>
      <c r="DL745" s="1467"/>
      <c r="DM745" s="1467"/>
      <c r="DN745" s="1467"/>
      <c r="DO745" s="1467">
        <f t="shared" si="23"/>
        <v>0</v>
      </c>
      <c r="DP745" s="1467"/>
      <c r="DQ745" s="1467"/>
      <c r="DR745" s="1467"/>
      <c r="DS745" s="1467"/>
      <c r="DT745" s="6"/>
      <c r="DU745" s="1468">
        <f t="shared" si="24"/>
        <v>0</v>
      </c>
      <c r="DV745" s="1468"/>
      <c r="DW745" s="1468"/>
      <c r="DX745" s="1468"/>
      <c r="DY745" s="1468"/>
      <c r="DZ745" s="1468">
        <f t="shared" si="25"/>
        <v>0</v>
      </c>
      <c r="EA745" s="1468"/>
      <c r="EB745" s="1468"/>
      <c r="EC745" s="1468"/>
      <c r="ED745" s="1468"/>
      <c r="EE745" s="1468">
        <f t="shared" si="26"/>
        <v>0</v>
      </c>
      <c r="EF745" s="1468"/>
      <c r="EG745" s="1468"/>
      <c r="EH745" s="1468"/>
      <c r="EI745" s="1468"/>
      <c r="EJ745" s="1468">
        <f t="shared" si="27"/>
        <v>0</v>
      </c>
      <c r="EK745" s="1468"/>
      <c r="EL745" s="1468"/>
      <c r="EM745" s="1468"/>
      <c r="EN745" s="1468"/>
      <c r="EO745" s="1468">
        <f t="shared" si="28"/>
        <v>0</v>
      </c>
      <c r="EP745" s="1468"/>
      <c r="EQ745" s="1468"/>
      <c r="ER745" s="1468"/>
      <c r="ES745" s="1468"/>
      <c r="ET745" s="1468">
        <f t="shared" si="29"/>
        <v>0</v>
      </c>
      <c r="EU745" s="1468"/>
      <c r="EV745" s="1468"/>
      <c r="EW745" s="1468"/>
      <c r="EX745" s="1468"/>
      <c r="EZ745" s="1488" t="str">
        <f t="shared" si="30"/>
        <v/>
      </c>
      <c r="FA745" s="1495"/>
      <c r="FB745" s="1495"/>
      <c r="FC745" s="1495"/>
      <c r="FD745" s="1489"/>
      <c r="FE745" s="1488" t="str">
        <f t="shared" si="31"/>
        <v/>
      </c>
      <c r="FF745" s="1495"/>
      <c r="FG745" s="1495"/>
      <c r="FH745" s="1495"/>
      <c r="FI745" s="1489"/>
      <c r="FJ745" s="1488" t="str">
        <f t="shared" si="32"/>
        <v/>
      </c>
      <c r="FK745" s="1495"/>
      <c r="FL745" s="1495"/>
      <c r="FM745" s="1495"/>
      <c r="FN745" s="1489"/>
      <c r="FO745" s="1488" t="str">
        <f t="shared" si="33"/>
        <v/>
      </c>
      <c r="FP745" s="1495"/>
      <c r="FQ745" s="1495"/>
      <c r="FR745" s="1495"/>
      <c r="FS745" s="1489"/>
      <c r="FT745" s="1488" t="str">
        <f t="shared" si="34"/>
        <v/>
      </c>
      <c r="FU745" s="1495"/>
      <c r="FV745" s="1495"/>
      <c r="FW745" s="1495"/>
      <c r="FX745" s="1489"/>
      <c r="FY745" s="1488" t="str">
        <f t="shared" si="35"/>
        <v/>
      </c>
      <c r="FZ745" s="1495"/>
      <c r="GA745" s="1495"/>
      <c r="GB745" s="1495"/>
      <c r="GC745" s="1489"/>
    </row>
    <row r="746" spans="1:185" ht="13" customHeight="1">
      <c r="B746" s="1353"/>
      <c r="C746" s="1354"/>
      <c r="D746" s="1354"/>
      <c r="E746" s="1354"/>
      <c r="F746" s="1355"/>
      <c r="G746" s="1357"/>
      <c r="H746" s="1358"/>
      <c r="I746" s="1358"/>
      <c r="J746" s="1359"/>
      <c r="K746" s="1367"/>
      <c r="L746" s="1368"/>
      <c r="M746" s="1368"/>
      <c r="N746" s="1369"/>
      <c r="O746" s="1350"/>
      <c r="P746" s="1351"/>
      <c r="Q746" s="1351"/>
      <c r="R746" s="1351"/>
      <c r="S746" s="1352"/>
      <c r="T746" s="1350"/>
      <c r="U746" s="1351"/>
      <c r="V746" s="1351"/>
      <c r="W746" s="1352"/>
      <c r="X746" s="1360">
        <f t="shared" si="39"/>
        <v>0</v>
      </c>
      <c r="Y746" s="1361"/>
      <c r="Z746" s="1361"/>
      <c r="AA746" s="1361"/>
      <c r="AB746" s="1362"/>
      <c r="AC746" s="1347"/>
      <c r="AD746" s="1348"/>
      <c r="AE746" s="1348"/>
      <c r="AF746" s="1348"/>
      <c r="AG746" s="1349"/>
      <c r="AH746" s="1363" t="str">
        <f t="shared" si="36"/>
        <v/>
      </c>
      <c r="AI746" s="1364"/>
      <c r="AJ746" s="1365"/>
      <c r="AK746" s="1353" t="s">
        <v>591</v>
      </c>
      <c r="AL746" s="1354"/>
      <c r="AM746" s="1354"/>
      <c r="AN746" s="1354"/>
      <c r="AO746" s="1355"/>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88">
        <f t="shared" si="37"/>
        <v>0</v>
      </c>
      <c r="CH746" s="1489"/>
      <c r="CI746" s="1493">
        <f t="shared" si="38"/>
        <v>0</v>
      </c>
      <c r="CJ746" s="1494"/>
      <c r="CK746" s="1488">
        <f t="shared" si="16"/>
        <v>0</v>
      </c>
      <c r="CL746" s="1489"/>
      <c r="CM746" s="1493">
        <f t="shared" si="17"/>
        <v>0</v>
      </c>
      <c r="CN746" s="1494"/>
      <c r="CO746" s="3"/>
      <c r="CP746" s="1490">
        <f t="shared" si="18"/>
        <v>0</v>
      </c>
      <c r="CQ746" s="1491"/>
      <c r="CR746" s="1491"/>
      <c r="CS746" s="1491"/>
      <c r="CT746" s="1492"/>
      <c r="CU746" s="1467">
        <f t="shared" si="19"/>
        <v>0</v>
      </c>
      <c r="CV746" s="1467"/>
      <c r="CW746" s="1467"/>
      <c r="CX746" s="1467"/>
      <c r="CY746" s="1467"/>
      <c r="CZ746" s="1467">
        <f t="shared" si="20"/>
        <v>0</v>
      </c>
      <c r="DA746" s="1467"/>
      <c r="DB746" s="1467"/>
      <c r="DC746" s="1467"/>
      <c r="DD746" s="1467"/>
      <c r="DE746" s="1467">
        <f t="shared" si="21"/>
        <v>0</v>
      </c>
      <c r="DF746" s="1467"/>
      <c r="DG746" s="1467"/>
      <c r="DH746" s="1467"/>
      <c r="DI746" s="1467"/>
      <c r="DJ746" s="1467">
        <f t="shared" si="22"/>
        <v>0</v>
      </c>
      <c r="DK746" s="1467"/>
      <c r="DL746" s="1467"/>
      <c r="DM746" s="1467"/>
      <c r="DN746" s="1467"/>
      <c r="DO746" s="1467">
        <f t="shared" si="23"/>
        <v>0</v>
      </c>
      <c r="DP746" s="1467"/>
      <c r="DQ746" s="1467"/>
      <c r="DR746" s="1467"/>
      <c r="DS746" s="1467"/>
      <c r="DT746" s="6"/>
      <c r="DU746" s="1468">
        <f t="shared" si="24"/>
        <v>0</v>
      </c>
      <c r="DV746" s="1468"/>
      <c r="DW746" s="1468"/>
      <c r="DX746" s="1468"/>
      <c r="DY746" s="1468"/>
      <c r="DZ746" s="1468">
        <f t="shared" si="25"/>
        <v>0</v>
      </c>
      <c r="EA746" s="1468"/>
      <c r="EB746" s="1468"/>
      <c r="EC746" s="1468"/>
      <c r="ED746" s="1468"/>
      <c r="EE746" s="1468">
        <f t="shared" si="26"/>
        <v>0</v>
      </c>
      <c r="EF746" s="1468"/>
      <c r="EG746" s="1468"/>
      <c r="EH746" s="1468"/>
      <c r="EI746" s="1468"/>
      <c r="EJ746" s="1468">
        <f t="shared" si="27"/>
        <v>0</v>
      </c>
      <c r="EK746" s="1468"/>
      <c r="EL746" s="1468"/>
      <c r="EM746" s="1468"/>
      <c r="EN746" s="1468"/>
      <c r="EO746" s="1468">
        <f t="shared" si="28"/>
        <v>0</v>
      </c>
      <c r="EP746" s="1468"/>
      <c r="EQ746" s="1468"/>
      <c r="ER746" s="1468"/>
      <c r="ES746" s="1468"/>
      <c r="ET746" s="1468">
        <f t="shared" si="29"/>
        <v>0</v>
      </c>
      <c r="EU746" s="1468"/>
      <c r="EV746" s="1468"/>
      <c r="EW746" s="1468"/>
      <c r="EX746" s="1468"/>
      <c r="EZ746" s="1488" t="str">
        <f t="shared" si="30"/>
        <v/>
      </c>
      <c r="FA746" s="1495"/>
      <c r="FB746" s="1495"/>
      <c r="FC746" s="1495"/>
      <c r="FD746" s="1489"/>
      <c r="FE746" s="1488" t="str">
        <f t="shared" si="31"/>
        <v/>
      </c>
      <c r="FF746" s="1495"/>
      <c r="FG746" s="1495"/>
      <c r="FH746" s="1495"/>
      <c r="FI746" s="1489"/>
      <c r="FJ746" s="1488" t="str">
        <f t="shared" si="32"/>
        <v/>
      </c>
      <c r="FK746" s="1495"/>
      <c r="FL746" s="1495"/>
      <c r="FM746" s="1495"/>
      <c r="FN746" s="1489"/>
      <c r="FO746" s="1488" t="str">
        <f t="shared" si="33"/>
        <v/>
      </c>
      <c r="FP746" s="1495"/>
      <c r="FQ746" s="1495"/>
      <c r="FR746" s="1495"/>
      <c r="FS746" s="1489"/>
      <c r="FT746" s="1488" t="str">
        <f t="shared" si="34"/>
        <v/>
      </c>
      <c r="FU746" s="1495"/>
      <c r="FV746" s="1495"/>
      <c r="FW746" s="1495"/>
      <c r="FX746" s="1489"/>
      <c r="FY746" s="1488" t="str">
        <f t="shared" si="35"/>
        <v/>
      </c>
      <c r="FZ746" s="1495"/>
      <c r="GA746" s="1495"/>
      <c r="GB746" s="1495"/>
      <c r="GC746" s="1489"/>
    </row>
    <row r="747" spans="1:185" ht="13" customHeight="1">
      <c r="B747" s="1353"/>
      <c r="C747" s="1354"/>
      <c r="D747" s="1354"/>
      <c r="E747" s="1354"/>
      <c r="F747" s="1355"/>
      <c r="G747" s="1357"/>
      <c r="H747" s="1358"/>
      <c r="I747" s="1358"/>
      <c r="J747" s="1359"/>
      <c r="K747" s="1367"/>
      <c r="L747" s="1368"/>
      <c r="M747" s="1368"/>
      <c r="N747" s="1369"/>
      <c r="O747" s="1350"/>
      <c r="P747" s="1351"/>
      <c r="Q747" s="1351"/>
      <c r="R747" s="1351"/>
      <c r="S747" s="1352"/>
      <c r="T747" s="1350"/>
      <c r="U747" s="1351"/>
      <c r="V747" s="1351"/>
      <c r="W747" s="1352"/>
      <c r="X747" s="1360">
        <f t="shared" si="39"/>
        <v>0</v>
      </c>
      <c r="Y747" s="1361"/>
      <c r="Z747" s="1361"/>
      <c r="AA747" s="1361"/>
      <c r="AB747" s="1362"/>
      <c r="AC747" s="1347"/>
      <c r="AD747" s="1348"/>
      <c r="AE747" s="1348"/>
      <c r="AF747" s="1348"/>
      <c r="AG747" s="1349"/>
      <c r="AH747" s="1363" t="str">
        <f t="shared" si="36"/>
        <v/>
      </c>
      <c r="AI747" s="1364"/>
      <c r="AJ747" s="1365"/>
      <c r="AK747" s="1353" t="s">
        <v>591</v>
      </c>
      <c r="AL747" s="1354"/>
      <c r="AM747" s="1354"/>
      <c r="AN747" s="1354"/>
      <c r="AO747" s="1355"/>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88">
        <f t="shared" si="37"/>
        <v>0</v>
      </c>
      <c r="CH747" s="1489"/>
      <c r="CI747" s="1493">
        <f t="shared" si="38"/>
        <v>0</v>
      </c>
      <c r="CJ747" s="1494"/>
      <c r="CK747" s="1488">
        <f t="shared" si="16"/>
        <v>0</v>
      </c>
      <c r="CL747" s="1489"/>
      <c r="CM747" s="1493">
        <f t="shared" si="17"/>
        <v>0</v>
      </c>
      <c r="CN747" s="1494"/>
      <c r="CO747" s="3"/>
      <c r="CP747" s="1490">
        <f t="shared" si="18"/>
        <v>0</v>
      </c>
      <c r="CQ747" s="1491"/>
      <c r="CR747" s="1491"/>
      <c r="CS747" s="1491"/>
      <c r="CT747" s="1492"/>
      <c r="CU747" s="1467">
        <f t="shared" si="19"/>
        <v>0</v>
      </c>
      <c r="CV747" s="1467"/>
      <c r="CW747" s="1467"/>
      <c r="CX747" s="1467"/>
      <c r="CY747" s="1467"/>
      <c r="CZ747" s="1467">
        <f t="shared" si="20"/>
        <v>0</v>
      </c>
      <c r="DA747" s="1467"/>
      <c r="DB747" s="1467"/>
      <c r="DC747" s="1467"/>
      <c r="DD747" s="1467"/>
      <c r="DE747" s="1467">
        <f t="shared" si="21"/>
        <v>0</v>
      </c>
      <c r="DF747" s="1467"/>
      <c r="DG747" s="1467"/>
      <c r="DH747" s="1467"/>
      <c r="DI747" s="1467"/>
      <c r="DJ747" s="1467">
        <f t="shared" si="22"/>
        <v>0</v>
      </c>
      <c r="DK747" s="1467"/>
      <c r="DL747" s="1467"/>
      <c r="DM747" s="1467"/>
      <c r="DN747" s="1467"/>
      <c r="DO747" s="1467">
        <f t="shared" si="23"/>
        <v>0</v>
      </c>
      <c r="DP747" s="1467"/>
      <c r="DQ747" s="1467"/>
      <c r="DR747" s="1467"/>
      <c r="DS747" s="1467"/>
      <c r="DT747" s="6"/>
      <c r="DU747" s="1468">
        <f t="shared" si="24"/>
        <v>0</v>
      </c>
      <c r="DV747" s="1468"/>
      <c r="DW747" s="1468"/>
      <c r="DX747" s="1468"/>
      <c r="DY747" s="1468"/>
      <c r="DZ747" s="1468">
        <f t="shared" si="25"/>
        <v>0</v>
      </c>
      <c r="EA747" s="1468"/>
      <c r="EB747" s="1468"/>
      <c r="EC747" s="1468"/>
      <c r="ED747" s="1468"/>
      <c r="EE747" s="1468">
        <f t="shared" si="26"/>
        <v>0</v>
      </c>
      <c r="EF747" s="1468"/>
      <c r="EG747" s="1468"/>
      <c r="EH747" s="1468"/>
      <c r="EI747" s="1468"/>
      <c r="EJ747" s="1468">
        <f t="shared" si="27"/>
        <v>0</v>
      </c>
      <c r="EK747" s="1468"/>
      <c r="EL747" s="1468"/>
      <c r="EM747" s="1468"/>
      <c r="EN747" s="1468"/>
      <c r="EO747" s="1468">
        <f t="shared" si="28"/>
        <v>0</v>
      </c>
      <c r="EP747" s="1468"/>
      <c r="EQ747" s="1468"/>
      <c r="ER747" s="1468"/>
      <c r="ES747" s="1468"/>
      <c r="ET747" s="1468">
        <f t="shared" si="29"/>
        <v>0</v>
      </c>
      <c r="EU747" s="1468"/>
      <c r="EV747" s="1468"/>
      <c r="EW747" s="1468"/>
      <c r="EX747" s="1468"/>
      <c r="EZ747" s="1488" t="str">
        <f t="shared" si="30"/>
        <v/>
      </c>
      <c r="FA747" s="1495"/>
      <c r="FB747" s="1495"/>
      <c r="FC747" s="1495"/>
      <c r="FD747" s="1489"/>
      <c r="FE747" s="1488" t="str">
        <f t="shared" si="31"/>
        <v/>
      </c>
      <c r="FF747" s="1495"/>
      <c r="FG747" s="1495"/>
      <c r="FH747" s="1495"/>
      <c r="FI747" s="1489"/>
      <c r="FJ747" s="1488" t="str">
        <f t="shared" si="32"/>
        <v/>
      </c>
      <c r="FK747" s="1495"/>
      <c r="FL747" s="1495"/>
      <c r="FM747" s="1495"/>
      <c r="FN747" s="1489"/>
      <c r="FO747" s="1488" t="str">
        <f t="shared" si="33"/>
        <v/>
      </c>
      <c r="FP747" s="1495"/>
      <c r="FQ747" s="1495"/>
      <c r="FR747" s="1495"/>
      <c r="FS747" s="1489"/>
      <c r="FT747" s="1488" t="str">
        <f t="shared" si="34"/>
        <v/>
      </c>
      <c r="FU747" s="1495"/>
      <c r="FV747" s="1495"/>
      <c r="FW747" s="1495"/>
      <c r="FX747" s="1489"/>
      <c r="FY747" s="1488" t="str">
        <f t="shared" si="35"/>
        <v/>
      </c>
      <c r="FZ747" s="1495"/>
      <c r="GA747" s="1495"/>
      <c r="GB747" s="1495"/>
      <c r="GC747" s="1489"/>
    </row>
    <row r="748" spans="1:185" s="3" customFormat="1" ht="13" customHeight="1">
      <c r="A748"/>
      <c r="B748" s="1353"/>
      <c r="C748" s="1354"/>
      <c r="D748" s="1354"/>
      <c r="E748" s="1354"/>
      <c r="F748" s="1355"/>
      <c r="G748" s="1357"/>
      <c r="H748" s="1358"/>
      <c r="I748" s="1358"/>
      <c r="J748" s="1359"/>
      <c r="K748" s="1367"/>
      <c r="L748" s="1368"/>
      <c r="M748" s="1368"/>
      <c r="N748" s="1369"/>
      <c r="O748" s="1350"/>
      <c r="P748" s="1351"/>
      <c r="Q748" s="1351"/>
      <c r="R748" s="1351"/>
      <c r="S748" s="1352"/>
      <c r="T748" s="1350"/>
      <c r="U748" s="1351"/>
      <c r="V748" s="1351"/>
      <c r="W748" s="1352"/>
      <c r="X748" s="1360">
        <f t="shared" si="39"/>
        <v>0</v>
      </c>
      <c r="Y748" s="1361"/>
      <c r="Z748" s="1361"/>
      <c r="AA748" s="1361"/>
      <c r="AB748" s="1362"/>
      <c r="AC748" s="1347"/>
      <c r="AD748" s="1348"/>
      <c r="AE748" s="1348"/>
      <c r="AF748" s="1348"/>
      <c r="AG748" s="1349"/>
      <c r="AH748" s="1363" t="str">
        <f t="shared" si="36"/>
        <v/>
      </c>
      <c r="AI748" s="1364"/>
      <c r="AJ748" s="1365"/>
      <c r="AK748" s="1353" t="s">
        <v>591</v>
      </c>
      <c r="AL748" s="1354"/>
      <c r="AM748" s="1354"/>
      <c r="AN748" s="1354"/>
      <c r="AO748" s="1355"/>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88">
        <f t="shared" si="37"/>
        <v>0</v>
      </c>
      <c r="CH748" s="1489"/>
      <c r="CI748" s="1493">
        <f t="shared" si="38"/>
        <v>0</v>
      </c>
      <c r="CJ748" s="1494"/>
      <c r="CK748" s="1488">
        <f t="shared" si="16"/>
        <v>0</v>
      </c>
      <c r="CL748" s="1489"/>
      <c r="CM748" s="1493">
        <f t="shared" si="17"/>
        <v>0</v>
      </c>
      <c r="CN748" s="1494"/>
      <c r="CP748" s="1490">
        <f t="shared" si="18"/>
        <v>0</v>
      </c>
      <c r="CQ748" s="1491"/>
      <c r="CR748" s="1491"/>
      <c r="CS748" s="1491"/>
      <c r="CT748" s="1492"/>
      <c r="CU748" s="1467">
        <f t="shared" si="19"/>
        <v>0</v>
      </c>
      <c r="CV748" s="1467"/>
      <c r="CW748" s="1467"/>
      <c r="CX748" s="1467"/>
      <c r="CY748" s="1467"/>
      <c r="CZ748" s="1467">
        <f t="shared" si="20"/>
        <v>0</v>
      </c>
      <c r="DA748" s="1467"/>
      <c r="DB748" s="1467"/>
      <c r="DC748" s="1467"/>
      <c r="DD748" s="1467"/>
      <c r="DE748" s="1467">
        <f t="shared" si="21"/>
        <v>0</v>
      </c>
      <c r="DF748" s="1467"/>
      <c r="DG748" s="1467"/>
      <c r="DH748" s="1467"/>
      <c r="DI748" s="1467"/>
      <c r="DJ748" s="1467">
        <f t="shared" si="22"/>
        <v>0</v>
      </c>
      <c r="DK748" s="1467"/>
      <c r="DL748" s="1467"/>
      <c r="DM748" s="1467"/>
      <c r="DN748" s="1467"/>
      <c r="DO748" s="1467">
        <f t="shared" si="23"/>
        <v>0</v>
      </c>
      <c r="DP748" s="1467"/>
      <c r="DQ748" s="1467"/>
      <c r="DR748" s="1467"/>
      <c r="DS748" s="1467"/>
      <c r="DT748" s="6"/>
      <c r="DU748" s="1468">
        <f t="shared" si="24"/>
        <v>0</v>
      </c>
      <c r="DV748" s="1468"/>
      <c r="DW748" s="1468"/>
      <c r="DX748" s="1468"/>
      <c r="DY748" s="1468"/>
      <c r="DZ748" s="1468">
        <f t="shared" si="25"/>
        <v>0</v>
      </c>
      <c r="EA748" s="1468"/>
      <c r="EB748" s="1468"/>
      <c r="EC748" s="1468"/>
      <c r="ED748" s="1468"/>
      <c r="EE748" s="1468">
        <f t="shared" si="26"/>
        <v>0</v>
      </c>
      <c r="EF748" s="1468"/>
      <c r="EG748" s="1468"/>
      <c r="EH748" s="1468"/>
      <c r="EI748" s="1468"/>
      <c r="EJ748" s="1468">
        <f t="shared" si="27"/>
        <v>0</v>
      </c>
      <c r="EK748" s="1468"/>
      <c r="EL748" s="1468"/>
      <c r="EM748" s="1468"/>
      <c r="EN748" s="1468"/>
      <c r="EO748" s="1468">
        <f t="shared" si="28"/>
        <v>0</v>
      </c>
      <c r="EP748" s="1468"/>
      <c r="EQ748" s="1468"/>
      <c r="ER748" s="1468"/>
      <c r="ES748" s="1468"/>
      <c r="ET748" s="1468">
        <f t="shared" si="29"/>
        <v>0</v>
      </c>
      <c r="EU748" s="1468"/>
      <c r="EV748" s="1468"/>
      <c r="EW748" s="1468"/>
      <c r="EX748" s="1468"/>
      <c r="EY748"/>
      <c r="EZ748" s="1488" t="str">
        <f t="shared" si="30"/>
        <v/>
      </c>
      <c r="FA748" s="1495"/>
      <c r="FB748" s="1495"/>
      <c r="FC748" s="1495"/>
      <c r="FD748" s="1489"/>
      <c r="FE748" s="1488" t="str">
        <f t="shared" si="31"/>
        <v/>
      </c>
      <c r="FF748" s="1495"/>
      <c r="FG748" s="1495"/>
      <c r="FH748" s="1495"/>
      <c r="FI748" s="1489"/>
      <c r="FJ748" s="1488" t="str">
        <f t="shared" si="32"/>
        <v/>
      </c>
      <c r="FK748" s="1495"/>
      <c r="FL748" s="1495"/>
      <c r="FM748" s="1495"/>
      <c r="FN748" s="1489"/>
      <c r="FO748" s="1488" t="str">
        <f t="shared" si="33"/>
        <v/>
      </c>
      <c r="FP748" s="1495"/>
      <c r="FQ748" s="1495"/>
      <c r="FR748" s="1495"/>
      <c r="FS748" s="1489"/>
      <c r="FT748" s="1488" t="str">
        <f t="shared" si="34"/>
        <v/>
      </c>
      <c r="FU748" s="1495"/>
      <c r="FV748" s="1495"/>
      <c r="FW748" s="1495"/>
      <c r="FX748" s="1489"/>
      <c r="FY748" s="1488" t="str">
        <f t="shared" si="35"/>
        <v/>
      </c>
      <c r="FZ748" s="1495"/>
      <c r="GA748" s="1495"/>
      <c r="GB748" s="1495"/>
      <c r="GC748" s="1489"/>
    </row>
    <row r="749" spans="1:185" s="3" customFormat="1" ht="13" customHeight="1">
      <c r="A749"/>
      <c r="B749" s="1353"/>
      <c r="C749" s="1354"/>
      <c r="D749" s="1354"/>
      <c r="E749" s="1354"/>
      <c r="F749" s="1355"/>
      <c r="G749" s="1357"/>
      <c r="H749" s="1358"/>
      <c r="I749" s="1358"/>
      <c r="J749" s="1359"/>
      <c r="K749" s="1367"/>
      <c r="L749" s="1368"/>
      <c r="M749" s="1368"/>
      <c r="N749" s="1369"/>
      <c r="O749" s="1350"/>
      <c r="P749" s="1351"/>
      <c r="Q749" s="1351"/>
      <c r="R749" s="1351"/>
      <c r="S749" s="1352"/>
      <c r="T749" s="1350"/>
      <c r="U749" s="1351"/>
      <c r="V749" s="1351"/>
      <c r="W749" s="1352"/>
      <c r="X749" s="1360">
        <f t="shared" si="39"/>
        <v>0</v>
      </c>
      <c r="Y749" s="1361"/>
      <c r="Z749" s="1361"/>
      <c r="AA749" s="1361"/>
      <c r="AB749" s="1362"/>
      <c r="AC749" s="1347"/>
      <c r="AD749" s="1348"/>
      <c r="AE749" s="1348"/>
      <c r="AF749" s="1348"/>
      <c r="AG749" s="1349"/>
      <c r="AH749" s="1363" t="str">
        <f t="shared" si="36"/>
        <v/>
      </c>
      <c r="AI749" s="1364"/>
      <c r="AJ749" s="1365"/>
      <c r="AK749" s="1353" t="s">
        <v>591</v>
      </c>
      <c r="AL749" s="1354"/>
      <c r="AM749" s="1354"/>
      <c r="AN749" s="1354"/>
      <c r="AO749" s="1355"/>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88">
        <f t="shared" si="37"/>
        <v>0</v>
      </c>
      <c r="CH749" s="1489"/>
      <c r="CI749" s="1493">
        <f t="shared" si="38"/>
        <v>0</v>
      </c>
      <c r="CJ749" s="1494"/>
      <c r="CK749" s="1488">
        <f t="shared" si="16"/>
        <v>0</v>
      </c>
      <c r="CL749" s="1489"/>
      <c r="CM749" s="1493">
        <f t="shared" si="17"/>
        <v>0</v>
      </c>
      <c r="CN749" s="1494"/>
      <c r="CP749" s="1490">
        <f t="shared" si="18"/>
        <v>0</v>
      </c>
      <c r="CQ749" s="1491"/>
      <c r="CR749" s="1491"/>
      <c r="CS749" s="1491"/>
      <c r="CT749" s="1492"/>
      <c r="CU749" s="1467">
        <f t="shared" si="19"/>
        <v>0</v>
      </c>
      <c r="CV749" s="1467"/>
      <c r="CW749" s="1467"/>
      <c r="CX749" s="1467"/>
      <c r="CY749" s="1467"/>
      <c r="CZ749" s="1467">
        <f t="shared" si="20"/>
        <v>0</v>
      </c>
      <c r="DA749" s="1467"/>
      <c r="DB749" s="1467"/>
      <c r="DC749" s="1467"/>
      <c r="DD749" s="1467"/>
      <c r="DE749" s="1467">
        <f t="shared" si="21"/>
        <v>0</v>
      </c>
      <c r="DF749" s="1467"/>
      <c r="DG749" s="1467"/>
      <c r="DH749" s="1467"/>
      <c r="DI749" s="1467"/>
      <c r="DJ749" s="1467">
        <f t="shared" si="22"/>
        <v>0</v>
      </c>
      <c r="DK749" s="1467"/>
      <c r="DL749" s="1467"/>
      <c r="DM749" s="1467"/>
      <c r="DN749" s="1467"/>
      <c r="DO749" s="1467">
        <f t="shared" si="23"/>
        <v>0</v>
      </c>
      <c r="DP749" s="1467"/>
      <c r="DQ749" s="1467"/>
      <c r="DR749" s="1467"/>
      <c r="DS749" s="1467"/>
      <c r="DT749" s="6"/>
      <c r="DU749" s="1468">
        <f t="shared" si="24"/>
        <v>0</v>
      </c>
      <c r="DV749" s="1468"/>
      <c r="DW749" s="1468"/>
      <c r="DX749" s="1468"/>
      <c r="DY749" s="1468"/>
      <c r="DZ749" s="1468">
        <f t="shared" si="25"/>
        <v>0</v>
      </c>
      <c r="EA749" s="1468"/>
      <c r="EB749" s="1468"/>
      <c r="EC749" s="1468"/>
      <c r="ED749" s="1468"/>
      <c r="EE749" s="1468">
        <f t="shared" si="26"/>
        <v>0</v>
      </c>
      <c r="EF749" s="1468"/>
      <c r="EG749" s="1468"/>
      <c r="EH749" s="1468"/>
      <c r="EI749" s="1468"/>
      <c r="EJ749" s="1468">
        <f t="shared" si="27"/>
        <v>0</v>
      </c>
      <c r="EK749" s="1468"/>
      <c r="EL749" s="1468"/>
      <c r="EM749" s="1468"/>
      <c r="EN749" s="1468"/>
      <c r="EO749" s="1468">
        <f t="shared" si="28"/>
        <v>0</v>
      </c>
      <c r="EP749" s="1468"/>
      <c r="EQ749" s="1468"/>
      <c r="ER749" s="1468"/>
      <c r="ES749" s="1468"/>
      <c r="ET749" s="1468">
        <f t="shared" si="29"/>
        <v>0</v>
      </c>
      <c r="EU749" s="1468"/>
      <c r="EV749" s="1468"/>
      <c r="EW749" s="1468"/>
      <c r="EX749" s="1468"/>
      <c r="EY749"/>
      <c r="EZ749" s="1488" t="str">
        <f t="shared" si="30"/>
        <v/>
      </c>
      <c r="FA749" s="1495"/>
      <c r="FB749" s="1495"/>
      <c r="FC749" s="1495"/>
      <c r="FD749" s="1489"/>
      <c r="FE749" s="1488" t="str">
        <f t="shared" si="31"/>
        <v/>
      </c>
      <c r="FF749" s="1495"/>
      <c r="FG749" s="1495"/>
      <c r="FH749" s="1495"/>
      <c r="FI749" s="1489"/>
      <c r="FJ749" s="1488" t="str">
        <f t="shared" si="32"/>
        <v/>
      </c>
      <c r="FK749" s="1495"/>
      <c r="FL749" s="1495"/>
      <c r="FM749" s="1495"/>
      <c r="FN749" s="1489"/>
      <c r="FO749" s="1488" t="str">
        <f t="shared" si="33"/>
        <v/>
      </c>
      <c r="FP749" s="1495"/>
      <c r="FQ749" s="1495"/>
      <c r="FR749" s="1495"/>
      <c r="FS749" s="1489"/>
      <c r="FT749" s="1488" t="str">
        <f t="shared" si="34"/>
        <v/>
      </c>
      <c r="FU749" s="1495"/>
      <c r="FV749" s="1495"/>
      <c r="FW749" s="1495"/>
      <c r="FX749" s="1489"/>
      <c r="FY749" s="1488" t="str">
        <f t="shared" si="35"/>
        <v/>
      </c>
      <c r="FZ749" s="1495"/>
      <c r="GA749" s="1495"/>
      <c r="GB749" s="1495"/>
      <c r="GC749" s="1489"/>
    </row>
    <row r="750" spans="1:185" s="3" customFormat="1" ht="13" customHeight="1">
      <c r="A750"/>
      <c r="B750" s="1353"/>
      <c r="C750" s="1354"/>
      <c r="D750" s="1354"/>
      <c r="E750" s="1354"/>
      <c r="F750" s="1355"/>
      <c r="G750" s="1357"/>
      <c r="H750" s="1358"/>
      <c r="I750" s="1358"/>
      <c r="J750" s="1359"/>
      <c r="K750" s="1367"/>
      <c r="L750" s="1368"/>
      <c r="M750" s="1368"/>
      <c r="N750" s="1369"/>
      <c r="O750" s="1350"/>
      <c r="P750" s="1351"/>
      <c r="Q750" s="1351"/>
      <c r="R750" s="1351"/>
      <c r="S750" s="1352"/>
      <c r="T750" s="1350"/>
      <c r="U750" s="1351"/>
      <c r="V750" s="1351"/>
      <c r="W750" s="1352"/>
      <c r="X750" s="1360">
        <f t="shared" si="39"/>
        <v>0</v>
      </c>
      <c r="Y750" s="1361"/>
      <c r="Z750" s="1361"/>
      <c r="AA750" s="1361"/>
      <c r="AB750" s="1362"/>
      <c r="AC750" s="1347"/>
      <c r="AD750" s="1348"/>
      <c r="AE750" s="1348"/>
      <c r="AF750" s="1348"/>
      <c r="AG750" s="1349"/>
      <c r="AH750" s="1363" t="str">
        <f t="shared" si="36"/>
        <v/>
      </c>
      <c r="AI750" s="1364"/>
      <c r="AJ750" s="1365"/>
      <c r="AK750" s="1353" t="s">
        <v>591</v>
      </c>
      <c r="AL750" s="1354"/>
      <c r="AM750" s="1354"/>
      <c r="AN750" s="1354"/>
      <c r="AO750" s="1355"/>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88">
        <f t="shared" si="37"/>
        <v>0</v>
      </c>
      <c r="CH750" s="1489"/>
      <c r="CI750" s="1493">
        <f t="shared" si="38"/>
        <v>0</v>
      </c>
      <c r="CJ750" s="1494"/>
      <c r="CK750" s="1488">
        <f t="shared" si="16"/>
        <v>0</v>
      </c>
      <c r="CL750" s="1489"/>
      <c r="CM750" s="1493">
        <f t="shared" si="17"/>
        <v>0</v>
      </c>
      <c r="CN750" s="1494"/>
      <c r="CP750" s="1490">
        <f t="shared" si="18"/>
        <v>0</v>
      </c>
      <c r="CQ750" s="1491"/>
      <c r="CR750" s="1491"/>
      <c r="CS750" s="1491"/>
      <c r="CT750" s="1492"/>
      <c r="CU750" s="1467">
        <f t="shared" si="19"/>
        <v>0</v>
      </c>
      <c r="CV750" s="1467"/>
      <c r="CW750" s="1467"/>
      <c r="CX750" s="1467"/>
      <c r="CY750" s="1467"/>
      <c r="CZ750" s="1467">
        <f t="shared" si="20"/>
        <v>0</v>
      </c>
      <c r="DA750" s="1467"/>
      <c r="DB750" s="1467"/>
      <c r="DC750" s="1467"/>
      <c r="DD750" s="1467"/>
      <c r="DE750" s="1467">
        <f t="shared" si="21"/>
        <v>0</v>
      </c>
      <c r="DF750" s="1467"/>
      <c r="DG750" s="1467"/>
      <c r="DH750" s="1467"/>
      <c r="DI750" s="1467"/>
      <c r="DJ750" s="1467">
        <f t="shared" si="22"/>
        <v>0</v>
      </c>
      <c r="DK750" s="1467"/>
      <c r="DL750" s="1467"/>
      <c r="DM750" s="1467"/>
      <c r="DN750" s="1467"/>
      <c r="DO750" s="1467">
        <f t="shared" si="23"/>
        <v>0</v>
      </c>
      <c r="DP750" s="1467"/>
      <c r="DQ750" s="1467"/>
      <c r="DR750" s="1467"/>
      <c r="DS750" s="1467"/>
      <c r="DT750" s="6"/>
      <c r="DU750" s="1468">
        <f t="shared" si="24"/>
        <v>0</v>
      </c>
      <c r="DV750" s="1468"/>
      <c r="DW750" s="1468"/>
      <c r="DX750" s="1468"/>
      <c r="DY750" s="1468"/>
      <c r="DZ750" s="1468">
        <f t="shared" si="25"/>
        <v>0</v>
      </c>
      <c r="EA750" s="1468"/>
      <c r="EB750" s="1468"/>
      <c r="EC750" s="1468"/>
      <c r="ED750" s="1468"/>
      <c r="EE750" s="1468">
        <f t="shared" si="26"/>
        <v>0</v>
      </c>
      <c r="EF750" s="1468"/>
      <c r="EG750" s="1468"/>
      <c r="EH750" s="1468"/>
      <c r="EI750" s="1468"/>
      <c r="EJ750" s="1468">
        <f t="shared" si="27"/>
        <v>0</v>
      </c>
      <c r="EK750" s="1468"/>
      <c r="EL750" s="1468"/>
      <c r="EM750" s="1468"/>
      <c r="EN750" s="1468"/>
      <c r="EO750" s="1468">
        <f t="shared" si="28"/>
        <v>0</v>
      </c>
      <c r="EP750" s="1468"/>
      <c r="EQ750" s="1468"/>
      <c r="ER750" s="1468"/>
      <c r="ES750" s="1468"/>
      <c r="ET750" s="1468">
        <f t="shared" si="29"/>
        <v>0</v>
      </c>
      <c r="EU750" s="1468"/>
      <c r="EV750" s="1468"/>
      <c r="EW750" s="1468"/>
      <c r="EX750" s="1468"/>
      <c r="EY750"/>
      <c r="EZ750" s="1488" t="str">
        <f t="shared" si="30"/>
        <v/>
      </c>
      <c r="FA750" s="1495"/>
      <c r="FB750" s="1495"/>
      <c r="FC750" s="1495"/>
      <c r="FD750" s="1489"/>
      <c r="FE750" s="1488" t="str">
        <f t="shared" si="31"/>
        <v/>
      </c>
      <c r="FF750" s="1495"/>
      <c r="FG750" s="1495"/>
      <c r="FH750" s="1495"/>
      <c r="FI750" s="1489"/>
      <c r="FJ750" s="1488" t="str">
        <f t="shared" si="32"/>
        <v/>
      </c>
      <c r="FK750" s="1495"/>
      <c r="FL750" s="1495"/>
      <c r="FM750" s="1495"/>
      <c r="FN750" s="1489"/>
      <c r="FO750" s="1488" t="str">
        <f t="shared" si="33"/>
        <v/>
      </c>
      <c r="FP750" s="1495"/>
      <c r="FQ750" s="1495"/>
      <c r="FR750" s="1495"/>
      <c r="FS750" s="1489"/>
      <c r="FT750" s="1488" t="str">
        <f t="shared" si="34"/>
        <v/>
      </c>
      <c r="FU750" s="1495"/>
      <c r="FV750" s="1495"/>
      <c r="FW750" s="1495"/>
      <c r="FX750" s="1489"/>
      <c r="FY750" s="1488" t="str">
        <f t="shared" si="35"/>
        <v/>
      </c>
      <c r="FZ750" s="1495"/>
      <c r="GA750" s="1495"/>
      <c r="GB750" s="1495"/>
      <c r="GC750" s="1489"/>
    </row>
    <row r="751" spans="1:185" s="3" customFormat="1" ht="13" customHeight="1">
      <c r="A751"/>
      <c r="B751" s="1353"/>
      <c r="C751" s="1354"/>
      <c r="D751" s="1354"/>
      <c r="E751" s="1354"/>
      <c r="F751" s="1355"/>
      <c r="G751" s="1357"/>
      <c r="H751" s="1358"/>
      <c r="I751" s="1358"/>
      <c r="J751" s="1359"/>
      <c r="K751" s="1367"/>
      <c r="L751" s="1368"/>
      <c r="M751" s="1368"/>
      <c r="N751" s="1369"/>
      <c r="O751" s="1350"/>
      <c r="P751" s="1351"/>
      <c r="Q751" s="1351"/>
      <c r="R751" s="1351"/>
      <c r="S751" s="1352"/>
      <c r="T751" s="1350"/>
      <c r="U751" s="1351"/>
      <c r="V751" s="1351"/>
      <c r="W751" s="1352"/>
      <c r="X751" s="1360">
        <f t="shared" si="39"/>
        <v>0</v>
      </c>
      <c r="Y751" s="1361"/>
      <c r="Z751" s="1361"/>
      <c r="AA751" s="1361"/>
      <c r="AB751" s="1362"/>
      <c r="AC751" s="1347"/>
      <c r="AD751" s="1348"/>
      <c r="AE751" s="1348"/>
      <c r="AF751" s="1348"/>
      <c r="AG751" s="1349"/>
      <c r="AH751" s="1363" t="str">
        <f t="shared" si="36"/>
        <v/>
      </c>
      <c r="AI751" s="1364"/>
      <c r="AJ751" s="1365"/>
      <c r="AK751" s="1353" t="s">
        <v>591</v>
      </c>
      <c r="AL751" s="1354"/>
      <c r="AM751" s="1354"/>
      <c r="AN751" s="1354"/>
      <c r="AO751" s="1355"/>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88">
        <f t="shared" si="37"/>
        <v>0</v>
      </c>
      <c r="CH751" s="1489"/>
      <c r="CI751" s="1493">
        <f t="shared" si="38"/>
        <v>0</v>
      </c>
      <c r="CJ751" s="1494"/>
      <c r="CK751" s="1488">
        <f t="shared" si="16"/>
        <v>0</v>
      </c>
      <c r="CL751" s="1489"/>
      <c r="CM751" s="1493">
        <f t="shared" si="17"/>
        <v>0</v>
      </c>
      <c r="CN751" s="1494"/>
      <c r="CP751" s="1490">
        <f t="shared" si="18"/>
        <v>0</v>
      </c>
      <c r="CQ751" s="1491"/>
      <c r="CR751" s="1491"/>
      <c r="CS751" s="1491"/>
      <c r="CT751" s="1492"/>
      <c r="CU751" s="1467">
        <f t="shared" si="19"/>
        <v>0</v>
      </c>
      <c r="CV751" s="1467"/>
      <c r="CW751" s="1467"/>
      <c r="CX751" s="1467"/>
      <c r="CY751" s="1467"/>
      <c r="CZ751" s="1467">
        <f t="shared" si="20"/>
        <v>0</v>
      </c>
      <c r="DA751" s="1467"/>
      <c r="DB751" s="1467"/>
      <c r="DC751" s="1467"/>
      <c r="DD751" s="1467"/>
      <c r="DE751" s="1467">
        <f t="shared" si="21"/>
        <v>0</v>
      </c>
      <c r="DF751" s="1467"/>
      <c r="DG751" s="1467"/>
      <c r="DH751" s="1467"/>
      <c r="DI751" s="1467"/>
      <c r="DJ751" s="1467">
        <f t="shared" si="22"/>
        <v>0</v>
      </c>
      <c r="DK751" s="1467"/>
      <c r="DL751" s="1467"/>
      <c r="DM751" s="1467"/>
      <c r="DN751" s="1467"/>
      <c r="DO751" s="1467">
        <f t="shared" si="23"/>
        <v>0</v>
      </c>
      <c r="DP751" s="1467"/>
      <c r="DQ751" s="1467"/>
      <c r="DR751" s="1467"/>
      <c r="DS751" s="1467"/>
      <c r="DT751" s="6"/>
      <c r="DU751" s="1468">
        <f t="shared" si="24"/>
        <v>0</v>
      </c>
      <c r="DV751" s="1468"/>
      <c r="DW751" s="1468"/>
      <c r="DX751" s="1468"/>
      <c r="DY751" s="1468"/>
      <c r="DZ751" s="1468">
        <f t="shared" si="25"/>
        <v>0</v>
      </c>
      <c r="EA751" s="1468"/>
      <c r="EB751" s="1468"/>
      <c r="EC751" s="1468"/>
      <c r="ED751" s="1468"/>
      <c r="EE751" s="1468">
        <f t="shared" si="26"/>
        <v>0</v>
      </c>
      <c r="EF751" s="1468"/>
      <c r="EG751" s="1468"/>
      <c r="EH751" s="1468"/>
      <c r="EI751" s="1468"/>
      <c r="EJ751" s="1468">
        <f t="shared" si="27"/>
        <v>0</v>
      </c>
      <c r="EK751" s="1468"/>
      <c r="EL751" s="1468"/>
      <c r="EM751" s="1468"/>
      <c r="EN751" s="1468"/>
      <c r="EO751" s="1468">
        <f t="shared" si="28"/>
        <v>0</v>
      </c>
      <c r="EP751" s="1468"/>
      <c r="EQ751" s="1468"/>
      <c r="ER751" s="1468"/>
      <c r="ES751" s="1468"/>
      <c r="ET751" s="1468">
        <f t="shared" si="29"/>
        <v>0</v>
      </c>
      <c r="EU751" s="1468"/>
      <c r="EV751" s="1468"/>
      <c r="EW751" s="1468"/>
      <c r="EX751" s="1468"/>
      <c r="EY751"/>
      <c r="EZ751" s="1488" t="str">
        <f t="shared" si="30"/>
        <v/>
      </c>
      <c r="FA751" s="1495"/>
      <c r="FB751" s="1495"/>
      <c r="FC751" s="1495"/>
      <c r="FD751" s="1489"/>
      <c r="FE751" s="1488" t="str">
        <f t="shared" si="31"/>
        <v/>
      </c>
      <c r="FF751" s="1495"/>
      <c r="FG751" s="1495"/>
      <c r="FH751" s="1495"/>
      <c r="FI751" s="1489"/>
      <c r="FJ751" s="1488" t="str">
        <f t="shared" si="32"/>
        <v/>
      </c>
      <c r="FK751" s="1495"/>
      <c r="FL751" s="1495"/>
      <c r="FM751" s="1495"/>
      <c r="FN751" s="1489"/>
      <c r="FO751" s="1488" t="str">
        <f t="shared" si="33"/>
        <v/>
      </c>
      <c r="FP751" s="1495"/>
      <c r="FQ751" s="1495"/>
      <c r="FR751" s="1495"/>
      <c r="FS751" s="1489"/>
      <c r="FT751" s="1488" t="str">
        <f t="shared" si="34"/>
        <v/>
      </c>
      <c r="FU751" s="1495"/>
      <c r="FV751" s="1495"/>
      <c r="FW751" s="1495"/>
      <c r="FX751" s="1489"/>
      <c r="FY751" s="1488" t="str">
        <f t="shared" si="35"/>
        <v/>
      </c>
      <c r="FZ751" s="1495"/>
      <c r="GA751" s="1495"/>
      <c r="GB751" s="1495"/>
      <c r="GC751" s="1489"/>
    </row>
    <row r="752" spans="1:185" s="3" customFormat="1" ht="13" customHeight="1">
      <c r="A752"/>
      <c r="B752" s="1353"/>
      <c r="C752" s="1354"/>
      <c r="D752" s="1354"/>
      <c r="E752" s="1354"/>
      <c r="F752" s="1355"/>
      <c r="G752" s="1357"/>
      <c r="H752" s="1358"/>
      <c r="I752" s="1358"/>
      <c r="J752" s="1359"/>
      <c r="K752" s="1367"/>
      <c r="L752" s="1368"/>
      <c r="M752" s="1368"/>
      <c r="N752" s="1369"/>
      <c r="O752" s="1350"/>
      <c r="P752" s="1351"/>
      <c r="Q752" s="1351"/>
      <c r="R752" s="1351"/>
      <c r="S752" s="1352"/>
      <c r="T752" s="1350"/>
      <c r="U752" s="1351"/>
      <c r="V752" s="1351"/>
      <c r="W752" s="1352"/>
      <c r="X752" s="1360">
        <f>O752+T752</f>
        <v>0</v>
      </c>
      <c r="Y752" s="1361"/>
      <c r="Z752" s="1361"/>
      <c r="AA752" s="1361"/>
      <c r="AB752" s="1362"/>
      <c r="AC752" s="1347"/>
      <c r="AD752" s="1348"/>
      <c r="AE752" s="1348"/>
      <c r="AF752" s="1348"/>
      <c r="AG752" s="1349"/>
      <c r="AH752" s="1363" t="str">
        <f t="shared" si="36"/>
        <v/>
      </c>
      <c r="AI752" s="1364"/>
      <c r="AJ752" s="1365"/>
      <c r="AK752" s="1353" t="s">
        <v>591</v>
      </c>
      <c r="AL752" s="1354"/>
      <c r="AM752" s="1354"/>
      <c r="AN752" s="1354"/>
      <c r="AO752" s="1355"/>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88">
        <f t="shared" si="37"/>
        <v>0</v>
      </c>
      <c r="CH752" s="1489"/>
      <c r="CI752" s="1493">
        <f t="shared" si="38"/>
        <v>0</v>
      </c>
      <c r="CJ752" s="1494"/>
      <c r="CK752" s="1488">
        <f t="shared" si="16"/>
        <v>0</v>
      </c>
      <c r="CL752" s="1489"/>
      <c r="CM752" s="1493">
        <f t="shared" si="17"/>
        <v>0</v>
      </c>
      <c r="CN752" s="1494"/>
      <c r="CP752" s="1490">
        <f t="shared" si="18"/>
        <v>0</v>
      </c>
      <c r="CQ752" s="1491"/>
      <c r="CR752" s="1491"/>
      <c r="CS752" s="1491"/>
      <c r="CT752" s="1492"/>
      <c r="CU752" s="1467">
        <f t="shared" si="19"/>
        <v>0</v>
      </c>
      <c r="CV752" s="1467"/>
      <c r="CW752" s="1467"/>
      <c r="CX752" s="1467"/>
      <c r="CY752" s="1467"/>
      <c r="CZ752" s="1467">
        <f t="shared" si="20"/>
        <v>0</v>
      </c>
      <c r="DA752" s="1467"/>
      <c r="DB752" s="1467"/>
      <c r="DC752" s="1467"/>
      <c r="DD752" s="1467"/>
      <c r="DE752" s="1467">
        <f t="shared" si="21"/>
        <v>0</v>
      </c>
      <c r="DF752" s="1467"/>
      <c r="DG752" s="1467"/>
      <c r="DH752" s="1467"/>
      <c r="DI752" s="1467"/>
      <c r="DJ752" s="1467">
        <f t="shared" si="22"/>
        <v>0</v>
      </c>
      <c r="DK752" s="1467"/>
      <c r="DL752" s="1467"/>
      <c r="DM752" s="1467"/>
      <c r="DN752" s="1467"/>
      <c r="DO752" s="1467">
        <f t="shared" si="23"/>
        <v>0</v>
      </c>
      <c r="DP752" s="1467"/>
      <c r="DQ752" s="1467"/>
      <c r="DR752" s="1467"/>
      <c r="DS752" s="1467"/>
      <c r="DT752" s="6"/>
      <c r="DU752" s="1468">
        <f t="shared" si="24"/>
        <v>0</v>
      </c>
      <c r="DV752" s="1468"/>
      <c r="DW752" s="1468"/>
      <c r="DX752" s="1468"/>
      <c r="DY752" s="1468"/>
      <c r="DZ752" s="1468">
        <f t="shared" si="25"/>
        <v>0</v>
      </c>
      <c r="EA752" s="1468"/>
      <c r="EB752" s="1468"/>
      <c r="EC752" s="1468"/>
      <c r="ED752" s="1468"/>
      <c r="EE752" s="1468">
        <f t="shared" si="26"/>
        <v>0</v>
      </c>
      <c r="EF752" s="1468"/>
      <c r="EG752" s="1468"/>
      <c r="EH752" s="1468"/>
      <c r="EI752" s="1468"/>
      <c r="EJ752" s="1468">
        <f t="shared" si="27"/>
        <v>0</v>
      </c>
      <c r="EK752" s="1468"/>
      <c r="EL752" s="1468"/>
      <c r="EM752" s="1468"/>
      <c r="EN752" s="1468"/>
      <c r="EO752" s="1468">
        <f t="shared" si="28"/>
        <v>0</v>
      </c>
      <c r="EP752" s="1468"/>
      <c r="EQ752" s="1468"/>
      <c r="ER752" s="1468"/>
      <c r="ES752" s="1468"/>
      <c r="ET752" s="1468">
        <f t="shared" si="29"/>
        <v>0</v>
      </c>
      <c r="EU752" s="1468"/>
      <c r="EV752" s="1468"/>
      <c r="EW752" s="1468"/>
      <c r="EX752" s="1468"/>
      <c r="EY752"/>
      <c r="EZ752" s="1488" t="str">
        <f t="shared" si="30"/>
        <v/>
      </c>
      <c r="FA752" s="1495"/>
      <c r="FB752" s="1495"/>
      <c r="FC752" s="1495"/>
      <c r="FD752" s="1489"/>
      <c r="FE752" s="1488" t="str">
        <f t="shared" si="31"/>
        <v/>
      </c>
      <c r="FF752" s="1495"/>
      <c r="FG752" s="1495"/>
      <c r="FH752" s="1495"/>
      <c r="FI752" s="1489"/>
      <c r="FJ752" s="1488" t="str">
        <f t="shared" si="32"/>
        <v/>
      </c>
      <c r="FK752" s="1495"/>
      <c r="FL752" s="1495"/>
      <c r="FM752" s="1495"/>
      <c r="FN752" s="1489"/>
      <c r="FO752" s="1488" t="str">
        <f t="shared" si="33"/>
        <v/>
      </c>
      <c r="FP752" s="1495"/>
      <c r="FQ752" s="1495"/>
      <c r="FR752" s="1495"/>
      <c r="FS752" s="1489"/>
      <c r="FT752" s="1488" t="str">
        <f t="shared" si="34"/>
        <v/>
      </c>
      <c r="FU752" s="1495"/>
      <c r="FV752" s="1495"/>
      <c r="FW752" s="1495"/>
      <c r="FX752" s="1489"/>
      <c r="FY752" s="1488" t="str">
        <f t="shared" si="35"/>
        <v/>
      </c>
      <c r="FZ752" s="1495"/>
      <c r="GA752" s="1495"/>
      <c r="GB752" s="1495"/>
      <c r="GC752" s="1489"/>
    </row>
    <row r="753" spans="1:185" s="3" customFormat="1" ht="13" customHeight="1">
      <c r="A753"/>
      <c r="B753" s="1643" t="s">
        <v>125</v>
      </c>
      <c r="C753" s="1644"/>
      <c r="D753" s="1644"/>
      <c r="E753" s="1644"/>
      <c r="F753" s="1645"/>
      <c r="G753" s="1624">
        <f>SUM(G718:G752)</f>
        <v>44</v>
      </c>
      <c r="H753" s="1625"/>
      <c r="I753" s="1625"/>
      <c r="J753" s="1626"/>
      <c r="K753" s="902" t="s">
        <v>124</v>
      </c>
      <c r="L753" s="5"/>
      <c r="M753" s="5"/>
      <c r="N753" s="46"/>
      <c r="O753" s="1360">
        <f>SUMPRODUCT(G718:G752,O718:O752)</f>
        <v>66693</v>
      </c>
      <c r="P753" s="1361"/>
      <c r="Q753" s="1361"/>
      <c r="R753" s="1361"/>
      <c r="S753" s="1362"/>
      <c r="T753"/>
      <c r="U753"/>
      <c r="V753"/>
      <c r="W753"/>
      <c r="X753" s="904" t="s">
        <v>900</v>
      </c>
      <c r="Y753" s="903"/>
      <c r="Z753" s="903"/>
      <c r="AA753" s="903"/>
      <c r="AB753" s="905"/>
      <c r="AC753" s="1614">
        <f>BH753</f>
        <v>0.47500000000000003</v>
      </c>
      <c r="AD753" s="1615"/>
      <c r="AE753" s="1615"/>
      <c r="AF753" s="1615"/>
      <c r="AG753" s="1616"/>
      <c r="AH753" s="1614">
        <f>IFERROR(BU753,"")</f>
        <v>0.47501273204482103</v>
      </c>
      <c r="AI753" s="1615"/>
      <c r="AJ753" s="1616"/>
      <c r="AK753"/>
      <c r="AL753"/>
      <c r="AM753"/>
      <c r="AN753"/>
      <c r="AO753"/>
      <c r="AP753" s="205"/>
      <c r="AQ753" s="205"/>
      <c r="AR753" s="205"/>
      <c r="AS753" s="205"/>
      <c r="AT753"/>
      <c r="AU753"/>
      <c r="AV753"/>
      <c r="AW753"/>
      <c r="AX753"/>
      <c r="AY753"/>
      <c r="AZ753" s="34"/>
      <c r="BA753" s="34"/>
      <c r="BB753" s="34"/>
      <c r="BC753" s="34"/>
      <c r="BE753" s="290" t="s">
        <v>899</v>
      </c>
      <c r="BF753" s="299">
        <f>SUM(BF718:BF752)</f>
        <v>44</v>
      </c>
      <c r="BG753" s="300">
        <f>SUM(BG718:BG752)</f>
        <v>0.99999999999999978</v>
      </c>
      <c r="BH753" s="300">
        <f>SUM(BH718:BH752)</f>
        <v>0.47500000000000003</v>
      </c>
      <c r="BI753"/>
      <c r="BJ753"/>
      <c r="BK753"/>
      <c r="BL753"/>
      <c r="BO753"/>
      <c r="BP753"/>
      <c r="BQ753"/>
      <c r="BR753"/>
      <c r="BS753" s="859">
        <f>SUM(BS718:BS752)</f>
        <v>44</v>
      </c>
      <c r="BT753" s="300">
        <f>SUM(BT718:BT752)</f>
        <v>0.99999999999999978</v>
      </c>
      <c r="BU753" s="300">
        <f>SUM(BU718:BU752)</f>
        <v>0.47501273204482103</v>
      </c>
      <c r="CI753" s="1488">
        <f>SUM(CI718:CJ752)</f>
        <v>23</v>
      </c>
      <c r="CJ753" s="1489"/>
      <c r="CM753" s="1488">
        <f>SUM(CM718:CN752)</f>
        <v>9</v>
      </c>
      <c r="CN753" s="1489"/>
      <c r="CP753" s="1488">
        <f>SUM(CP718:CT752)</f>
        <v>0</v>
      </c>
      <c r="CQ753" s="1495"/>
      <c r="CR753" s="1495"/>
      <c r="CS753" s="1495"/>
      <c r="CT753" s="1489"/>
      <c r="CU753" s="1485">
        <f>SUM(CU718:CY752)</f>
        <v>15</v>
      </c>
      <c r="CV753" s="1485"/>
      <c r="CW753" s="1485"/>
      <c r="CX753" s="1485"/>
      <c r="CY753" s="1485"/>
      <c r="CZ753" s="1485">
        <f>SUM(CZ718:DD752)</f>
        <v>12</v>
      </c>
      <c r="DA753" s="1485"/>
      <c r="DB753" s="1485"/>
      <c r="DC753" s="1485"/>
      <c r="DD753" s="1485"/>
      <c r="DE753" s="1485">
        <f>SUM(DE718:DI752)</f>
        <v>17</v>
      </c>
      <c r="DF753" s="1485"/>
      <c r="DG753" s="1485"/>
      <c r="DH753" s="1485"/>
      <c r="DI753" s="1485"/>
      <c r="DJ753" s="1485">
        <f>SUM(DJ718:DN752)</f>
        <v>0</v>
      </c>
      <c r="DK753" s="1485"/>
      <c r="DL753" s="1485"/>
      <c r="DM753" s="1485"/>
      <c r="DN753" s="1485"/>
      <c r="DO753" s="1485">
        <f>SUM(DO718:DS752)</f>
        <v>0</v>
      </c>
      <c r="DP753" s="1485"/>
      <c r="DQ753" s="1485"/>
      <c r="DR753" s="1485"/>
      <c r="DS753" s="1485"/>
      <c r="DT753" s="354"/>
      <c r="DU753" s="1485">
        <f>SUM(DU718:DY752)</f>
        <v>0</v>
      </c>
      <c r="DV753" s="1485"/>
      <c r="DW753" s="1485"/>
      <c r="DX753" s="1485"/>
      <c r="DY753" s="1485"/>
      <c r="DZ753" s="1485">
        <f>SUM(DZ718:ED752)</f>
        <v>3</v>
      </c>
      <c r="EA753" s="1485"/>
      <c r="EB753" s="1485"/>
      <c r="EC753" s="1485"/>
      <c r="ED753" s="1485"/>
      <c r="EE753" s="1485">
        <f>SUM(EE718:EI752)</f>
        <v>3</v>
      </c>
      <c r="EF753" s="1485"/>
      <c r="EG753" s="1485"/>
      <c r="EH753" s="1485"/>
      <c r="EI753" s="1485"/>
      <c r="EJ753" s="1485">
        <f>SUM(EJ718:EN752)</f>
        <v>3</v>
      </c>
      <c r="EK753" s="1485"/>
      <c r="EL753" s="1485"/>
      <c r="EM753" s="1485"/>
      <c r="EN753" s="1485"/>
      <c r="EO753" s="1485">
        <f>SUM(EO718:ES752)</f>
        <v>0</v>
      </c>
      <c r="EP753" s="1485"/>
      <c r="EQ753" s="1485"/>
      <c r="ER753" s="1485"/>
      <c r="ES753" s="1485"/>
      <c r="ET753" s="1485">
        <f>SUM(ET718:EX752)</f>
        <v>0</v>
      </c>
      <c r="EU753" s="1485"/>
      <c r="EV753" s="1485"/>
      <c r="EW753" s="1485"/>
      <c r="EX753" s="1485"/>
      <c r="EY753"/>
      <c r="EZ753" s="1485">
        <f>SUM(EZ718:FD752)</f>
        <v>0</v>
      </c>
      <c r="FA753" s="1485"/>
      <c r="FB753" s="1485"/>
      <c r="FC753" s="1485"/>
      <c r="FD753" s="1485"/>
      <c r="FE753" s="1485">
        <f>SUM(FE718:FI752)</f>
        <v>4808</v>
      </c>
      <c r="FF753" s="1485"/>
      <c r="FG753" s="1485"/>
      <c r="FH753" s="1485"/>
      <c r="FI753" s="1485"/>
      <c r="FJ753" s="1485">
        <f>SUM(FJ718:FN752)</f>
        <v>5716</v>
      </c>
      <c r="FK753" s="1485"/>
      <c r="FL753" s="1485"/>
      <c r="FM753" s="1485"/>
      <c r="FN753" s="1485"/>
      <c r="FO753" s="1485">
        <f>SUM(FO718:FS752)</f>
        <v>6564</v>
      </c>
      <c r="FP753" s="1485"/>
      <c r="FQ753" s="1485"/>
      <c r="FR753" s="1485"/>
      <c r="FS753" s="1485"/>
      <c r="FT753" s="1485">
        <f>SUM(FT718:FX752)</f>
        <v>0</v>
      </c>
      <c r="FU753" s="1485"/>
      <c r="FV753" s="1485"/>
      <c r="FW753" s="1485"/>
      <c r="FX753" s="1485"/>
      <c r="FY753" s="1485">
        <f>SUM(FY718:GC752)</f>
        <v>0</v>
      </c>
      <c r="FZ753" s="1485"/>
      <c r="GA753" s="1485"/>
      <c r="GB753" s="1485"/>
      <c r="GC753" s="1485"/>
    </row>
    <row r="754" spans="1:185" s="3" customFormat="1" ht="13" customHeight="1">
      <c r="A754"/>
      <c r="B754" s="1623" t="s">
        <v>1893</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1860</v>
      </c>
      <c r="DO754" s="1488">
        <f>CP753+CU753+CZ753+DE753+DJ753+DO753</f>
        <v>44</v>
      </c>
      <c r="DP754" s="1495"/>
      <c r="DQ754" s="1495"/>
      <c r="DR754" s="1495"/>
      <c r="DS754" s="1489"/>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15</v>
      </c>
      <c r="CZ755" s="3"/>
      <c r="DA755" s="3"/>
      <c r="DB755" s="3"/>
      <c r="DC755" s="3"/>
      <c r="DD755" s="861">
        <f>CZ753*2</f>
        <v>24</v>
      </c>
      <c r="DE755" s="3"/>
      <c r="DF755" s="3"/>
      <c r="DG755" s="3"/>
      <c r="DH755" s="3"/>
      <c r="DI755" s="861">
        <f>DE753*3</f>
        <v>51</v>
      </c>
      <c r="DJ755" s="3"/>
      <c r="DK755" s="3"/>
      <c r="DL755" s="3"/>
      <c r="DM755" s="3"/>
      <c r="DN755" s="861">
        <f>DJ753*4</f>
        <v>0</v>
      </c>
      <c r="DO755" s="3"/>
      <c r="DP755" s="3"/>
      <c r="DQ755" s="3"/>
      <c r="DR755" s="3"/>
      <c r="DS755" s="861">
        <f>DO753*5</f>
        <v>0</v>
      </c>
      <c r="DU755" s="861">
        <f>CT755+CY755+DD755+DI755+DN755+DS755</f>
        <v>90</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85">
        <f>DU755</f>
        <v>90</v>
      </c>
      <c r="P756" s="1485"/>
      <c r="Q756" s="1485"/>
      <c r="R756" s="1485"/>
      <c r="S756" s="969"/>
      <c r="T756" s="969"/>
      <c r="U756" s="118" t="s">
        <v>1892</v>
      </c>
      <c r="V756" s="1032"/>
      <c r="W756" s="1032"/>
      <c r="X756" s="1032"/>
      <c r="Y756" s="1033"/>
      <c r="Z756" s="1033"/>
      <c r="AA756" s="1033"/>
      <c r="AB756" s="1033"/>
      <c r="AC756" s="1032"/>
      <c r="AD756" s="1032"/>
      <c r="AE756" s="1032"/>
      <c r="AF756" s="1032"/>
      <c r="AG756" s="1741">
        <v>0</v>
      </c>
      <c r="AH756" s="1741"/>
      <c r="AI756" s="1741"/>
      <c r="AJ756" s="174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92" t="str">
        <f>IF(G753&lt;&gt;AG440,"! Total Low-Income Units in the Unit Mix Table above does not match the number of Total Low-Income Units on row #"&amp;TEXT(ROW(D440),"#"),"")</f>
        <v/>
      </c>
      <c r="D757" s="1392"/>
      <c r="E757" s="1392"/>
      <c r="F757" s="1392"/>
      <c r="G757" s="1392"/>
      <c r="H757" s="1392"/>
      <c r="I757" s="1392"/>
      <c r="J757" s="1392"/>
      <c r="K757" s="1392"/>
      <c r="L757" s="1392"/>
      <c r="M757" s="1392"/>
      <c r="N757" s="1392"/>
      <c r="O757" s="1392"/>
      <c r="P757" s="1392"/>
      <c r="Q757" s="1392"/>
      <c r="R757" s="1392"/>
      <c r="S757" s="1392"/>
      <c r="T757" s="1392"/>
      <c r="U757" s="1392"/>
      <c r="V757" s="1392"/>
      <c r="W757" s="1392"/>
      <c r="X757" s="1392"/>
      <c r="Y757" s="1392"/>
      <c r="Z757" s="1392"/>
      <c r="AA757" s="1392"/>
      <c r="AB757" s="1392"/>
      <c r="AC757" s="1392"/>
      <c r="AD757" s="1392"/>
      <c r="AE757" s="1392"/>
      <c r="AF757" s="1392"/>
      <c r="AG757" s="1392"/>
      <c r="AH757" s="1392"/>
      <c r="AI757" s="1392"/>
      <c r="AJ757" s="1392"/>
      <c r="AK757" s="1392"/>
      <c r="AL757" s="1392"/>
      <c r="AM757" s="139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92"/>
      <c r="D758" s="1392"/>
      <c r="E758" s="1392"/>
      <c r="F758" s="1392"/>
      <c r="G758" s="1392"/>
      <c r="H758" s="1392"/>
      <c r="I758" s="1392"/>
      <c r="J758" s="1392"/>
      <c r="K758" s="1392"/>
      <c r="L758" s="1392"/>
      <c r="M758" s="1392"/>
      <c r="N758" s="1392"/>
      <c r="O758" s="1392"/>
      <c r="P758" s="1392"/>
      <c r="Q758" s="1392"/>
      <c r="R758" s="1392"/>
      <c r="S758" s="1392"/>
      <c r="T758" s="1392"/>
      <c r="U758" s="1392"/>
      <c r="V758" s="1392"/>
      <c r="W758" s="1392"/>
      <c r="X758" s="1392"/>
      <c r="Y758" s="1392"/>
      <c r="Z758" s="1392"/>
      <c r="AA758" s="1392"/>
      <c r="AB758" s="1392"/>
      <c r="AC758" s="1392"/>
      <c r="AD758" s="1392"/>
      <c r="AE758" s="1392"/>
      <c r="AF758" s="1392"/>
      <c r="AG758" s="1392"/>
      <c r="AH758" s="1392"/>
      <c r="AI758" s="1392"/>
      <c r="AJ758" s="1392"/>
      <c r="AK758" s="1392"/>
      <c r="AL758" s="1392"/>
      <c r="AM758" s="139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7" t="s">
        <v>591</v>
      </c>
      <c r="AE759" s="1627"/>
      <c r="AF759" s="16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73" t="s">
        <v>2089</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73" t="s">
        <v>2090</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70" t="s">
        <v>389</v>
      </c>
      <c r="K769" s="1371"/>
      <c r="L769" s="1371"/>
      <c r="M769" s="1371"/>
      <c r="N769" s="1372"/>
      <c r="O769" s="1622" t="s">
        <v>285</v>
      </c>
      <c r="P769" s="1622"/>
      <c r="Q769" s="1622"/>
      <c r="R769" s="1622"/>
      <c r="S769" s="1622"/>
      <c r="T769" s="1726" t="s">
        <v>1679</v>
      </c>
      <c r="U769" s="1727"/>
      <c r="V769" s="1727"/>
      <c r="W769" s="1728"/>
      <c r="X769" s="1370" t="s">
        <v>447</v>
      </c>
      <c r="Y769" s="1371"/>
      <c r="Z769" s="1371"/>
      <c r="AA769" s="1371"/>
      <c r="AB769" s="1372"/>
      <c r="AC769" s="1370"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73"/>
      <c r="K770" s="1374"/>
      <c r="L770" s="1374"/>
      <c r="M770" s="1374"/>
      <c r="N770" s="1375"/>
      <c r="O770" s="1622"/>
      <c r="P770" s="1622"/>
      <c r="Q770" s="1622"/>
      <c r="R770" s="1622"/>
      <c r="S770" s="1622"/>
      <c r="T770" s="1729"/>
      <c r="U770" s="1730"/>
      <c r="V770" s="1730"/>
      <c r="W770" s="1731"/>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73"/>
      <c r="K771" s="1374"/>
      <c r="L771" s="1374"/>
      <c r="M771" s="1374"/>
      <c r="N771" s="1375"/>
      <c r="O771" s="1622"/>
      <c r="P771" s="1622"/>
      <c r="Q771" s="1622"/>
      <c r="R771" s="1622"/>
      <c r="S771" s="1622"/>
      <c r="T771" s="1729"/>
      <c r="U771" s="1730"/>
      <c r="V771" s="1730"/>
      <c r="W771" s="1731"/>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6"/>
      <c r="K772" s="1377"/>
      <c r="L772" s="1377"/>
      <c r="M772" s="1377"/>
      <c r="N772" s="1378"/>
      <c r="O772" s="1622"/>
      <c r="P772" s="1622"/>
      <c r="Q772" s="1622"/>
      <c r="R772" s="1622"/>
      <c r="S772" s="1622"/>
      <c r="T772" s="1732"/>
      <c r="U772" s="1733"/>
      <c r="V772" s="1733"/>
      <c r="W772" s="1734"/>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3" t="s">
        <v>164</v>
      </c>
      <c r="K773" s="1354"/>
      <c r="L773" s="1354"/>
      <c r="M773" s="1354"/>
      <c r="N773" s="1355"/>
      <c r="O773" s="1613">
        <v>1</v>
      </c>
      <c r="P773" s="1613"/>
      <c r="Q773" s="1613"/>
      <c r="R773" s="1613"/>
      <c r="S773" s="1613"/>
      <c r="T773" s="1367">
        <v>1118</v>
      </c>
      <c r="U773" s="1368"/>
      <c r="V773" s="1368"/>
      <c r="W773" s="1369"/>
      <c r="X773" s="1350"/>
      <c r="Y773" s="1351"/>
      <c r="Z773" s="1351"/>
      <c r="AA773" s="1351"/>
      <c r="AB773" s="1352"/>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90">
        <f>IF(J773="SRO/Studio",O773,0)</f>
        <v>0</v>
      </c>
      <c r="CQ773" s="1491"/>
      <c r="CR773" s="1491"/>
      <c r="CS773" s="1491"/>
      <c r="CT773" s="1492"/>
      <c r="CU773" s="1467">
        <f>IF(J773="1 Bedroom",O773,0)</f>
        <v>0</v>
      </c>
      <c r="CV773" s="1467"/>
      <c r="CW773" s="1467"/>
      <c r="CX773" s="1467"/>
      <c r="CY773" s="1467"/>
      <c r="CZ773" s="1467">
        <f>IF(J773="2 Bedrooms",O773,0)</f>
        <v>0</v>
      </c>
      <c r="DA773" s="1467"/>
      <c r="DB773" s="1467"/>
      <c r="DC773" s="1467"/>
      <c r="DD773" s="1467"/>
      <c r="DE773" s="1467">
        <f>IF(J773="3 Bedrooms",O773,0)</f>
        <v>1</v>
      </c>
      <c r="DF773" s="1467"/>
      <c r="DG773" s="1467"/>
      <c r="DH773" s="1467"/>
      <c r="DI773" s="1467"/>
      <c r="DJ773" s="1467">
        <f>IF(J773="4 Bedrooms",O773,0)</f>
        <v>0</v>
      </c>
      <c r="DK773" s="1467"/>
      <c r="DL773" s="1467"/>
      <c r="DM773" s="1467"/>
      <c r="DN773" s="1467"/>
      <c r="DO773" s="1467">
        <f>IF(J773="5 Bedrooms",O773,0)</f>
        <v>0</v>
      </c>
      <c r="DP773" s="1467"/>
      <c r="DQ773" s="1467"/>
      <c r="DR773" s="1467"/>
      <c r="DS773" s="1467"/>
      <c r="DT773" s="6"/>
      <c r="DU773" s="3"/>
      <c r="DV773" s="3"/>
    </row>
    <row r="774" spans="1:126" ht="13" customHeight="1">
      <c r="J774" s="1353"/>
      <c r="K774" s="1354"/>
      <c r="L774" s="1354"/>
      <c r="M774" s="1354"/>
      <c r="N774" s="1355"/>
      <c r="O774" s="1613"/>
      <c r="P774" s="1613"/>
      <c r="Q774" s="1613"/>
      <c r="R774" s="1613"/>
      <c r="S774" s="1613"/>
      <c r="T774" s="1367"/>
      <c r="U774" s="1368"/>
      <c r="V774" s="1368"/>
      <c r="W774" s="1369"/>
      <c r="X774" s="1350"/>
      <c r="Y774" s="1351"/>
      <c r="Z774" s="1351"/>
      <c r="AA774" s="1351"/>
      <c r="AB774" s="1352"/>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90">
        <f>IF(J774="SRO/Studio",O774,0)</f>
        <v>0</v>
      </c>
      <c r="CQ774" s="1491"/>
      <c r="CR774" s="1491"/>
      <c r="CS774" s="1491"/>
      <c r="CT774" s="1492"/>
      <c r="CU774" s="1467">
        <f>IF(J774="1 Bedroom",O774,0)</f>
        <v>0</v>
      </c>
      <c r="CV774" s="1467"/>
      <c r="CW774" s="1467"/>
      <c r="CX774" s="1467"/>
      <c r="CY774" s="1467"/>
      <c r="CZ774" s="1467">
        <f>IF(J774="2 Bedrooms",O774,0)</f>
        <v>0</v>
      </c>
      <c r="DA774" s="1467"/>
      <c r="DB774" s="1467"/>
      <c r="DC774" s="1467"/>
      <c r="DD774" s="1467"/>
      <c r="DE774" s="1467">
        <f>IF(J774="3 Bedrooms",O774,0)</f>
        <v>0</v>
      </c>
      <c r="DF774" s="1467"/>
      <c r="DG774" s="1467"/>
      <c r="DH774" s="1467"/>
      <c r="DI774" s="1467"/>
      <c r="DJ774" s="1467">
        <f>IF(J774="4 Bedrooms",O774,0)</f>
        <v>0</v>
      </c>
      <c r="DK774" s="1467"/>
      <c r="DL774" s="1467"/>
      <c r="DM774" s="1467"/>
      <c r="DN774" s="1467"/>
      <c r="DO774" s="1467">
        <f>IF(J774="5 Bedrooms",O774,0)</f>
        <v>0</v>
      </c>
      <c r="DP774" s="1467"/>
      <c r="DQ774" s="1467"/>
      <c r="DR774" s="1467"/>
      <c r="DS774" s="1467"/>
      <c r="DT774" s="6"/>
      <c r="DU774" s="3"/>
      <c r="DV774" s="3"/>
    </row>
    <row r="775" spans="1:126" ht="13" customHeight="1">
      <c r="J775" s="1353"/>
      <c r="K775" s="1354"/>
      <c r="L775" s="1354"/>
      <c r="M775" s="1354"/>
      <c r="N775" s="1355"/>
      <c r="O775" s="1613"/>
      <c r="P775" s="1613"/>
      <c r="Q775" s="1613"/>
      <c r="R775" s="1613"/>
      <c r="S775" s="1613"/>
      <c r="T775" s="1367"/>
      <c r="U775" s="1368"/>
      <c r="V775" s="1368"/>
      <c r="W775" s="1369"/>
      <c r="X775" s="1350"/>
      <c r="Y775" s="1351"/>
      <c r="Z775" s="1351"/>
      <c r="AA775" s="1351"/>
      <c r="AB775" s="1352"/>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90">
        <f>IF(J775="SRO/Studio",O775,0)</f>
        <v>0</v>
      </c>
      <c r="CQ775" s="1491"/>
      <c r="CR775" s="1491"/>
      <c r="CS775" s="1491"/>
      <c r="CT775" s="1492"/>
      <c r="CU775" s="1467">
        <f>IF(J775="1 Bedroom",O775,0)</f>
        <v>0</v>
      </c>
      <c r="CV775" s="1467"/>
      <c r="CW775" s="1467"/>
      <c r="CX775" s="1467"/>
      <c r="CY775" s="1467"/>
      <c r="CZ775" s="1467">
        <f>IF(J775="2 Bedrooms",O775,0)</f>
        <v>0</v>
      </c>
      <c r="DA775" s="1467"/>
      <c r="DB775" s="1467"/>
      <c r="DC775" s="1467"/>
      <c r="DD775" s="1467"/>
      <c r="DE775" s="1467">
        <f>IF(J775="3 Bedrooms",O775,0)</f>
        <v>0</v>
      </c>
      <c r="DF775" s="1467"/>
      <c r="DG775" s="1467"/>
      <c r="DH775" s="1467"/>
      <c r="DI775" s="1467"/>
      <c r="DJ775" s="1467">
        <f>IF(J775="4 Bedrooms",O775,0)</f>
        <v>0</v>
      </c>
      <c r="DK775" s="1467"/>
      <c r="DL775" s="1467"/>
      <c r="DM775" s="1467"/>
      <c r="DN775" s="1467"/>
      <c r="DO775" s="1467">
        <f>IF(J775="5 Bedrooms",O775,0)</f>
        <v>0</v>
      </c>
      <c r="DP775" s="1467"/>
      <c r="DQ775" s="1467"/>
      <c r="DR775" s="1467"/>
      <c r="DS775" s="1467"/>
      <c r="DT775" s="1012"/>
    </row>
    <row r="776" spans="1:126" ht="13" customHeight="1">
      <c r="J776" s="1353"/>
      <c r="K776" s="1354"/>
      <c r="L776" s="1354"/>
      <c r="M776" s="1354"/>
      <c r="N776" s="1355"/>
      <c r="O776" s="1613"/>
      <c r="P776" s="1613"/>
      <c r="Q776" s="1613"/>
      <c r="R776" s="1613"/>
      <c r="S776" s="1613"/>
      <c r="T776" s="1367"/>
      <c r="U776" s="1368"/>
      <c r="V776" s="1368"/>
      <c r="W776" s="1369"/>
      <c r="X776" s="1350"/>
      <c r="Y776" s="1351"/>
      <c r="Z776" s="1351"/>
      <c r="AA776" s="1351"/>
      <c r="AB776" s="1352"/>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90">
        <f>IF(J776="SRO/Studio",O776,0)</f>
        <v>0</v>
      </c>
      <c r="CQ776" s="1491"/>
      <c r="CR776" s="1491"/>
      <c r="CS776" s="1491"/>
      <c r="CT776" s="1492"/>
      <c r="CU776" s="1467">
        <f>IF(J776="1 Bedroom",O776,0)</f>
        <v>0</v>
      </c>
      <c r="CV776" s="1467"/>
      <c r="CW776" s="1467"/>
      <c r="CX776" s="1467"/>
      <c r="CY776" s="1467"/>
      <c r="CZ776" s="1467">
        <f>IF(J776="2 Bedrooms",O776,0)</f>
        <v>0</v>
      </c>
      <c r="DA776" s="1467"/>
      <c r="DB776" s="1467"/>
      <c r="DC776" s="1467"/>
      <c r="DD776" s="1467"/>
      <c r="DE776" s="1467">
        <f>IF(J776="3 Bedrooms",O776,0)</f>
        <v>0</v>
      </c>
      <c r="DF776" s="1467"/>
      <c r="DG776" s="1467"/>
      <c r="DH776" s="1467"/>
      <c r="DI776" s="1467"/>
      <c r="DJ776" s="1467">
        <f>IF(J776="4 Bedrooms",O776,0)</f>
        <v>0</v>
      </c>
      <c r="DK776" s="1467"/>
      <c r="DL776" s="1467"/>
      <c r="DM776" s="1467"/>
      <c r="DN776" s="1467"/>
      <c r="DO776" s="1467">
        <f>IF(J776="5 Bedrooms",O776,0)</f>
        <v>0</v>
      </c>
      <c r="DP776" s="1467"/>
      <c r="DQ776" s="1467"/>
      <c r="DR776" s="1467"/>
      <c r="DS776" s="1467"/>
    </row>
    <row r="777" spans="1:126" ht="13" customHeight="1">
      <c r="J777" s="1643" t="s">
        <v>125</v>
      </c>
      <c r="K777" s="1644"/>
      <c r="L777" s="1644"/>
      <c r="M777" s="1644"/>
      <c r="N777" s="1645"/>
      <c r="O777" s="1493">
        <f>SUM(O773:S776)</f>
        <v>1</v>
      </c>
      <c r="P777" s="1736"/>
      <c r="Q777" s="1736"/>
      <c r="R777" s="1736"/>
      <c r="S777" s="1494"/>
      <c r="X777" s="1643" t="s">
        <v>124</v>
      </c>
      <c r="Y777" s="1644"/>
      <c r="Z777" s="1644"/>
      <c r="AA777" s="1644"/>
      <c r="AB777" s="1645"/>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93">
        <f>SUM(CP773:CT776)</f>
        <v>0</v>
      </c>
      <c r="CQ777" s="1736"/>
      <c r="CR777" s="1736"/>
      <c r="CS777" s="1736"/>
      <c r="CT777" s="1494"/>
      <c r="CU777" s="1497">
        <f>SUM(CU773:CY776)</f>
        <v>0</v>
      </c>
      <c r="CV777" s="1498"/>
      <c r="CW777" s="1498"/>
      <c r="CX777" s="1498"/>
      <c r="CY777" s="1499"/>
      <c r="CZ777" s="1497">
        <f>SUM(CZ773:DD776)</f>
        <v>0</v>
      </c>
      <c r="DA777" s="1498"/>
      <c r="DB777" s="1498"/>
      <c r="DC777" s="1498"/>
      <c r="DD777" s="1499"/>
      <c r="DE777" s="1497">
        <f>SUM(DE773:DI776)</f>
        <v>1</v>
      </c>
      <c r="DF777" s="1498"/>
      <c r="DG777" s="1498"/>
      <c r="DH777" s="1498"/>
      <c r="DI777" s="1499"/>
      <c r="DJ777" s="1497">
        <f>SUM(DJ773:DN776)</f>
        <v>0</v>
      </c>
      <c r="DK777" s="1498"/>
      <c r="DL777" s="1498"/>
      <c r="DM777" s="1498"/>
      <c r="DN777" s="1499"/>
      <c r="DO777" s="1497">
        <f>SUM(DO773:DS776)</f>
        <v>0</v>
      </c>
      <c r="DP777" s="1498"/>
      <c r="DQ777" s="1498"/>
      <c r="DR777" s="1498"/>
      <c r="DS777" s="1499"/>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3" customHeight="1">
      <c r="B779" s="56"/>
      <c r="C779" s="56"/>
      <c r="D779" s="56"/>
      <c r="E779" s="56"/>
      <c r="F779" s="56"/>
      <c r="G779" s="6"/>
      <c r="H779" s="6"/>
      <c r="I779" s="6"/>
      <c r="J779" s="1739" t="s">
        <v>669</v>
      </c>
      <c r="K779" s="173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70" t="s">
        <v>389</v>
      </c>
      <c r="K783" s="1371"/>
      <c r="L783" s="1371"/>
      <c r="M783" s="1371"/>
      <c r="N783" s="1372"/>
      <c r="O783" s="1622" t="s">
        <v>285</v>
      </c>
      <c r="P783" s="1622"/>
      <c r="Q783" s="1622"/>
      <c r="R783" s="1622"/>
      <c r="S783" s="1622"/>
      <c r="T783" s="1726" t="s">
        <v>1679</v>
      </c>
      <c r="U783" s="1727"/>
      <c r="V783" s="1727"/>
      <c r="W783" s="1728"/>
      <c r="X783" s="1370" t="s">
        <v>447</v>
      </c>
      <c r="Y783" s="1371"/>
      <c r="Z783" s="1371"/>
      <c r="AA783" s="1371"/>
      <c r="AB783" s="1372"/>
      <c r="AC783" s="1370"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73"/>
      <c r="K784" s="1374"/>
      <c r="L784" s="1374"/>
      <c r="M784" s="1374"/>
      <c r="N784" s="1375"/>
      <c r="O784" s="1622"/>
      <c r="P784" s="1622"/>
      <c r="Q784" s="1622"/>
      <c r="R784" s="1622"/>
      <c r="S784" s="1622"/>
      <c r="T784" s="1729"/>
      <c r="U784" s="1730"/>
      <c r="V784" s="1730"/>
      <c r="W784" s="1731"/>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73"/>
      <c r="K785" s="1374"/>
      <c r="L785" s="1374"/>
      <c r="M785" s="1374"/>
      <c r="N785" s="1375"/>
      <c r="O785" s="1622"/>
      <c r="P785" s="1622"/>
      <c r="Q785" s="1622"/>
      <c r="R785" s="1622"/>
      <c r="S785" s="1622"/>
      <c r="T785" s="1729"/>
      <c r="U785" s="1730"/>
      <c r="V785" s="1730"/>
      <c r="W785" s="1731"/>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6"/>
      <c r="K786" s="1377"/>
      <c r="L786" s="1377"/>
      <c r="M786" s="1377"/>
      <c r="N786" s="1378"/>
      <c r="O786" s="1622"/>
      <c r="P786" s="1622"/>
      <c r="Q786" s="1622"/>
      <c r="R786" s="1622"/>
      <c r="S786" s="1622"/>
      <c r="T786" s="1732"/>
      <c r="U786" s="1733"/>
      <c r="V786" s="1733"/>
      <c r="W786" s="1734"/>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3"/>
      <c r="K787" s="1354"/>
      <c r="L787" s="1354"/>
      <c r="M787" s="1354"/>
      <c r="N787" s="1355"/>
      <c r="O787" s="1613"/>
      <c r="P787" s="1613"/>
      <c r="Q787" s="1613"/>
      <c r="R787" s="1613"/>
      <c r="S787" s="1613"/>
      <c r="T787" s="1367"/>
      <c r="U787" s="1368"/>
      <c r="V787" s="1368"/>
      <c r="W787" s="1369"/>
      <c r="X787" s="1350"/>
      <c r="Y787" s="1351"/>
      <c r="Z787" s="1351"/>
      <c r="AA787" s="1351"/>
      <c r="AB787" s="1352"/>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90">
        <f t="shared" ref="CP787:CP796" si="41">IF(J787="SRO/Studio",O787,0)</f>
        <v>0</v>
      </c>
      <c r="CQ787" s="1491"/>
      <c r="CR787" s="1491"/>
      <c r="CS787" s="1491"/>
      <c r="CT787" s="1492"/>
      <c r="CU787" s="1490">
        <f t="shared" ref="CU787:CU796" si="42">IF(J787="1 Bedroom",O787,0)</f>
        <v>0</v>
      </c>
      <c r="CV787" s="1491"/>
      <c r="CW787" s="1491"/>
      <c r="CX787" s="1491"/>
      <c r="CY787" s="1492"/>
      <c r="CZ787" s="1490">
        <f t="shared" ref="CZ787:CZ796" si="43">IF(J787="2 Bedrooms",O787,0)</f>
        <v>0</v>
      </c>
      <c r="DA787" s="1491"/>
      <c r="DB787" s="1491"/>
      <c r="DC787" s="1491"/>
      <c r="DD787" s="1492"/>
      <c r="DE787" s="1490">
        <f t="shared" ref="DE787:DE796" si="44">IF(J787="3 Bedrooms",O787,0)</f>
        <v>0</v>
      </c>
      <c r="DF787" s="1491"/>
      <c r="DG787" s="1491"/>
      <c r="DH787" s="1491"/>
      <c r="DI787" s="1492"/>
      <c r="DJ787" s="1490">
        <f t="shared" ref="DJ787:DJ796" si="45">IF(J787="4 Bedrooms",O787,0)</f>
        <v>0</v>
      </c>
      <c r="DK787" s="1491"/>
      <c r="DL787" s="1491"/>
      <c r="DM787" s="1491"/>
      <c r="DN787" s="1492"/>
      <c r="DO787" s="1490">
        <f t="shared" ref="DO787:DO796" si="46">IF(J787="5 Bedrooms",O787,0)</f>
        <v>0</v>
      </c>
      <c r="DP787" s="1491"/>
      <c r="DQ787" s="1491"/>
      <c r="DR787" s="1491"/>
      <c r="DS787" s="1492"/>
      <c r="DT787" s="6"/>
      <c r="DU787" s="1490">
        <f t="shared" ref="DU787:DU796" si="47">IF(AND(CP787&gt;=1,AH787&gt;=0.1,AH787&lt;=1),O787,0)</f>
        <v>0</v>
      </c>
      <c r="DV787" s="1491"/>
      <c r="DW787" s="1491"/>
      <c r="DX787" s="1491"/>
      <c r="DY787" s="1492"/>
      <c r="DZ787" s="1490">
        <f t="shared" ref="DZ787:DZ796" si="48">IF(AND(CU787&gt;=1,AH787&gt;=0.1,AH787&lt;=1),O787,0)</f>
        <v>0</v>
      </c>
      <c r="EA787" s="1491"/>
      <c r="EB787" s="1491"/>
      <c r="EC787" s="1491"/>
      <c r="ED787" s="1492"/>
      <c r="EE787" s="1490">
        <f t="shared" ref="EE787:EE796" si="49">IF(AND(CZ787&gt;=1,AH787&gt;=0.1,AH787&lt;=1),O787,0)</f>
        <v>0</v>
      </c>
      <c r="EF787" s="1491"/>
      <c r="EG787" s="1491"/>
      <c r="EH787" s="1491"/>
      <c r="EI787" s="1492"/>
      <c r="EJ787" s="1490">
        <f t="shared" ref="EJ787:EJ796" si="50">IF(AND(DE787&gt;=1,AH787&gt;=0.1,AH787&lt;=1),O787,0)</f>
        <v>0</v>
      </c>
      <c r="EK787" s="1491"/>
      <c r="EL787" s="1491"/>
      <c r="EM787" s="1491"/>
      <c r="EN787" s="1492"/>
      <c r="EO787" s="1490">
        <f t="shared" ref="EO787:EO796" si="51">IF(AND(DJ787&gt;=1,AH787&gt;=0.1,AH787&lt;=1),O787,0)</f>
        <v>0</v>
      </c>
      <c r="EP787" s="1491"/>
      <c r="EQ787" s="1491"/>
      <c r="ER787" s="1491"/>
      <c r="ES787" s="1492"/>
      <c r="ET787" s="1490">
        <f t="shared" ref="ET787:ET796" si="52">IF(AND(DO787&gt;=1,AH787&gt;=0.1,AH787&lt;=1),O787,0)</f>
        <v>0</v>
      </c>
      <c r="EU787" s="1491"/>
      <c r="EV787" s="1491"/>
      <c r="EW787" s="1491"/>
      <c r="EX787" s="1492"/>
    </row>
    <row r="788" spans="1:154" s="14" customFormat="1" ht="13" customHeight="1">
      <c r="A788"/>
      <c r="B788"/>
      <c r="C788"/>
      <c r="D788"/>
      <c r="E788"/>
      <c r="F788"/>
      <c r="G788"/>
      <c r="H788"/>
      <c r="I788"/>
      <c r="J788" s="1353"/>
      <c r="K788" s="1354"/>
      <c r="L788" s="1354"/>
      <c r="M788" s="1354"/>
      <c r="N788" s="1355"/>
      <c r="O788" s="1613"/>
      <c r="P788" s="1613"/>
      <c r="Q788" s="1613"/>
      <c r="R788" s="1613"/>
      <c r="S788" s="1613"/>
      <c r="T788" s="1367"/>
      <c r="U788" s="1368"/>
      <c r="V788" s="1368"/>
      <c r="W788" s="1369"/>
      <c r="X788" s="1350"/>
      <c r="Y788" s="1351"/>
      <c r="Z788" s="1351"/>
      <c r="AA788" s="1351"/>
      <c r="AB788" s="1352"/>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90">
        <f t="shared" si="41"/>
        <v>0</v>
      </c>
      <c r="CQ788" s="1491"/>
      <c r="CR788" s="1491"/>
      <c r="CS788" s="1491"/>
      <c r="CT788" s="1492"/>
      <c r="CU788" s="1490">
        <f t="shared" si="42"/>
        <v>0</v>
      </c>
      <c r="CV788" s="1491"/>
      <c r="CW788" s="1491"/>
      <c r="CX788" s="1491"/>
      <c r="CY788" s="1492"/>
      <c r="CZ788" s="1490">
        <f t="shared" si="43"/>
        <v>0</v>
      </c>
      <c r="DA788" s="1491"/>
      <c r="DB788" s="1491"/>
      <c r="DC788" s="1491"/>
      <c r="DD788" s="1492"/>
      <c r="DE788" s="1490">
        <f t="shared" si="44"/>
        <v>0</v>
      </c>
      <c r="DF788" s="1491"/>
      <c r="DG788" s="1491"/>
      <c r="DH788" s="1491"/>
      <c r="DI788" s="1492"/>
      <c r="DJ788" s="1490">
        <f t="shared" si="45"/>
        <v>0</v>
      </c>
      <c r="DK788" s="1491"/>
      <c r="DL788" s="1491"/>
      <c r="DM788" s="1491"/>
      <c r="DN788" s="1492"/>
      <c r="DO788" s="1490">
        <f t="shared" si="46"/>
        <v>0</v>
      </c>
      <c r="DP788" s="1491"/>
      <c r="DQ788" s="1491"/>
      <c r="DR788" s="1491"/>
      <c r="DS788" s="1492"/>
      <c r="DT788" s="6"/>
      <c r="DU788" s="1490">
        <f t="shared" si="47"/>
        <v>0</v>
      </c>
      <c r="DV788" s="1491"/>
      <c r="DW788" s="1491"/>
      <c r="DX788" s="1491"/>
      <c r="DY788" s="1492"/>
      <c r="DZ788" s="1490">
        <f t="shared" si="48"/>
        <v>0</v>
      </c>
      <c r="EA788" s="1491"/>
      <c r="EB788" s="1491"/>
      <c r="EC788" s="1491"/>
      <c r="ED788" s="1492"/>
      <c r="EE788" s="1490">
        <f t="shared" si="49"/>
        <v>0</v>
      </c>
      <c r="EF788" s="1491"/>
      <c r="EG788" s="1491"/>
      <c r="EH788" s="1491"/>
      <c r="EI788" s="1492"/>
      <c r="EJ788" s="1490">
        <f t="shared" si="50"/>
        <v>0</v>
      </c>
      <c r="EK788" s="1491"/>
      <c r="EL788" s="1491"/>
      <c r="EM788" s="1491"/>
      <c r="EN788" s="1492"/>
      <c r="EO788" s="1490">
        <f t="shared" si="51"/>
        <v>0</v>
      </c>
      <c r="EP788" s="1491"/>
      <c r="EQ788" s="1491"/>
      <c r="ER788" s="1491"/>
      <c r="ES788" s="1492"/>
      <c r="ET788" s="1490">
        <f t="shared" si="52"/>
        <v>0</v>
      </c>
      <c r="EU788" s="1491"/>
      <c r="EV788" s="1491"/>
      <c r="EW788" s="1491"/>
      <c r="EX788" s="1492"/>
    </row>
    <row r="789" spans="1:154" s="14" customFormat="1" ht="13" customHeight="1">
      <c r="A789"/>
      <c r="B789"/>
      <c r="C789"/>
      <c r="D789"/>
      <c r="E789"/>
      <c r="F789"/>
      <c r="G789"/>
      <c r="H789"/>
      <c r="I789"/>
      <c r="J789" s="1353"/>
      <c r="K789" s="1354"/>
      <c r="L789" s="1354"/>
      <c r="M789" s="1354"/>
      <c r="N789" s="1355"/>
      <c r="O789" s="1613"/>
      <c r="P789" s="1613"/>
      <c r="Q789" s="1613"/>
      <c r="R789" s="1613"/>
      <c r="S789" s="1613"/>
      <c r="T789" s="1367"/>
      <c r="U789" s="1368"/>
      <c r="V789" s="1368"/>
      <c r="W789" s="1369"/>
      <c r="X789" s="1350"/>
      <c r="Y789" s="1351"/>
      <c r="Z789" s="1351"/>
      <c r="AA789" s="1351"/>
      <c r="AB789" s="1352"/>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90">
        <f t="shared" si="41"/>
        <v>0</v>
      </c>
      <c r="CQ789" s="1491"/>
      <c r="CR789" s="1491"/>
      <c r="CS789" s="1491"/>
      <c r="CT789" s="1492"/>
      <c r="CU789" s="1490">
        <f t="shared" si="42"/>
        <v>0</v>
      </c>
      <c r="CV789" s="1491"/>
      <c r="CW789" s="1491"/>
      <c r="CX789" s="1491"/>
      <c r="CY789" s="1492"/>
      <c r="CZ789" s="1490">
        <f t="shared" si="43"/>
        <v>0</v>
      </c>
      <c r="DA789" s="1491"/>
      <c r="DB789" s="1491"/>
      <c r="DC789" s="1491"/>
      <c r="DD789" s="1492"/>
      <c r="DE789" s="1490">
        <f t="shared" si="44"/>
        <v>0</v>
      </c>
      <c r="DF789" s="1491"/>
      <c r="DG789" s="1491"/>
      <c r="DH789" s="1491"/>
      <c r="DI789" s="1492"/>
      <c r="DJ789" s="1490">
        <f t="shared" si="45"/>
        <v>0</v>
      </c>
      <c r="DK789" s="1491"/>
      <c r="DL789" s="1491"/>
      <c r="DM789" s="1491"/>
      <c r="DN789" s="1492"/>
      <c r="DO789" s="1490">
        <f t="shared" si="46"/>
        <v>0</v>
      </c>
      <c r="DP789" s="1491"/>
      <c r="DQ789" s="1491"/>
      <c r="DR789" s="1491"/>
      <c r="DS789" s="1492"/>
      <c r="DT789" s="6"/>
      <c r="DU789" s="1490">
        <f t="shared" si="47"/>
        <v>0</v>
      </c>
      <c r="DV789" s="1491"/>
      <c r="DW789" s="1491"/>
      <c r="DX789" s="1491"/>
      <c r="DY789" s="1492"/>
      <c r="DZ789" s="1490">
        <f t="shared" si="48"/>
        <v>0</v>
      </c>
      <c r="EA789" s="1491"/>
      <c r="EB789" s="1491"/>
      <c r="EC789" s="1491"/>
      <c r="ED789" s="1492"/>
      <c r="EE789" s="1490">
        <f t="shared" si="49"/>
        <v>0</v>
      </c>
      <c r="EF789" s="1491"/>
      <c r="EG789" s="1491"/>
      <c r="EH789" s="1491"/>
      <c r="EI789" s="1492"/>
      <c r="EJ789" s="1490">
        <f t="shared" si="50"/>
        <v>0</v>
      </c>
      <c r="EK789" s="1491"/>
      <c r="EL789" s="1491"/>
      <c r="EM789" s="1491"/>
      <c r="EN789" s="1492"/>
      <c r="EO789" s="1490">
        <f t="shared" si="51"/>
        <v>0</v>
      </c>
      <c r="EP789" s="1491"/>
      <c r="EQ789" s="1491"/>
      <c r="ER789" s="1491"/>
      <c r="ES789" s="1492"/>
      <c r="ET789" s="1490">
        <f t="shared" si="52"/>
        <v>0</v>
      </c>
      <c r="EU789" s="1491"/>
      <c r="EV789" s="1491"/>
      <c r="EW789" s="1491"/>
      <c r="EX789" s="1492"/>
    </row>
    <row r="790" spans="1:154" s="14" customFormat="1" ht="13" customHeight="1">
      <c r="A790"/>
      <c r="B790"/>
      <c r="C790"/>
      <c r="D790"/>
      <c r="E790"/>
      <c r="F790"/>
      <c r="G790"/>
      <c r="H790"/>
      <c r="I790"/>
      <c r="J790" s="1353"/>
      <c r="K790" s="1354"/>
      <c r="L790" s="1354"/>
      <c r="M790" s="1354"/>
      <c r="N790" s="1355"/>
      <c r="O790" s="1613"/>
      <c r="P790" s="1613"/>
      <c r="Q790" s="1613"/>
      <c r="R790" s="1613"/>
      <c r="S790" s="1613"/>
      <c r="T790" s="1367"/>
      <c r="U790" s="1368"/>
      <c r="V790" s="1368"/>
      <c r="W790" s="1369"/>
      <c r="X790" s="1350"/>
      <c r="Y790" s="1351"/>
      <c r="Z790" s="1351"/>
      <c r="AA790" s="1351"/>
      <c r="AB790" s="1352"/>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90">
        <f t="shared" si="41"/>
        <v>0</v>
      </c>
      <c r="CQ790" s="1491"/>
      <c r="CR790" s="1491"/>
      <c r="CS790" s="1491"/>
      <c r="CT790" s="1492"/>
      <c r="CU790" s="1490">
        <f t="shared" si="42"/>
        <v>0</v>
      </c>
      <c r="CV790" s="1491"/>
      <c r="CW790" s="1491"/>
      <c r="CX790" s="1491"/>
      <c r="CY790" s="1492"/>
      <c r="CZ790" s="1490">
        <f t="shared" si="43"/>
        <v>0</v>
      </c>
      <c r="DA790" s="1491"/>
      <c r="DB790" s="1491"/>
      <c r="DC790" s="1491"/>
      <c r="DD790" s="1492"/>
      <c r="DE790" s="1490">
        <f t="shared" si="44"/>
        <v>0</v>
      </c>
      <c r="DF790" s="1491"/>
      <c r="DG790" s="1491"/>
      <c r="DH790" s="1491"/>
      <c r="DI790" s="1492"/>
      <c r="DJ790" s="1490">
        <f t="shared" si="45"/>
        <v>0</v>
      </c>
      <c r="DK790" s="1491"/>
      <c r="DL790" s="1491"/>
      <c r="DM790" s="1491"/>
      <c r="DN790" s="1492"/>
      <c r="DO790" s="1490">
        <f t="shared" si="46"/>
        <v>0</v>
      </c>
      <c r="DP790" s="1491"/>
      <c r="DQ790" s="1491"/>
      <c r="DR790" s="1491"/>
      <c r="DS790" s="1492"/>
      <c r="DT790" s="6"/>
      <c r="DU790" s="1490">
        <f t="shared" si="47"/>
        <v>0</v>
      </c>
      <c r="DV790" s="1491"/>
      <c r="DW790" s="1491"/>
      <c r="DX790" s="1491"/>
      <c r="DY790" s="1492"/>
      <c r="DZ790" s="1490">
        <f t="shared" si="48"/>
        <v>0</v>
      </c>
      <c r="EA790" s="1491"/>
      <c r="EB790" s="1491"/>
      <c r="EC790" s="1491"/>
      <c r="ED790" s="1492"/>
      <c r="EE790" s="1490">
        <f t="shared" si="49"/>
        <v>0</v>
      </c>
      <c r="EF790" s="1491"/>
      <c r="EG790" s="1491"/>
      <c r="EH790" s="1491"/>
      <c r="EI790" s="1492"/>
      <c r="EJ790" s="1490">
        <f t="shared" si="50"/>
        <v>0</v>
      </c>
      <c r="EK790" s="1491"/>
      <c r="EL790" s="1491"/>
      <c r="EM790" s="1491"/>
      <c r="EN790" s="1492"/>
      <c r="EO790" s="1490">
        <f t="shared" si="51"/>
        <v>0</v>
      </c>
      <c r="EP790" s="1491"/>
      <c r="EQ790" s="1491"/>
      <c r="ER790" s="1491"/>
      <c r="ES790" s="1492"/>
      <c r="ET790" s="1490">
        <f t="shared" si="52"/>
        <v>0</v>
      </c>
      <c r="EU790" s="1491"/>
      <c r="EV790" s="1491"/>
      <c r="EW790" s="1491"/>
      <c r="EX790" s="1492"/>
    </row>
    <row r="791" spans="1:154" s="14" customFormat="1" ht="13" customHeight="1">
      <c r="A791"/>
      <c r="B791"/>
      <c r="C791"/>
      <c r="D791"/>
      <c r="E791"/>
      <c r="F791"/>
      <c r="G791"/>
      <c r="H791"/>
      <c r="I791"/>
      <c r="J791" s="1353"/>
      <c r="K791" s="1354"/>
      <c r="L791" s="1354"/>
      <c r="M791" s="1354"/>
      <c r="N791" s="1355"/>
      <c r="O791" s="1613"/>
      <c r="P791" s="1613"/>
      <c r="Q791" s="1613"/>
      <c r="R791" s="1613"/>
      <c r="S791" s="1613"/>
      <c r="T791" s="1367"/>
      <c r="U791" s="1368"/>
      <c r="V791" s="1368"/>
      <c r="W791" s="1369"/>
      <c r="X791" s="1350"/>
      <c r="Y791" s="1351"/>
      <c r="Z791" s="1351"/>
      <c r="AA791" s="1351"/>
      <c r="AB791" s="1352"/>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90">
        <f t="shared" si="41"/>
        <v>0</v>
      </c>
      <c r="CQ791" s="1491"/>
      <c r="CR791" s="1491"/>
      <c r="CS791" s="1491"/>
      <c r="CT791" s="1492"/>
      <c r="CU791" s="1490">
        <f t="shared" si="42"/>
        <v>0</v>
      </c>
      <c r="CV791" s="1491"/>
      <c r="CW791" s="1491"/>
      <c r="CX791" s="1491"/>
      <c r="CY791" s="1492"/>
      <c r="CZ791" s="1490">
        <f t="shared" si="43"/>
        <v>0</v>
      </c>
      <c r="DA791" s="1491"/>
      <c r="DB791" s="1491"/>
      <c r="DC791" s="1491"/>
      <c r="DD791" s="1492"/>
      <c r="DE791" s="1490">
        <f t="shared" si="44"/>
        <v>0</v>
      </c>
      <c r="DF791" s="1491"/>
      <c r="DG791" s="1491"/>
      <c r="DH791" s="1491"/>
      <c r="DI791" s="1492"/>
      <c r="DJ791" s="1490">
        <f t="shared" si="45"/>
        <v>0</v>
      </c>
      <c r="DK791" s="1491"/>
      <c r="DL791" s="1491"/>
      <c r="DM791" s="1491"/>
      <c r="DN791" s="1492"/>
      <c r="DO791" s="1490">
        <f t="shared" si="46"/>
        <v>0</v>
      </c>
      <c r="DP791" s="1491"/>
      <c r="DQ791" s="1491"/>
      <c r="DR791" s="1491"/>
      <c r="DS791" s="1492"/>
      <c r="DT791" s="6"/>
      <c r="DU791" s="1490">
        <f t="shared" si="47"/>
        <v>0</v>
      </c>
      <c r="DV791" s="1491"/>
      <c r="DW791" s="1491"/>
      <c r="DX791" s="1491"/>
      <c r="DY791" s="1492"/>
      <c r="DZ791" s="1490">
        <f t="shared" si="48"/>
        <v>0</v>
      </c>
      <c r="EA791" s="1491"/>
      <c r="EB791" s="1491"/>
      <c r="EC791" s="1491"/>
      <c r="ED791" s="1492"/>
      <c r="EE791" s="1490">
        <f t="shared" si="49"/>
        <v>0</v>
      </c>
      <c r="EF791" s="1491"/>
      <c r="EG791" s="1491"/>
      <c r="EH791" s="1491"/>
      <c r="EI791" s="1492"/>
      <c r="EJ791" s="1490">
        <f t="shared" si="50"/>
        <v>0</v>
      </c>
      <c r="EK791" s="1491"/>
      <c r="EL791" s="1491"/>
      <c r="EM791" s="1491"/>
      <c r="EN791" s="1492"/>
      <c r="EO791" s="1490">
        <f t="shared" si="51"/>
        <v>0</v>
      </c>
      <c r="EP791" s="1491"/>
      <c r="EQ791" s="1491"/>
      <c r="ER791" s="1491"/>
      <c r="ES791" s="1492"/>
      <c r="ET791" s="1490">
        <f t="shared" si="52"/>
        <v>0</v>
      </c>
      <c r="EU791" s="1491"/>
      <c r="EV791" s="1491"/>
      <c r="EW791" s="1491"/>
      <c r="EX791" s="1492"/>
    </row>
    <row r="792" spans="1:154" s="14" customFormat="1" ht="13" customHeight="1">
      <c r="A792"/>
      <c r="B792"/>
      <c r="C792"/>
      <c r="D792"/>
      <c r="E792"/>
      <c r="F792"/>
      <c r="G792"/>
      <c r="H792"/>
      <c r="I792"/>
      <c r="J792" s="1353"/>
      <c r="K792" s="1354"/>
      <c r="L792" s="1354"/>
      <c r="M792" s="1354"/>
      <c r="N792" s="1355"/>
      <c r="O792" s="1613"/>
      <c r="P792" s="1613"/>
      <c r="Q792" s="1613"/>
      <c r="R792" s="1613"/>
      <c r="S792" s="1613"/>
      <c r="T792" s="1367"/>
      <c r="U792" s="1368"/>
      <c r="V792" s="1368"/>
      <c r="W792" s="1369"/>
      <c r="X792" s="1350"/>
      <c r="Y792" s="1351"/>
      <c r="Z792" s="1351"/>
      <c r="AA792" s="1351"/>
      <c r="AB792" s="1352"/>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90">
        <f t="shared" si="41"/>
        <v>0</v>
      </c>
      <c r="CQ792" s="1491"/>
      <c r="CR792" s="1491"/>
      <c r="CS792" s="1491"/>
      <c r="CT792" s="1492"/>
      <c r="CU792" s="1490">
        <f t="shared" si="42"/>
        <v>0</v>
      </c>
      <c r="CV792" s="1491"/>
      <c r="CW792" s="1491"/>
      <c r="CX792" s="1491"/>
      <c r="CY792" s="1492"/>
      <c r="CZ792" s="1490">
        <f t="shared" si="43"/>
        <v>0</v>
      </c>
      <c r="DA792" s="1491"/>
      <c r="DB792" s="1491"/>
      <c r="DC792" s="1491"/>
      <c r="DD792" s="1492"/>
      <c r="DE792" s="1490">
        <f t="shared" si="44"/>
        <v>0</v>
      </c>
      <c r="DF792" s="1491"/>
      <c r="DG792" s="1491"/>
      <c r="DH792" s="1491"/>
      <c r="DI792" s="1492"/>
      <c r="DJ792" s="1490">
        <f t="shared" si="45"/>
        <v>0</v>
      </c>
      <c r="DK792" s="1491"/>
      <c r="DL792" s="1491"/>
      <c r="DM792" s="1491"/>
      <c r="DN792" s="1492"/>
      <c r="DO792" s="1490">
        <f t="shared" si="46"/>
        <v>0</v>
      </c>
      <c r="DP792" s="1491"/>
      <c r="DQ792" s="1491"/>
      <c r="DR792" s="1491"/>
      <c r="DS792" s="1492"/>
      <c r="DT792" s="6"/>
      <c r="DU792" s="1490">
        <f t="shared" si="47"/>
        <v>0</v>
      </c>
      <c r="DV792" s="1491"/>
      <c r="DW792" s="1491"/>
      <c r="DX792" s="1491"/>
      <c r="DY792" s="1492"/>
      <c r="DZ792" s="1490">
        <f t="shared" si="48"/>
        <v>0</v>
      </c>
      <c r="EA792" s="1491"/>
      <c r="EB792" s="1491"/>
      <c r="EC792" s="1491"/>
      <c r="ED792" s="1492"/>
      <c r="EE792" s="1490">
        <f t="shared" si="49"/>
        <v>0</v>
      </c>
      <c r="EF792" s="1491"/>
      <c r="EG792" s="1491"/>
      <c r="EH792" s="1491"/>
      <c r="EI792" s="1492"/>
      <c r="EJ792" s="1490">
        <f t="shared" si="50"/>
        <v>0</v>
      </c>
      <c r="EK792" s="1491"/>
      <c r="EL792" s="1491"/>
      <c r="EM792" s="1491"/>
      <c r="EN792" s="1492"/>
      <c r="EO792" s="1490">
        <f t="shared" si="51"/>
        <v>0</v>
      </c>
      <c r="EP792" s="1491"/>
      <c r="EQ792" s="1491"/>
      <c r="ER792" s="1491"/>
      <c r="ES792" s="1492"/>
      <c r="ET792" s="1490">
        <f t="shared" si="52"/>
        <v>0</v>
      </c>
      <c r="EU792" s="1491"/>
      <c r="EV792" s="1491"/>
      <c r="EW792" s="1491"/>
      <c r="EX792" s="1492"/>
    </row>
    <row r="793" spans="1:154" s="14" customFormat="1" ht="13" customHeight="1">
      <c r="A793"/>
      <c r="B793"/>
      <c r="C793"/>
      <c r="D793"/>
      <c r="E793"/>
      <c r="F793"/>
      <c r="G793"/>
      <c r="H793"/>
      <c r="I793"/>
      <c r="J793" s="1353"/>
      <c r="K793" s="1354"/>
      <c r="L793" s="1354"/>
      <c r="M793" s="1354"/>
      <c r="N793" s="1355"/>
      <c r="O793" s="1613"/>
      <c r="P793" s="1613"/>
      <c r="Q793" s="1613"/>
      <c r="R793" s="1613"/>
      <c r="S793" s="1613"/>
      <c r="T793" s="1367"/>
      <c r="U793" s="1368"/>
      <c r="V793" s="1368"/>
      <c r="W793" s="1369"/>
      <c r="X793" s="1350"/>
      <c r="Y793" s="1351"/>
      <c r="Z793" s="1351"/>
      <c r="AA793" s="1351"/>
      <c r="AB793" s="1352"/>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90">
        <f t="shared" si="41"/>
        <v>0</v>
      </c>
      <c r="CQ793" s="1491"/>
      <c r="CR793" s="1491"/>
      <c r="CS793" s="1491"/>
      <c r="CT793" s="1492"/>
      <c r="CU793" s="1490">
        <f t="shared" si="42"/>
        <v>0</v>
      </c>
      <c r="CV793" s="1491"/>
      <c r="CW793" s="1491"/>
      <c r="CX793" s="1491"/>
      <c r="CY793" s="1492"/>
      <c r="CZ793" s="1490">
        <f t="shared" si="43"/>
        <v>0</v>
      </c>
      <c r="DA793" s="1491"/>
      <c r="DB793" s="1491"/>
      <c r="DC793" s="1491"/>
      <c r="DD793" s="1492"/>
      <c r="DE793" s="1490">
        <f t="shared" si="44"/>
        <v>0</v>
      </c>
      <c r="DF793" s="1491"/>
      <c r="DG793" s="1491"/>
      <c r="DH793" s="1491"/>
      <c r="DI793" s="1492"/>
      <c r="DJ793" s="1490">
        <f t="shared" si="45"/>
        <v>0</v>
      </c>
      <c r="DK793" s="1491"/>
      <c r="DL793" s="1491"/>
      <c r="DM793" s="1491"/>
      <c r="DN793" s="1492"/>
      <c r="DO793" s="1490">
        <f t="shared" si="46"/>
        <v>0</v>
      </c>
      <c r="DP793" s="1491"/>
      <c r="DQ793" s="1491"/>
      <c r="DR793" s="1491"/>
      <c r="DS793" s="1492"/>
      <c r="DT793" s="6"/>
      <c r="DU793" s="1490">
        <f t="shared" si="47"/>
        <v>0</v>
      </c>
      <c r="DV793" s="1491"/>
      <c r="DW793" s="1491"/>
      <c r="DX793" s="1491"/>
      <c r="DY793" s="1492"/>
      <c r="DZ793" s="1490">
        <f t="shared" si="48"/>
        <v>0</v>
      </c>
      <c r="EA793" s="1491"/>
      <c r="EB793" s="1491"/>
      <c r="EC793" s="1491"/>
      <c r="ED793" s="1492"/>
      <c r="EE793" s="1490">
        <f t="shared" si="49"/>
        <v>0</v>
      </c>
      <c r="EF793" s="1491"/>
      <c r="EG793" s="1491"/>
      <c r="EH793" s="1491"/>
      <c r="EI793" s="1492"/>
      <c r="EJ793" s="1490">
        <f t="shared" si="50"/>
        <v>0</v>
      </c>
      <c r="EK793" s="1491"/>
      <c r="EL793" s="1491"/>
      <c r="EM793" s="1491"/>
      <c r="EN793" s="1492"/>
      <c r="EO793" s="1490">
        <f t="shared" si="51"/>
        <v>0</v>
      </c>
      <c r="EP793" s="1491"/>
      <c r="EQ793" s="1491"/>
      <c r="ER793" s="1491"/>
      <c r="ES793" s="1492"/>
      <c r="ET793" s="1490">
        <f t="shared" si="52"/>
        <v>0</v>
      </c>
      <c r="EU793" s="1491"/>
      <c r="EV793" s="1491"/>
      <c r="EW793" s="1491"/>
      <c r="EX793" s="1492"/>
    </row>
    <row r="794" spans="1:154" s="14" customFormat="1" ht="13" customHeight="1">
      <c r="A794"/>
      <c r="B794"/>
      <c r="C794"/>
      <c r="D794"/>
      <c r="E794"/>
      <c r="F794"/>
      <c r="G794"/>
      <c r="H794"/>
      <c r="I794"/>
      <c r="J794" s="1353"/>
      <c r="K794" s="1354"/>
      <c r="L794" s="1354"/>
      <c r="M794" s="1354"/>
      <c r="N794" s="1355"/>
      <c r="O794" s="1613"/>
      <c r="P794" s="1613"/>
      <c r="Q794" s="1613"/>
      <c r="R794" s="1613"/>
      <c r="S794" s="1613"/>
      <c r="T794" s="1367"/>
      <c r="U794" s="1368"/>
      <c r="V794" s="1368"/>
      <c r="W794" s="1369"/>
      <c r="X794" s="1350"/>
      <c r="Y794" s="1351"/>
      <c r="Z794" s="1351"/>
      <c r="AA794" s="1351"/>
      <c r="AB794" s="1352"/>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90">
        <f t="shared" si="41"/>
        <v>0</v>
      </c>
      <c r="CQ794" s="1491"/>
      <c r="CR794" s="1491"/>
      <c r="CS794" s="1491"/>
      <c r="CT794" s="1492"/>
      <c r="CU794" s="1490">
        <f t="shared" si="42"/>
        <v>0</v>
      </c>
      <c r="CV794" s="1491"/>
      <c r="CW794" s="1491"/>
      <c r="CX794" s="1491"/>
      <c r="CY794" s="1492"/>
      <c r="CZ794" s="1490">
        <f t="shared" si="43"/>
        <v>0</v>
      </c>
      <c r="DA794" s="1491"/>
      <c r="DB794" s="1491"/>
      <c r="DC794" s="1491"/>
      <c r="DD794" s="1492"/>
      <c r="DE794" s="1490">
        <f t="shared" si="44"/>
        <v>0</v>
      </c>
      <c r="DF794" s="1491"/>
      <c r="DG794" s="1491"/>
      <c r="DH794" s="1491"/>
      <c r="DI794" s="1492"/>
      <c r="DJ794" s="1490">
        <f t="shared" si="45"/>
        <v>0</v>
      </c>
      <c r="DK794" s="1491"/>
      <c r="DL794" s="1491"/>
      <c r="DM794" s="1491"/>
      <c r="DN794" s="1492"/>
      <c r="DO794" s="1490">
        <f t="shared" si="46"/>
        <v>0</v>
      </c>
      <c r="DP794" s="1491"/>
      <c r="DQ794" s="1491"/>
      <c r="DR794" s="1491"/>
      <c r="DS794" s="1492"/>
      <c r="DT794" s="6"/>
      <c r="DU794" s="1490">
        <f t="shared" si="47"/>
        <v>0</v>
      </c>
      <c r="DV794" s="1491"/>
      <c r="DW794" s="1491"/>
      <c r="DX794" s="1491"/>
      <c r="DY794" s="1492"/>
      <c r="DZ794" s="1490">
        <f t="shared" si="48"/>
        <v>0</v>
      </c>
      <c r="EA794" s="1491"/>
      <c r="EB794" s="1491"/>
      <c r="EC794" s="1491"/>
      <c r="ED794" s="1492"/>
      <c r="EE794" s="1490">
        <f t="shared" si="49"/>
        <v>0</v>
      </c>
      <c r="EF794" s="1491"/>
      <c r="EG794" s="1491"/>
      <c r="EH794" s="1491"/>
      <c r="EI794" s="1492"/>
      <c r="EJ794" s="1490">
        <f t="shared" si="50"/>
        <v>0</v>
      </c>
      <c r="EK794" s="1491"/>
      <c r="EL794" s="1491"/>
      <c r="EM794" s="1491"/>
      <c r="EN794" s="1492"/>
      <c r="EO794" s="1490">
        <f t="shared" si="51"/>
        <v>0</v>
      </c>
      <c r="EP794" s="1491"/>
      <c r="EQ794" s="1491"/>
      <c r="ER794" s="1491"/>
      <c r="ES794" s="1492"/>
      <c r="ET794" s="1490">
        <f t="shared" si="52"/>
        <v>0</v>
      </c>
      <c r="EU794" s="1491"/>
      <c r="EV794" s="1491"/>
      <c r="EW794" s="1491"/>
      <c r="EX794" s="1492"/>
    </row>
    <row r="795" spans="1:154" s="14" customFormat="1" ht="13" customHeight="1">
      <c r="A795"/>
      <c r="B795"/>
      <c r="C795"/>
      <c r="D795"/>
      <c r="E795"/>
      <c r="F795"/>
      <c r="G795"/>
      <c r="H795"/>
      <c r="I795"/>
      <c r="J795" s="1353"/>
      <c r="K795" s="1354"/>
      <c r="L795" s="1354"/>
      <c r="M795" s="1354"/>
      <c r="N795" s="1355"/>
      <c r="O795" s="1613"/>
      <c r="P795" s="1613"/>
      <c r="Q795" s="1613"/>
      <c r="R795" s="1613"/>
      <c r="S795" s="1613"/>
      <c r="T795" s="1367"/>
      <c r="U795" s="1368"/>
      <c r="V795" s="1368"/>
      <c r="W795" s="1369"/>
      <c r="X795" s="1350"/>
      <c r="Y795" s="1351"/>
      <c r="Z795" s="1351"/>
      <c r="AA795" s="1351"/>
      <c r="AB795" s="1352"/>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0">
        <f t="shared" si="41"/>
        <v>0</v>
      </c>
      <c r="CQ795" s="1491"/>
      <c r="CR795" s="1491"/>
      <c r="CS795" s="1491"/>
      <c r="CT795" s="1492"/>
      <c r="CU795" s="1490">
        <f t="shared" si="42"/>
        <v>0</v>
      </c>
      <c r="CV795" s="1491"/>
      <c r="CW795" s="1491"/>
      <c r="CX795" s="1491"/>
      <c r="CY795" s="1492"/>
      <c r="CZ795" s="1490">
        <f t="shared" si="43"/>
        <v>0</v>
      </c>
      <c r="DA795" s="1491"/>
      <c r="DB795" s="1491"/>
      <c r="DC795" s="1491"/>
      <c r="DD795" s="1492"/>
      <c r="DE795" s="1490">
        <f t="shared" si="44"/>
        <v>0</v>
      </c>
      <c r="DF795" s="1491"/>
      <c r="DG795" s="1491"/>
      <c r="DH795" s="1491"/>
      <c r="DI795" s="1492"/>
      <c r="DJ795" s="1490">
        <f t="shared" si="45"/>
        <v>0</v>
      </c>
      <c r="DK795" s="1491"/>
      <c r="DL795" s="1491"/>
      <c r="DM795" s="1491"/>
      <c r="DN795" s="1492"/>
      <c r="DO795" s="1490">
        <f t="shared" si="46"/>
        <v>0</v>
      </c>
      <c r="DP795" s="1491"/>
      <c r="DQ795" s="1491"/>
      <c r="DR795" s="1491"/>
      <c r="DS795" s="1492"/>
      <c r="DT795" s="6"/>
      <c r="DU795" s="1490">
        <f t="shared" si="47"/>
        <v>0</v>
      </c>
      <c r="DV795" s="1491"/>
      <c r="DW795" s="1491"/>
      <c r="DX795" s="1491"/>
      <c r="DY795" s="1492"/>
      <c r="DZ795" s="1490">
        <f t="shared" si="48"/>
        <v>0</v>
      </c>
      <c r="EA795" s="1491"/>
      <c r="EB795" s="1491"/>
      <c r="EC795" s="1491"/>
      <c r="ED795" s="1492"/>
      <c r="EE795" s="1490">
        <f t="shared" si="49"/>
        <v>0</v>
      </c>
      <c r="EF795" s="1491"/>
      <c r="EG795" s="1491"/>
      <c r="EH795" s="1491"/>
      <c r="EI795" s="1492"/>
      <c r="EJ795" s="1490">
        <f t="shared" si="50"/>
        <v>0</v>
      </c>
      <c r="EK795" s="1491"/>
      <c r="EL795" s="1491"/>
      <c r="EM795" s="1491"/>
      <c r="EN795" s="1492"/>
      <c r="EO795" s="1490">
        <f t="shared" si="51"/>
        <v>0</v>
      </c>
      <c r="EP795" s="1491"/>
      <c r="EQ795" s="1491"/>
      <c r="ER795" s="1491"/>
      <c r="ES795" s="1492"/>
      <c r="ET795" s="1490">
        <f t="shared" si="52"/>
        <v>0</v>
      </c>
      <c r="EU795" s="1491"/>
      <c r="EV795" s="1491"/>
      <c r="EW795" s="1491"/>
      <c r="EX795" s="1492"/>
    </row>
    <row r="796" spans="1:154" s="4" customFormat="1" ht="13" customHeight="1">
      <c r="A796"/>
      <c r="B796"/>
      <c r="C796"/>
      <c r="D796"/>
      <c r="E796"/>
      <c r="F796"/>
      <c r="G796"/>
      <c r="H796"/>
      <c r="I796"/>
      <c r="J796" s="1353"/>
      <c r="K796" s="1354"/>
      <c r="L796" s="1354"/>
      <c r="M796" s="1354"/>
      <c r="N796" s="1355"/>
      <c r="O796" s="1613"/>
      <c r="P796" s="1613"/>
      <c r="Q796" s="1613"/>
      <c r="R796" s="1613"/>
      <c r="S796" s="1613"/>
      <c r="T796" s="1367"/>
      <c r="U796" s="1368"/>
      <c r="V796" s="1368"/>
      <c r="W796" s="1369"/>
      <c r="X796" s="1350"/>
      <c r="Y796" s="1351"/>
      <c r="Z796" s="1351"/>
      <c r="AA796" s="1351"/>
      <c r="AB796" s="1352"/>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490">
        <f t="shared" si="41"/>
        <v>0</v>
      </c>
      <c r="CQ796" s="1491"/>
      <c r="CR796" s="1491"/>
      <c r="CS796" s="1491"/>
      <c r="CT796" s="1492"/>
      <c r="CU796" s="1490">
        <f t="shared" si="42"/>
        <v>0</v>
      </c>
      <c r="CV796" s="1491"/>
      <c r="CW796" s="1491"/>
      <c r="CX796" s="1491"/>
      <c r="CY796" s="1492"/>
      <c r="CZ796" s="1490">
        <f t="shared" si="43"/>
        <v>0</v>
      </c>
      <c r="DA796" s="1491"/>
      <c r="DB796" s="1491"/>
      <c r="DC796" s="1491"/>
      <c r="DD796" s="1492"/>
      <c r="DE796" s="1490">
        <f t="shared" si="44"/>
        <v>0</v>
      </c>
      <c r="DF796" s="1491"/>
      <c r="DG796" s="1491"/>
      <c r="DH796" s="1491"/>
      <c r="DI796" s="1492"/>
      <c r="DJ796" s="1490">
        <f t="shared" si="45"/>
        <v>0</v>
      </c>
      <c r="DK796" s="1491"/>
      <c r="DL796" s="1491"/>
      <c r="DM796" s="1491"/>
      <c r="DN796" s="1492"/>
      <c r="DO796" s="1490">
        <f t="shared" si="46"/>
        <v>0</v>
      </c>
      <c r="DP796" s="1491"/>
      <c r="DQ796" s="1491"/>
      <c r="DR796" s="1491"/>
      <c r="DS796" s="1492"/>
      <c r="DT796" s="6"/>
      <c r="DU796" s="1490">
        <f t="shared" si="47"/>
        <v>0</v>
      </c>
      <c r="DV796" s="1491"/>
      <c r="DW796" s="1491"/>
      <c r="DX796" s="1491"/>
      <c r="DY796" s="1492"/>
      <c r="DZ796" s="1490">
        <f t="shared" si="48"/>
        <v>0</v>
      </c>
      <c r="EA796" s="1491"/>
      <c r="EB796" s="1491"/>
      <c r="EC796" s="1491"/>
      <c r="ED796" s="1492"/>
      <c r="EE796" s="1490">
        <f t="shared" si="49"/>
        <v>0</v>
      </c>
      <c r="EF796" s="1491"/>
      <c r="EG796" s="1491"/>
      <c r="EH796" s="1491"/>
      <c r="EI796" s="1492"/>
      <c r="EJ796" s="1490">
        <f t="shared" si="50"/>
        <v>0</v>
      </c>
      <c r="EK796" s="1491"/>
      <c r="EL796" s="1491"/>
      <c r="EM796" s="1491"/>
      <c r="EN796" s="1492"/>
      <c r="EO796" s="1490">
        <f t="shared" si="51"/>
        <v>0</v>
      </c>
      <c r="EP796" s="1491"/>
      <c r="EQ796" s="1491"/>
      <c r="ER796" s="1491"/>
      <c r="ES796" s="1492"/>
      <c r="ET796" s="1490">
        <f t="shared" si="52"/>
        <v>0</v>
      </c>
      <c r="EU796" s="1491"/>
      <c r="EV796" s="1491"/>
      <c r="EW796" s="1491"/>
      <c r="EX796" s="1492"/>
    </row>
    <row r="797" spans="1:154" s="4" customFormat="1" ht="13" customHeight="1">
      <c r="A797"/>
      <c r="B797"/>
      <c r="C797"/>
      <c r="D797"/>
      <c r="E797"/>
      <c r="F797"/>
      <c r="G797"/>
      <c r="H797"/>
      <c r="I797"/>
      <c r="J797" s="1643" t="s">
        <v>125</v>
      </c>
      <c r="K797" s="1644"/>
      <c r="L797" s="1644"/>
      <c r="M797" s="1644"/>
      <c r="N797" s="1645"/>
      <c r="O797" s="1737">
        <f>SUM(O787:S796)</f>
        <v>0</v>
      </c>
      <c r="P797" s="1737"/>
      <c r="Q797" s="1737"/>
      <c r="R797" s="1737"/>
      <c r="S797" s="1737"/>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493">
        <f>SUM(CP787:CT796)</f>
        <v>0</v>
      </c>
      <c r="CQ797" s="1736"/>
      <c r="CR797" s="1736"/>
      <c r="CS797" s="1736"/>
      <c r="CT797" s="1494"/>
      <c r="CU797" s="1497">
        <f>SUM(CU787:CY796)</f>
        <v>0</v>
      </c>
      <c r="CV797" s="1498"/>
      <c r="CW797" s="1498"/>
      <c r="CX797" s="1498"/>
      <c r="CY797" s="1499"/>
      <c r="CZ797" s="1497">
        <f>SUM(CZ787:DD796)</f>
        <v>0</v>
      </c>
      <c r="DA797" s="1498"/>
      <c r="DB797" s="1498"/>
      <c r="DC797" s="1498"/>
      <c r="DD797" s="1499"/>
      <c r="DE797" s="1497">
        <f>SUM(DE787:DI796)</f>
        <v>0</v>
      </c>
      <c r="DF797" s="1498"/>
      <c r="DG797" s="1498"/>
      <c r="DH797" s="1498"/>
      <c r="DI797" s="1499"/>
      <c r="DJ797" s="1497">
        <f>SUM(DJ787:DN796)</f>
        <v>0</v>
      </c>
      <c r="DK797" s="1498"/>
      <c r="DL797" s="1498"/>
      <c r="DM797" s="1498"/>
      <c r="DN797" s="1499"/>
      <c r="DO797" s="1497">
        <f>SUM(DO787:DS796)</f>
        <v>0</v>
      </c>
      <c r="DP797" s="1498"/>
      <c r="DQ797" s="1498"/>
      <c r="DR797" s="1498"/>
      <c r="DS797" s="1499"/>
      <c r="DT797" s="1012"/>
      <c r="DU797" s="1493">
        <f>SUM(DU787:DY796)</f>
        <v>0</v>
      </c>
      <c r="DV797" s="1736"/>
      <c r="DW797" s="1736"/>
      <c r="DX797" s="1736"/>
      <c r="DY797" s="1494"/>
      <c r="DZ797" s="1493">
        <f>SUM(DZ787:ED796)</f>
        <v>0</v>
      </c>
      <c r="EA797" s="1736"/>
      <c r="EB797" s="1736"/>
      <c r="EC797" s="1736"/>
      <c r="ED797" s="1494"/>
      <c r="EE797" s="1493">
        <f>SUM(EE787:EI796)</f>
        <v>0</v>
      </c>
      <c r="EF797" s="1736"/>
      <c r="EG797" s="1736"/>
      <c r="EH797" s="1736"/>
      <c r="EI797" s="1494"/>
      <c r="EJ797" s="1493">
        <f>SUM(EJ787:EN796)</f>
        <v>0</v>
      </c>
      <c r="EK797" s="1736"/>
      <c r="EL797" s="1736"/>
      <c r="EM797" s="1736"/>
      <c r="EN797" s="1494"/>
      <c r="EO797" s="1493">
        <f>SUM(EO787:ES796)</f>
        <v>0</v>
      </c>
      <c r="EP797" s="1736"/>
      <c r="EQ797" s="1736"/>
      <c r="ER797" s="1736"/>
      <c r="ES797" s="1494"/>
      <c r="ET797" s="1493">
        <f>SUM(ET787:EX796)</f>
        <v>0</v>
      </c>
      <c r="EU797" s="1736"/>
      <c r="EV797" s="1736"/>
      <c r="EW797" s="1736"/>
      <c r="EX797" s="1494"/>
    </row>
    <row r="798" spans="1:154" s="4" customFormat="1" ht="13" customHeight="1">
      <c r="A798"/>
      <c r="B798"/>
      <c r="C798" s="1742" t="str">
        <f>IF(O797&lt;&gt;AG438,"! Total market rate units in the Unit Mix Table above does not match the number of  market rate units on row #"&amp;TEXT(ROW(D438),"#"),"")</f>
        <v/>
      </c>
      <c r="D798" s="1742"/>
      <c r="E798" s="1742"/>
      <c r="F798" s="1742"/>
      <c r="G798" s="1742"/>
      <c r="H798" s="1742"/>
      <c r="I798" s="1742"/>
      <c r="J798" s="1742"/>
      <c r="K798" s="1742"/>
      <c r="L798" s="1742"/>
      <c r="M798" s="1742"/>
      <c r="N798" s="1742"/>
      <c r="O798" s="1742"/>
      <c r="P798" s="1742"/>
      <c r="Q798" s="1742"/>
      <c r="R798" s="1742"/>
      <c r="S798" s="1742"/>
      <c r="T798" s="1742"/>
      <c r="U798" s="1742"/>
      <c r="V798" s="1742"/>
      <c r="W798" s="1742"/>
      <c r="X798" s="1742"/>
      <c r="Y798" s="1742"/>
      <c r="Z798" s="1742"/>
      <c r="AA798" s="1742"/>
      <c r="AB798" s="1742"/>
      <c r="AC798" s="1742"/>
      <c r="AD798" s="1742"/>
      <c r="AE798" s="1742"/>
      <c r="AF798" s="1742"/>
      <c r="AG798" s="1742"/>
      <c r="AH798" s="1742"/>
      <c r="AI798" s="1742"/>
      <c r="AJ798" s="1742"/>
      <c r="AK798" s="1742"/>
      <c r="AL798" s="1742"/>
      <c r="AM798" s="1742"/>
      <c r="AN798" s="174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42"/>
      <c r="D799" s="1742"/>
      <c r="E799" s="1742"/>
      <c r="F799" s="1742"/>
      <c r="G799" s="1742"/>
      <c r="H799" s="1742"/>
      <c r="I799" s="1742"/>
      <c r="J799" s="1742"/>
      <c r="K799" s="1742"/>
      <c r="L799" s="1742"/>
      <c r="M799" s="1742"/>
      <c r="N799" s="1742"/>
      <c r="O799" s="1742"/>
      <c r="P799" s="1742"/>
      <c r="Q799" s="1742"/>
      <c r="R799" s="1742"/>
      <c r="S799" s="1742"/>
      <c r="T799" s="1742"/>
      <c r="U799" s="1742"/>
      <c r="V799" s="1742"/>
      <c r="W799" s="1742"/>
      <c r="X799" s="1742"/>
      <c r="Y799" s="1742"/>
      <c r="Z799" s="1742"/>
      <c r="AA799" s="1742"/>
      <c r="AB799" s="1742"/>
      <c r="AC799" s="1742"/>
      <c r="AD799" s="1742"/>
      <c r="AE799" s="1742"/>
      <c r="AF799" s="1742"/>
      <c r="AG799" s="1742"/>
      <c r="AH799" s="1742"/>
      <c r="AI799" s="1742"/>
      <c r="AJ799" s="1742"/>
      <c r="AK799" s="1742"/>
      <c r="AL799" s="1742"/>
      <c r="AM799" s="1742"/>
      <c r="AN799" s="174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74">
        <f>SUM(DU797:EX797)</f>
        <v>0</v>
      </c>
      <c r="EU799" s="1875"/>
      <c r="EV799" s="1875"/>
      <c r="EW799" s="1875"/>
      <c r="EX799" s="187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66693</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800316</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97">
        <f>CP753+CP777+CP797</f>
        <v>0</v>
      </c>
      <c r="CQ802" s="1498"/>
      <c r="CR802" s="1498"/>
      <c r="CS802" s="1498"/>
      <c r="CT802" s="1499"/>
      <c r="CU802" s="1497">
        <f>CU753+CU777+CU797</f>
        <v>15</v>
      </c>
      <c r="CV802" s="1498"/>
      <c r="CW802" s="1498"/>
      <c r="CX802" s="1498"/>
      <c r="CY802" s="1499"/>
      <c r="CZ802" s="1497">
        <f>CZ753+CZ777+CZ797</f>
        <v>12</v>
      </c>
      <c r="DA802" s="1498"/>
      <c r="DB802" s="1498"/>
      <c r="DC802" s="1498"/>
      <c r="DD802" s="1499"/>
      <c r="DE802" s="1497">
        <f>DE753+DE777+DE797</f>
        <v>18</v>
      </c>
      <c r="DF802" s="1498"/>
      <c r="DG802" s="1498"/>
      <c r="DH802" s="1498"/>
      <c r="DI802" s="1499"/>
      <c r="DJ802" s="1497">
        <f>DJ753+DJ777+DJ797</f>
        <v>0</v>
      </c>
      <c r="DK802" s="1498"/>
      <c r="DL802" s="1498"/>
      <c r="DM802" s="1498"/>
      <c r="DN802" s="1499"/>
      <c r="DO802" s="1488">
        <f>DO797+DO777+DO753</f>
        <v>0</v>
      </c>
      <c r="DP802" s="1495"/>
      <c r="DQ802" s="1495"/>
      <c r="DR802" s="1495"/>
      <c r="DS802" s="1489"/>
      <c r="DT802" s="3"/>
      <c r="DU802" s="861">
        <f>DU755+DU800</f>
        <v>90</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09"/>
      <c r="AA806" s="1510"/>
      <c r="AB806" s="1510"/>
      <c r="AC806" s="1510"/>
      <c r="AD806" s="1510"/>
      <c r="AE806" s="15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14"/>
      <c r="AA807" s="1510"/>
      <c r="AB807" s="1510"/>
      <c r="AC807" s="1510"/>
      <c r="AD807" s="1510"/>
      <c r="AE807" s="15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5"/>
      <c r="AA808" s="1542"/>
      <c r="AB808" s="1542"/>
      <c r="AC808" s="1542"/>
      <c r="AD808" s="1542"/>
      <c r="AE808" s="154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0">
        <f>'Subsidy Contract Calculation'!J40</f>
        <v>0</v>
      </c>
      <c r="AA809" s="1611"/>
      <c r="AB809" s="1611"/>
      <c r="AC809" s="1611"/>
      <c r="AD809" s="1611"/>
      <c r="AE809" s="161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v>6480</v>
      </c>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44" t="s">
        <v>2750</v>
      </c>
      <c r="Q816" s="1601"/>
      <c r="R816" s="1601"/>
      <c r="S816" s="1601"/>
      <c r="T816" s="1601"/>
      <c r="U816" s="1601"/>
      <c r="V816" s="1601"/>
      <c r="W816" s="1601"/>
      <c r="X816" s="1601"/>
      <c r="Y816" s="1602"/>
      <c r="Z816" s="1500">
        <v>2160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0">
        <f>SUM(Z813:AE816)</f>
        <v>8640</v>
      </c>
      <c r="AA817" s="1611"/>
      <c r="AB817" s="1611"/>
      <c r="AC817" s="1611"/>
      <c r="AD817" s="1611"/>
      <c r="AE817" s="1612"/>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0">
        <f>Z817+Y801+Z809</f>
        <v>808956</v>
      </c>
      <c r="AA818" s="1611"/>
      <c r="AB818" s="1611"/>
      <c r="AC818" s="1611"/>
      <c r="AD818" s="1611"/>
      <c r="AE818" s="1612"/>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427" t="s">
        <v>126</v>
      </c>
      <c r="N823" s="1427"/>
      <c r="O823" s="1427"/>
      <c r="P823" s="1740"/>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738" t="s">
        <v>335</v>
      </c>
      <c r="AH823" s="1738"/>
      <c r="AI823" s="1738"/>
      <c r="AJ823" s="173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431"/>
      <c r="N824" s="1431"/>
      <c r="O824" s="1431"/>
      <c r="P824" s="1443"/>
      <c r="Q824" s="1620"/>
      <c r="R824" s="1620"/>
      <c r="S824" s="1620"/>
      <c r="T824" s="1620"/>
      <c r="U824" s="1620"/>
      <c r="V824" s="1620"/>
      <c r="W824" s="1620"/>
      <c r="X824" s="1620"/>
      <c r="Y824" s="1620"/>
      <c r="Z824" s="1620"/>
      <c r="AA824" s="1620"/>
      <c r="AB824" s="1620"/>
      <c r="AC824" s="1620"/>
      <c r="AD824" s="1620"/>
      <c r="AE824" s="1620"/>
      <c r="AF824" s="1620"/>
      <c r="AG824" s="1738"/>
      <c r="AH824" s="1738"/>
      <c r="AI824" s="1738"/>
      <c r="AJ824" s="173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0" t="s">
        <v>40</v>
      </c>
      <c r="D825" s="1366"/>
      <c r="E825" s="1366"/>
      <c r="F825" s="1366"/>
      <c r="G825" s="1366"/>
      <c r="H825" s="1366"/>
      <c r="I825" s="48"/>
      <c r="J825" s="48"/>
      <c r="K825" s="48"/>
      <c r="L825" s="49"/>
      <c r="M825" s="1621"/>
      <c r="N825" s="1621"/>
      <c r="O825" s="1621"/>
      <c r="P825" s="1621"/>
      <c r="Q825" s="1621">
        <v>14</v>
      </c>
      <c r="R825" s="1621"/>
      <c r="S825" s="1621"/>
      <c r="T825" s="1621"/>
      <c r="U825" s="1621">
        <v>17</v>
      </c>
      <c r="V825" s="1621"/>
      <c r="W825" s="1621"/>
      <c r="X825" s="1621"/>
      <c r="Y825" s="1621">
        <v>19</v>
      </c>
      <c r="Z825" s="1621"/>
      <c r="AA825" s="1621"/>
      <c r="AB825" s="1621"/>
      <c r="AC825" s="1503"/>
      <c r="AD825" s="1504"/>
      <c r="AE825" s="1504"/>
      <c r="AF825" s="1505"/>
      <c r="AG825" s="1503"/>
      <c r="AH825" s="1504"/>
      <c r="AI825" s="1504"/>
      <c r="AJ825" s="150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9" t="s">
        <v>41</v>
      </c>
      <c r="D826" s="1630"/>
      <c r="E826" s="1630"/>
      <c r="F826" s="1630"/>
      <c r="G826" s="1630"/>
      <c r="H826" s="1630"/>
      <c r="I826" s="5"/>
      <c r="J826" s="5"/>
      <c r="K826" s="5"/>
      <c r="L826" s="46"/>
      <c r="M826" s="1621"/>
      <c r="N826" s="1621"/>
      <c r="O826" s="1621"/>
      <c r="P826" s="1621"/>
      <c r="Q826" s="1621"/>
      <c r="R826" s="1621"/>
      <c r="S826" s="1621"/>
      <c r="T826" s="1621"/>
      <c r="U826" s="1621"/>
      <c r="V826" s="1621"/>
      <c r="W826" s="1621"/>
      <c r="X826" s="1621"/>
      <c r="Y826" s="1621"/>
      <c r="Z826" s="1621"/>
      <c r="AA826" s="1621"/>
      <c r="AB826" s="1621"/>
      <c r="AC826" s="1503"/>
      <c r="AD826" s="1504"/>
      <c r="AE826" s="1504"/>
      <c r="AF826" s="1505"/>
      <c r="AG826" s="1503"/>
      <c r="AH826" s="1504"/>
      <c r="AI826" s="1504"/>
      <c r="AJ826" s="150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9" t="s">
        <v>42</v>
      </c>
      <c r="D827" s="1630"/>
      <c r="E827" s="1630"/>
      <c r="F827" s="1630"/>
      <c r="G827" s="1630"/>
      <c r="H827" s="1630"/>
      <c r="I827" s="60"/>
      <c r="J827" s="60"/>
      <c r="K827" s="60"/>
      <c r="L827" s="61"/>
      <c r="M827" s="1621"/>
      <c r="N827" s="1621"/>
      <c r="O827" s="1621"/>
      <c r="P827" s="1621"/>
      <c r="Q827" s="1621">
        <v>9</v>
      </c>
      <c r="R827" s="1621"/>
      <c r="S827" s="1621"/>
      <c r="T827" s="1621"/>
      <c r="U827" s="1621">
        <v>14</v>
      </c>
      <c r="V827" s="1621"/>
      <c r="W827" s="1621"/>
      <c r="X827" s="1621"/>
      <c r="Y827" s="1621">
        <v>18</v>
      </c>
      <c r="Z827" s="1621"/>
      <c r="AA827" s="1621"/>
      <c r="AB827" s="1621"/>
      <c r="AC827" s="1503"/>
      <c r="AD827" s="1504"/>
      <c r="AE827" s="1504"/>
      <c r="AF827" s="1505"/>
      <c r="AG827" s="1503"/>
      <c r="AH827" s="1504"/>
      <c r="AI827" s="1504"/>
      <c r="AJ827" s="150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9" t="s">
        <v>762</v>
      </c>
      <c r="D828" s="1630"/>
      <c r="E828" s="1630"/>
      <c r="F828" s="1630"/>
      <c r="G828" s="1630"/>
      <c r="H828" s="1630"/>
      <c r="I828" s="60"/>
      <c r="J828" s="60"/>
      <c r="K828" s="60"/>
      <c r="L828" s="61"/>
      <c r="M828" s="1621"/>
      <c r="N828" s="1621"/>
      <c r="O828" s="1621"/>
      <c r="P828" s="1621"/>
      <c r="Q828" s="1621"/>
      <c r="R828" s="1621"/>
      <c r="S828" s="1621"/>
      <c r="T828" s="1621"/>
      <c r="U828" s="1621"/>
      <c r="V828" s="1621"/>
      <c r="W828" s="1621"/>
      <c r="X828" s="1621"/>
      <c r="Y828" s="1621"/>
      <c r="Z828" s="1621"/>
      <c r="AA828" s="1621"/>
      <c r="AB828" s="1621"/>
      <c r="AC828" s="1503"/>
      <c r="AD828" s="1504"/>
      <c r="AE828" s="1504"/>
      <c r="AF828" s="1505"/>
      <c r="AG828" s="1503"/>
      <c r="AH828" s="1504"/>
      <c r="AI828" s="1504"/>
      <c r="AJ828" s="150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9" t="s">
        <v>459</v>
      </c>
      <c r="D829" s="1630"/>
      <c r="E829" s="1630"/>
      <c r="F829" s="1630"/>
      <c r="G829" s="1630"/>
      <c r="H829" s="1630"/>
      <c r="I829" s="60"/>
      <c r="J829" s="60"/>
      <c r="K829" s="60"/>
      <c r="L829" s="61"/>
      <c r="M829" s="1621"/>
      <c r="N829" s="1621"/>
      <c r="O829" s="1621"/>
      <c r="P829" s="1621"/>
      <c r="Q829" s="1621"/>
      <c r="R829" s="1621"/>
      <c r="S829" s="1621"/>
      <c r="T829" s="1621"/>
      <c r="U829" s="1621"/>
      <c r="V829" s="1621"/>
      <c r="W829" s="1621"/>
      <c r="X829" s="1621"/>
      <c r="Y829" s="1621"/>
      <c r="Z829" s="1621"/>
      <c r="AA829" s="1621"/>
      <c r="AB829" s="1621"/>
      <c r="AC829" s="1503"/>
      <c r="AD829" s="1504"/>
      <c r="AE829" s="1504"/>
      <c r="AF829" s="1505"/>
      <c r="AG829" s="1503"/>
      <c r="AH829" s="1504"/>
      <c r="AI829" s="1504"/>
      <c r="AJ829" s="150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42" t="s">
        <v>783</v>
      </c>
      <c r="D830" s="1630"/>
      <c r="E830" s="1630"/>
      <c r="F830" s="1630"/>
      <c r="G830" s="1630"/>
      <c r="H830" s="1630"/>
      <c r="I830" s="60"/>
      <c r="J830" s="60"/>
      <c r="K830" s="60"/>
      <c r="L830" s="61"/>
      <c r="M830" s="1621"/>
      <c r="N830" s="1621"/>
      <c r="O830" s="1621"/>
      <c r="P830" s="1621"/>
      <c r="Q830" s="1621"/>
      <c r="R830" s="1621"/>
      <c r="S830" s="1621"/>
      <c r="T830" s="1621"/>
      <c r="U830" s="1621"/>
      <c r="V830" s="1621"/>
      <c r="W830" s="1621"/>
      <c r="X830" s="1621"/>
      <c r="Y830" s="1621"/>
      <c r="Z830" s="1621"/>
      <c r="AA830" s="1621"/>
      <c r="AB830" s="1621"/>
      <c r="AC830" s="1503"/>
      <c r="AD830" s="1504"/>
      <c r="AE830" s="1504"/>
      <c r="AF830" s="1505"/>
      <c r="AG830" s="1503"/>
      <c r="AH830" s="1504"/>
      <c r="AI830" s="1504"/>
      <c r="AJ830" s="150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44" t="s">
        <v>2704</v>
      </c>
      <c r="G831" s="1601"/>
      <c r="H831" s="1601"/>
      <c r="I831" s="1601"/>
      <c r="J831" s="1601"/>
      <c r="K831" s="1601"/>
      <c r="L831" s="1601"/>
      <c r="M831" s="1621"/>
      <c r="N831" s="1621"/>
      <c r="O831" s="1621"/>
      <c r="P831" s="1621"/>
      <c r="Q831" s="1621">
        <f>36+17</f>
        <v>53</v>
      </c>
      <c r="R831" s="1621"/>
      <c r="S831" s="1621"/>
      <c r="T831" s="1621"/>
      <c r="U831" s="1621">
        <f>50+23</f>
        <v>73</v>
      </c>
      <c r="V831" s="1621"/>
      <c r="W831" s="1621"/>
      <c r="X831" s="1621"/>
      <c r="Y831" s="1621">
        <f>64+30</f>
        <v>94</v>
      </c>
      <c r="Z831" s="1621"/>
      <c r="AA831" s="1621"/>
      <c r="AB831" s="1621"/>
      <c r="AC831" s="1503"/>
      <c r="AD831" s="1504"/>
      <c r="AE831" s="1504"/>
      <c r="AF831" s="1505"/>
      <c r="AG831" s="1503"/>
      <c r="AH831" s="1504"/>
      <c r="AI831" s="1504"/>
      <c r="AJ831" s="150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643" t="s">
        <v>124</v>
      </c>
      <c r="D832" s="1644"/>
      <c r="E832" s="1644"/>
      <c r="F832" s="1644"/>
      <c r="G832" s="1644"/>
      <c r="H832" s="1644"/>
      <c r="I832" s="1644"/>
      <c r="J832" s="1644"/>
      <c r="K832" s="1644"/>
      <c r="L832" s="1645"/>
      <c r="M832" s="1633">
        <f>SUM(M825:P831)</f>
        <v>0</v>
      </c>
      <c r="N832" s="1633"/>
      <c r="O832" s="1633"/>
      <c r="P832" s="1633"/>
      <c r="Q832" s="1633">
        <f>SUM(Q825:T831)</f>
        <v>76</v>
      </c>
      <c r="R832" s="1633"/>
      <c r="S832" s="1633"/>
      <c r="T832" s="1633"/>
      <c r="U832" s="1633">
        <f>SUM(U825:X831)</f>
        <v>104</v>
      </c>
      <c r="V832" s="1633"/>
      <c r="W832" s="1633"/>
      <c r="X832" s="1633"/>
      <c r="Y832" s="1633">
        <f>SUM(Y825:AB831)</f>
        <v>131</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1" t="s">
        <v>2705</v>
      </c>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c r="Z837" s="1712"/>
      <c r="AA837" s="1712"/>
      <c r="AB837" s="1712"/>
      <c r="AC837" s="1712"/>
      <c r="AD837" s="1712"/>
      <c r="AE837" s="1712"/>
      <c r="AF837" s="1712"/>
      <c r="AG837" s="1712"/>
      <c r="AH837" s="1712"/>
      <c r="AI837" s="1712"/>
      <c r="AJ837" s="171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c r="BJ841" s="1652"/>
      <c r="BK841" s="1652"/>
      <c r="BL841" s="1652"/>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28">
        <v>6500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28">
        <v>2500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28">
        <v>4000</v>
      </c>
      <c r="X844" s="1628"/>
      <c r="Y844" s="1628"/>
      <c r="Z844" s="1628"/>
      <c r="AA844" s="1628"/>
      <c r="AB844" s="1628"/>
      <c r="AC844" s="1628"/>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28"/>
      <c r="X845" s="1628"/>
      <c r="Y845" s="1628"/>
      <c r="Z845" s="1628"/>
      <c r="AA845" s="1628"/>
      <c r="AB845" s="1628"/>
      <c r="AC845" s="1628"/>
      <c r="AZ845" s="30"/>
      <c r="BA845" s="30"/>
      <c r="BB845" s="14"/>
      <c r="BC845" s="14"/>
      <c r="BD845" s="14"/>
      <c r="BE845" s="14"/>
      <c r="BF845" s="14"/>
      <c r="BG845" s="14"/>
      <c r="BH845" s="14"/>
      <c r="BI845" s="14"/>
      <c r="BJ845" s="14"/>
      <c r="BK845" s="14"/>
      <c r="BL845" s="14"/>
    </row>
    <row r="846" spans="1:64" ht="13" customHeight="1">
      <c r="J846" s="45" t="s">
        <v>170</v>
      </c>
      <c r="K846" s="5"/>
      <c r="L846" s="5"/>
      <c r="M846" s="1544" t="s">
        <v>2747</v>
      </c>
      <c r="N846" s="1601"/>
      <c r="O846" s="1601"/>
      <c r="P846" s="1601"/>
      <c r="Q846" s="1601"/>
      <c r="R846" s="1601"/>
      <c r="S846" s="1601"/>
      <c r="T846" s="1601"/>
      <c r="U846" s="1601"/>
      <c r="V846" s="1602"/>
      <c r="W846" s="1628">
        <f>1500+12035+3250+3250</f>
        <v>20035</v>
      </c>
      <c r="X846" s="1628"/>
      <c r="Y846" s="1628"/>
      <c r="Z846" s="1628"/>
      <c r="AA846" s="1628"/>
      <c r="AB846" s="1628"/>
      <c r="AC846" s="162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0">
        <f>SUM(W842:W846)</f>
        <v>33035</v>
      </c>
      <c r="X847" s="1611"/>
      <c r="Y847" s="1611"/>
      <c r="Z847" s="1611"/>
      <c r="AA847" s="1611"/>
      <c r="AB847" s="1611"/>
      <c r="AC847" s="1612"/>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7"/>
      <c r="BH848" s="1637"/>
      <c r="BI848" s="1637"/>
      <c r="BJ848" s="1637"/>
      <c r="BK848" s="1637"/>
      <c r="BL848" s="1637"/>
    </row>
    <row r="849" spans="3:55" ht="13" customHeight="1">
      <c r="C849" s="2" t="s">
        <v>344</v>
      </c>
      <c r="J849" s="1643" t="s">
        <v>345</v>
      </c>
      <c r="K849" s="1644"/>
      <c r="L849" s="1644"/>
      <c r="M849" s="1644"/>
      <c r="N849" s="1644"/>
      <c r="O849" s="1644"/>
      <c r="P849" s="1644"/>
      <c r="Q849" s="1644"/>
      <c r="R849" s="1644"/>
      <c r="S849" s="1644"/>
      <c r="T849" s="1644"/>
      <c r="U849" s="1644"/>
      <c r="V849" s="1645"/>
      <c r="W849" s="1500">
        <v>37800</v>
      </c>
      <c r="X849" s="1501"/>
      <c r="Y849" s="1501"/>
      <c r="Z849" s="1501"/>
      <c r="AA849" s="1501"/>
      <c r="AB849" s="1501"/>
      <c r="AC849" s="1502"/>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41"/>
      <c r="X851" s="1641"/>
      <c r="Y851" s="1641"/>
      <c r="Z851" s="1641"/>
      <c r="AA851" s="1641"/>
      <c r="AB851" s="1641"/>
      <c r="AC851" s="1641"/>
      <c r="AZ851" s="1725"/>
      <c r="BA851" s="1725"/>
      <c r="BB851" s="14"/>
      <c r="BC851" s="14"/>
    </row>
    <row r="852" spans="3:55" ht="13" customHeight="1">
      <c r="J852" s="45" t="s">
        <v>351</v>
      </c>
      <c r="K852" s="5"/>
      <c r="L852" s="5"/>
      <c r="M852" s="5"/>
      <c r="N852" s="5"/>
      <c r="O852" s="5"/>
      <c r="P852" s="5"/>
      <c r="Q852" s="5"/>
      <c r="R852" s="5"/>
      <c r="S852" s="5"/>
      <c r="T852" s="5"/>
      <c r="U852" s="5"/>
      <c r="V852" s="46"/>
      <c r="W852" s="1641"/>
      <c r="X852" s="1641"/>
      <c r="Y852" s="1641"/>
      <c r="Z852" s="1641"/>
      <c r="AA852" s="1641"/>
      <c r="AB852" s="1641"/>
      <c r="AC852" s="1641"/>
      <c r="AZ852" s="30"/>
      <c r="BA852" s="30"/>
      <c r="BB852" s="14"/>
      <c r="BC852" s="14"/>
    </row>
    <row r="853" spans="3:55" ht="13" customHeight="1">
      <c r="J853" s="45" t="s">
        <v>459</v>
      </c>
      <c r="K853" s="5"/>
      <c r="L853" s="5"/>
      <c r="M853" s="5"/>
      <c r="N853" s="5"/>
      <c r="O853" s="5"/>
      <c r="P853" s="5"/>
      <c r="Q853" s="5"/>
      <c r="R853" s="5"/>
      <c r="S853" s="5"/>
      <c r="T853" s="5"/>
      <c r="U853" s="5"/>
      <c r="V853" s="46"/>
      <c r="W853" s="1641">
        <v>14000</v>
      </c>
      <c r="X853" s="1641"/>
      <c r="Y853" s="1641"/>
      <c r="Z853" s="1641"/>
      <c r="AA853" s="1641"/>
      <c r="AB853" s="1641"/>
      <c r="AC853" s="1641"/>
      <c r="AZ853" s="30"/>
      <c r="BA853" s="30"/>
      <c r="BB853" s="14"/>
      <c r="BC853" s="14"/>
    </row>
    <row r="854" spans="3:55" ht="13" customHeight="1">
      <c r="J854" s="62" t="s">
        <v>620</v>
      </c>
      <c r="K854" s="5"/>
      <c r="L854" s="5"/>
      <c r="M854" s="5"/>
      <c r="N854" s="5"/>
      <c r="O854" s="5"/>
      <c r="P854" s="5"/>
      <c r="Q854" s="5"/>
      <c r="R854" s="5"/>
      <c r="S854" s="5"/>
      <c r="T854" s="5"/>
      <c r="U854" s="5"/>
      <c r="V854" s="46"/>
      <c r="W854" s="1641">
        <f>20500+26000</f>
        <v>46500</v>
      </c>
      <c r="X854" s="1641"/>
      <c r="Y854" s="1641"/>
      <c r="Z854" s="1641"/>
      <c r="AA854" s="1641"/>
      <c r="AB854" s="1641"/>
      <c r="AC854" s="1641"/>
      <c r="AZ854" s="34"/>
      <c r="BA854" s="34"/>
      <c r="BB854" s="34"/>
      <c r="BC854" s="34"/>
    </row>
    <row r="855" spans="3:55" ht="13" customHeight="1">
      <c r="J855" s="63"/>
      <c r="K855" s="48"/>
      <c r="L855" s="48"/>
      <c r="M855" s="48"/>
      <c r="N855" s="48"/>
      <c r="O855" s="48"/>
      <c r="P855" s="48"/>
      <c r="Q855" s="48"/>
      <c r="R855" s="48"/>
      <c r="S855" s="48"/>
      <c r="T855" s="48"/>
      <c r="U855" s="48"/>
      <c r="V855" s="54" t="s">
        <v>272</v>
      </c>
      <c r="W855" s="1710">
        <f>SUM(W851:W854)</f>
        <v>60500</v>
      </c>
      <c r="X855" s="1710"/>
      <c r="Y855" s="1710"/>
      <c r="Z855" s="1710"/>
      <c r="AA855" s="1710"/>
      <c r="AB855" s="1710"/>
      <c r="AC855" s="1710"/>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04">
        <v>51590</v>
      </c>
      <c r="X857" s="1605"/>
      <c r="Y857" s="1605"/>
      <c r="Z857" s="1605"/>
      <c r="AA857" s="1605"/>
      <c r="AB857" s="1605"/>
      <c r="AC857" s="1606"/>
      <c r="AD857" s="528"/>
      <c r="AZ857" s="34"/>
      <c r="BA857" s="34"/>
      <c r="BB857" s="34"/>
      <c r="BC857" s="34"/>
    </row>
    <row r="858" spans="3:55" ht="13" customHeight="1">
      <c r="C858" s="2" t="s">
        <v>347</v>
      </c>
      <c r="J858" s="121" t="s">
        <v>1655</v>
      </c>
      <c r="K858" s="5"/>
      <c r="L858" s="5"/>
      <c r="M858" s="5"/>
      <c r="N858" s="5"/>
      <c r="O858" s="5"/>
      <c r="P858" s="5"/>
      <c r="Q858" s="5"/>
      <c r="R858" s="5"/>
      <c r="S858" s="5"/>
      <c r="T858" s="1715">
        <v>2</v>
      </c>
      <c r="U858" s="1699"/>
      <c r="V858" s="1716"/>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04">
        <f>31000+7965+10000</f>
        <v>48965</v>
      </c>
      <c r="X859" s="1605"/>
      <c r="Y859" s="1605"/>
      <c r="Z859" s="1605"/>
      <c r="AA859" s="1605"/>
      <c r="AB859" s="1605"/>
      <c r="AC859" s="1606"/>
      <c r="AD859" s="533"/>
      <c r="AZ859" s="34"/>
      <c r="BA859" s="34"/>
      <c r="BB859" s="34"/>
      <c r="BC859" s="34"/>
    </row>
    <row r="860" spans="3:55" ht="13" customHeight="1">
      <c r="C860" s="2"/>
      <c r="J860" s="121" t="s">
        <v>1656</v>
      </c>
      <c r="K860" s="5"/>
      <c r="L860" s="5"/>
      <c r="M860" s="5"/>
      <c r="N860" s="5"/>
      <c r="O860" s="5"/>
      <c r="P860" s="5"/>
      <c r="Q860" s="5"/>
      <c r="R860" s="5"/>
      <c r="S860" s="5"/>
      <c r="T860" s="1715"/>
      <c r="U860" s="1699"/>
      <c r="V860" s="1716"/>
      <c r="W860" s="874"/>
      <c r="X860" s="875"/>
      <c r="Y860" s="875"/>
      <c r="Z860" s="875"/>
      <c r="AA860" s="875"/>
      <c r="AB860" s="875"/>
      <c r="AC860" s="876"/>
      <c r="AD860" s="533"/>
      <c r="AZ860" s="34"/>
      <c r="BA860" s="34"/>
      <c r="BB860" s="34"/>
      <c r="BC860" s="34"/>
    </row>
    <row r="861" spans="3:55" ht="13" customHeight="1">
      <c r="J861" s="45" t="s">
        <v>170</v>
      </c>
      <c r="K861" s="5"/>
      <c r="L861" s="5"/>
      <c r="M861" s="1544" t="s">
        <v>2746</v>
      </c>
      <c r="N861" s="1601"/>
      <c r="O861" s="1601"/>
      <c r="P861" s="1601"/>
      <c r="Q861" s="1601"/>
      <c r="R861" s="1601"/>
      <c r="S861" s="1601"/>
      <c r="T861" s="1601"/>
      <c r="U861" s="1601"/>
      <c r="V861" s="1602"/>
      <c r="W861" s="1604">
        <f>17500+10500+7260+13500</f>
        <v>48760</v>
      </c>
      <c r="X861" s="1605"/>
      <c r="Y861" s="1605"/>
      <c r="Z861" s="1605"/>
      <c r="AA861" s="1605"/>
      <c r="AB861" s="1605"/>
      <c r="AC861" s="1606"/>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7">
        <f>SUM(W857:W861)</f>
        <v>149315</v>
      </c>
      <c r="X862" s="1718"/>
      <c r="Y862" s="1718"/>
      <c r="Z862" s="1718"/>
      <c r="AA862" s="1718"/>
      <c r="AB862" s="1718"/>
      <c r="AC862" s="1719"/>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04"/>
      <c r="X863" s="1605"/>
      <c r="Y863" s="1605"/>
      <c r="Z863" s="1605"/>
      <c r="AA863" s="1605"/>
      <c r="AB863" s="1605"/>
      <c r="AC863" s="1606"/>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28">
        <v>8500</v>
      </c>
      <c r="X865" s="1628"/>
      <c r="Y865" s="1628"/>
      <c r="Z865" s="1628"/>
      <c r="AA865" s="1628"/>
      <c r="AB865" s="1628"/>
      <c r="AC865" s="1628"/>
      <c r="AU865" s="14"/>
      <c r="AZ865" s="34"/>
      <c r="BA865" s="34"/>
      <c r="BB865" s="34"/>
      <c r="BC865" s="34"/>
    </row>
    <row r="866" spans="3:55" ht="13" customHeight="1">
      <c r="J866" s="45" t="s">
        <v>522</v>
      </c>
      <c r="K866" s="5"/>
      <c r="L866" s="5"/>
      <c r="M866" s="5"/>
      <c r="N866" s="5"/>
      <c r="O866" s="5"/>
      <c r="P866" s="5"/>
      <c r="Q866" s="5"/>
      <c r="R866" s="5"/>
      <c r="S866" s="5"/>
      <c r="T866" s="5"/>
      <c r="U866" s="5"/>
      <c r="V866" s="46"/>
      <c r="W866" s="1628">
        <v>11400</v>
      </c>
      <c r="X866" s="1628"/>
      <c r="Y866" s="1628"/>
      <c r="Z866" s="1628"/>
      <c r="AA866" s="1628"/>
      <c r="AB866" s="1628"/>
      <c r="AC866" s="1628"/>
      <c r="AU866" s="4"/>
      <c r="AZ866" s="34"/>
      <c r="BA866" s="34"/>
      <c r="BB866" s="34"/>
      <c r="BC866" s="34"/>
    </row>
    <row r="867" spans="3:55" ht="13" customHeight="1">
      <c r="J867" s="45" t="s">
        <v>521</v>
      </c>
      <c r="K867" s="5"/>
      <c r="L867" s="5"/>
      <c r="M867" s="5"/>
      <c r="N867" s="5"/>
      <c r="O867" s="5"/>
      <c r="P867" s="5"/>
      <c r="Q867" s="5"/>
      <c r="R867" s="5"/>
      <c r="S867" s="5"/>
      <c r="T867" s="5"/>
      <c r="U867" s="5"/>
      <c r="V867" s="46"/>
      <c r="W867" s="1628">
        <v>10950</v>
      </c>
      <c r="X867" s="1628"/>
      <c r="Y867" s="1628"/>
      <c r="Z867" s="1628"/>
      <c r="AA867" s="1628"/>
      <c r="AB867" s="1628"/>
      <c r="AC867" s="1628"/>
      <c r="AU867" s="4"/>
      <c r="AZ867" s="34"/>
      <c r="BA867" s="34"/>
      <c r="BB867" s="34"/>
      <c r="BC867" s="34"/>
    </row>
    <row r="868" spans="3:55" ht="13" customHeight="1">
      <c r="J868" s="45" t="s">
        <v>520</v>
      </c>
      <c r="K868" s="5"/>
      <c r="L868" s="5"/>
      <c r="M868" s="5"/>
      <c r="N868" s="5"/>
      <c r="O868" s="5"/>
      <c r="P868" s="5"/>
      <c r="Q868" s="5"/>
      <c r="R868" s="5"/>
      <c r="S868" s="5"/>
      <c r="T868" s="5"/>
      <c r="U868" s="5"/>
      <c r="V868" s="46"/>
      <c r="W868" s="1628"/>
      <c r="X868" s="1628"/>
      <c r="Y868" s="1628"/>
      <c r="Z868" s="1628"/>
      <c r="AA868" s="1628"/>
      <c r="AB868" s="1628"/>
      <c r="AC868" s="1628"/>
      <c r="AU868" s="4"/>
      <c r="AZ868" s="34"/>
      <c r="BA868" s="34"/>
      <c r="BB868" s="34"/>
      <c r="BC868" s="34"/>
    </row>
    <row r="869" spans="3:55" ht="13" customHeight="1">
      <c r="J869" s="45" t="s">
        <v>519</v>
      </c>
      <c r="K869" s="5"/>
      <c r="L869" s="5"/>
      <c r="M869" s="5"/>
      <c r="N869" s="5"/>
      <c r="O869" s="5"/>
      <c r="P869" s="5"/>
      <c r="Q869" s="5"/>
      <c r="R869" s="5"/>
      <c r="S869" s="5"/>
      <c r="T869" s="5"/>
      <c r="U869" s="5"/>
      <c r="V869" s="46"/>
      <c r="W869" s="1628"/>
      <c r="X869" s="1628"/>
      <c r="Y869" s="1628"/>
      <c r="Z869" s="1628"/>
      <c r="AA869" s="1628"/>
      <c r="AB869" s="1628"/>
      <c r="AC869" s="1628"/>
      <c r="AU869" s="4"/>
      <c r="AZ869" s="34"/>
      <c r="BA869" s="34"/>
      <c r="BB869" s="34"/>
      <c r="BC869" s="34"/>
    </row>
    <row r="870" spans="3:55" ht="13" customHeight="1">
      <c r="J870" s="45" t="s">
        <v>518</v>
      </c>
      <c r="K870" s="5"/>
      <c r="L870" s="5"/>
      <c r="M870" s="5"/>
      <c r="N870" s="5"/>
      <c r="O870" s="5"/>
      <c r="P870" s="5"/>
      <c r="Q870" s="5"/>
      <c r="R870" s="5"/>
      <c r="S870" s="5"/>
      <c r="T870" s="5"/>
      <c r="U870" s="5"/>
      <c r="V870" s="46"/>
      <c r="W870" s="1628">
        <v>6000</v>
      </c>
      <c r="X870" s="1628"/>
      <c r="Y870" s="1628"/>
      <c r="Z870" s="1628"/>
      <c r="AA870" s="1628"/>
      <c r="AB870" s="1628"/>
      <c r="AC870" s="1628"/>
      <c r="AU870" s="4"/>
      <c r="AZ870" s="34"/>
      <c r="BA870" s="34"/>
      <c r="BB870" s="34"/>
      <c r="BC870" s="34"/>
    </row>
    <row r="871" spans="3:55" ht="13" customHeight="1">
      <c r="J871" s="45" t="s">
        <v>170</v>
      </c>
      <c r="K871" s="5"/>
      <c r="L871" s="5"/>
      <c r="M871" s="1544"/>
      <c r="N871" s="1601"/>
      <c r="O871" s="1601"/>
      <c r="P871" s="1601"/>
      <c r="Q871" s="1601"/>
      <c r="R871" s="1601"/>
      <c r="S871" s="1601"/>
      <c r="T871" s="1601"/>
      <c r="U871" s="1601"/>
      <c r="V871" s="1602"/>
      <c r="W871" s="1628"/>
      <c r="X871" s="1628"/>
      <c r="Y871" s="1628"/>
      <c r="Z871" s="1628"/>
      <c r="AA871" s="1628"/>
      <c r="AB871" s="1628"/>
      <c r="AC871" s="162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3">
        <f>SUM(W865:W871)</f>
        <v>36850</v>
      </c>
      <c r="X872" s="1603"/>
      <c r="Y872" s="1603"/>
      <c r="Z872" s="1603"/>
      <c r="AA872" s="1603"/>
      <c r="AB872" s="1603"/>
      <c r="AC872" s="16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44" t="s">
        <v>2764</v>
      </c>
      <c r="N874" s="1601"/>
      <c r="O874" s="1601"/>
      <c r="P874" s="1601"/>
      <c r="Q874" s="1601"/>
      <c r="R874" s="1601"/>
      <c r="S874" s="1601"/>
      <c r="T874" s="1601"/>
      <c r="U874" s="1601"/>
      <c r="V874" s="1602"/>
      <c r="W874" s="1500">
        <v>20000</v>
      </c>
      <c r="X874" s="1501"/>
      <c r="Y874" s="1501"/>
      <c r="Z874" s="1501"/>
      <c r="AA874" s="1501"/>
      <c r="AB874" s="1501"/>
      <c r="AC874" s="1502"/>
      <c r="AD874" s="533"/>
      <c r="AV874" s="14"/>
      <c r="AW874" s="14"/>
      <c r="AX874" s="14"/>
      <c r="AY874" s="14"/>
      <c r="AZ874" s="34"/>
      <c r="BA874" s="34"/>
      <c r="BB874" s="34"/>
      <c r="BC874" s="34"/>
    </row>
    <row r="875" spans="3:55" ht="13" customHeight="1">
      <c r="C875" s="2" t="s">
        <v>1244</v>
      </c>
      <c r="J875" s="45" t="s">
        <v>170</v>
      </c>
      <c r="K875" s="5"/>
      <c r="L875" s="5"/>
      <c r="M875" s="1544" t="s">
        <v>334</v>
      </c>
      <c r="N875" s="1601"/>
      <c r="O875" s="1601"/>
      <c r="P875" s="1601"/>
      <c r="Q875" s="1601"/>
      <c r="R875" s="1601"/>
      <c r="S875" s="1601"/>
      <c r="T875" s="1601"/>
      <c r="U875" s="1601"/>
      <c r="V875" s="1602"/>
      <c r="W875" s="1500"/>
      <c r="X875" s="1501"/>
      <c r="Y875" s="1501"/>
      <c r="Z875" s="1501"/>
      <c r="AA875" s="1501"/>
      <c r="AB875" s="1501"/>
      <c r="AC875" s="1502"/>
      <c r="AD875" s="533"/>
      <c r="AV875" s="14"/>
      <c r="AW875" s="14"/>
      <c r="AX875" s="14"/>
      <c r="AY875" s="14"/>
      <c r="AZ875" s="34"/>
      <c r="BA875" s="34"/>
      <c r="BB875" s="34"/>
      <c r="BC875" s="34"/>
    </row>
    <row r="876" spans="3:55" ht="13" customHeight="1">
      <c r="J876" s="45" t="s">
        <v>170</v>
      </c>
      <c r="K876" s="5"/>
      <c r="L876" s="5"/>
      <c r="M876" s="1544" t="s">
        <v>334</v>
      </c>
      <c r="N876" s="1601"/>
      <c r="O876" s="1601"/>
      <c r="P876" s="1601"/>
      <c r="Q876" s="1601"/>
      <c r="R876" s="1601"/>
      <c r="S876" s="1601"/>
      <c r="T876" s="1601"/>
      <c r="U876" s="1601"/>
      <c r="V876" s="1602"/>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44" t="s">
        <v>334</v>
      </c>
      <c r="N877" s="1601"/>
      <c r="O877" s="1601"/>
      <c r="P877" s="1601"/>
      <c r="Q877" s="1601"/>
      <c r="R877" s="1601"/>
      <c r="S877" s="1601"/>
      <c r="T877" s="1601"/>
      <c r="U877" s="1601"/>
      <c r="V877" s="1602"/>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44" t="s">
        <v>334</v>
      </c>
      <c r="N878" s="1601"/>
      <c r="O878" s="1601"/>
      <c r="P878" s="1601"/>
      <c r="Q878" s="1601"/>
      <c r="R878" s="1601"/>
      <c r="S878" s="1601"/>
      <c r="T878" s="1601"/>
      <c r="U878" s="1601"/>
      <c r="V878" s="1602"/>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0">
        <f>SUM(W874:W878)</f>
        <v>20000</v>
      </c>
      <c r="X879" s="1611"/>
      <c r="Y879" s="1611"/>
      <c r="Z879" s="1611"/>
      <c r="AA879" s="1611"/>
      <c r="AB879" s="1611"/>
      <c r="AC879" s="1612"/>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1">
        <f>W847+W855+W862+W863+W872+W879+W849</f>
        <v>337500</v>
      </c>
      <c r="AD883" s="1611"/>
      <c r="AE883" s="1611"/>
      <c r="AF883" s="1611"/>
      <c r="AG883" s="1611"/>
      <c r="AH883" s="1612"/>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0">
        <f>O797+O777+G753</f>
        <v>45</v>
      </c>
      <c r="AD884" s="1720"/>
      <c r="AE884" s="1720"/>
      <c r="AF884" s="1720"/>
      <c r="AG884" s="1720"/>
      <c r="AH884" s="1721"/>
      <c r="AL884" s="4"/>
      <c r="AM884" s="4"/>
      <c r="AN884" s="4"/>
      <c r="AO884" s="4"/>
      <c r="AP884" s="4"/>
      <c r="AQ884" s="4"/>
      <c r="AR884" s="4"/>
      <c r="AS884" s="4"/>
      <c r="AT884" s="4"/>
      <c r="AZ884" s="34"/>
      <c r="BA884" s="34"/>
      <c r="BB884" s="34"/>
      <c r="BC884" s="34"/>
    </row>
    <row r="885" spans="3:55" ht="13" customHeight="1">
      <c r="C885" s="41"/>
      <c r="D885" s="42"/>
      <c r="E885" s="1631" t="s">
        <v>32</v>
      </c>
      <c r="F885" s="1631"/>
      <c r="G885" s="1631"/>
      <c r="H885" s="1631"/>
      <c r="I885" s="1631"/>
      <c r="J885" s="1631"/>
      <c r="K885" s="1631"/>
      <c r="L885" s="1631"/>
      <c r="M885" s="1631"/>
      <c r="N885" s="1631"/>
      <c r="O885" s="1631"/>
      <c r="P885" s="1631"/>
      <c r="Q885" s="1631"/>
      <c r="R885" s="1631"/>
      <c r="S885" s="1631"/>
      <c r="T885" s="1631"/>
      <c r="U885" s="1631"/>
      <c r="V885" s="1631"/>
      <c r="W885" s="1631"/>
      <c r="X885" s="1631"/>
      <c r="Y885" s="1631"/>
      <c r="Z885" s="1631"/>
      <c r="AA885" s="1631"/>
      <c r="AB885" s="1632"/>
      <c r="AC885" s="1603">
        <f>IF(ISERROR((ROUNDDOWN(AC883/AC884,0))),0,(ROUNDDOWN(AC883/AC884,0)))</f>
        <v>7500</v>
      </c>
      <c r="AD885" s="1603"/>
      <c r="AE885" s="1603"/>
      <c r="AF885" s="1603"/>
      <c r="AG885" s="1603"/>
      <c r="AH885" s="16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2">
        <v>179569</v>
      </c>
      <c r="AD886" s="1723"/>
      <c r="AE886" s="1723"/>
      <c r="AF886" s="1723"/>
      <c r="AG886" s="1723"/>
      <c r="AH886" s="172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502"/>
      <c r="AD887" s="1628"/>
      <c r="AE887" s="1628"/>
      <c r="AF887" s="1628"/>
      <c r="AG887" s="1628"/>
      <c r="AH887" s="162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501">
        <v>23400</v>
      </c>
      <c r="AD888" s="1501"/>
      <c r="AE888" s="1501"/>
      <c r="AF888" s="1501"/>
      <c r="AG888" s="1501"/>
      <c r="AH888" s="1502"/>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22500</v>
      </c>
      <c r="AD889" s="1501"/>
      <c r="AE889" s="1501"/>
      <c r="AF889" s="1501"/>
      <c r="AG889" s="1501"/>
      <c r="AH889" s="1502"/>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03">
        <v>7500</v>
      </c>
      <c r="AD890" s="1504"/>
      <c r="AE890" s="1504"/>
      <c r="AF890" s="1504"/>
      <c r="AG890" s="1504"/>
      <c r="AH890" s="150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c r="AD891" s="1501"/>
      <c r="AE891" s="1501"/>
      <c r="AF891" s="1501"/>
      <c r="AG891" s="1501"/>
      <c r="AH891" s="1502"/>
      <c r="AZ891" s="34"/>
      <c r="BA891" s="34"/>
      <c r="BB891" s="34"/>
      <c r="BC891" s="34"/>
    </row>
    <row r="892" spans="3:55" ht="13" hidden="1" customHeight="1">
      <c r="C892" s="1643" t="s">
        <v>2232</v>
      </c>
      <c r="D892" s="1644"/>
      <c r="E892" s="1644"/>
      <c r="F892" s="1644"/>
      <c r="G892" s="1644"/>
      <c r="H892" s="1644"/>
      <c r="I892" s="1644"/>
      <c r="J892" s="1644"/>
      <c r="K892" s="1644"/>
      <c r="L892" s="1644"/>
      <c r="M892" s="1644"/>
      <c r="N892" s="1644"/>
      <c r="O892" s="1644"/>
      <c r="P892" s="1644"/>
      <c r="Q892" s="1644"/>
      <c r="R892" s="1644"/>
      <c r="S892" s="1644"/>
      <c r="T892" s="1644"/>
      <c r="U892" s="1644"/>
      <c r="V892" s="1644"/>
      <c r="W892" s="1644"/>
      <c r="X892" s="1644"/>
      <c r="Y892" s="1644"/>
      <c r="Z892" s="1644"/>
      <c r="AA892" s="1644"/>
      <c r="AB892" s="1645"/>
      <c r="AC892" s="1501"/>
      <c r="AD892" s="1501"/>
      <c r="AE892" s="1501"/>
      <c r="AF892" s="1501"/>
      <c r="AG892" s="1501"/>
      <c r="AH892" s="1502"/>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501"/>
      <c r="AD893" s="1501"/>
      <c r="AE893" s="1501"/>
      <c r="AF893" s="1501"/>
      <c r="AG893" s="1501"/>
      <c r="AH893" s="1502"/>
      <c r="AZ893" s="34"/>
      <c r="BA893" s="34"/>
      <c r="BB893" s="34"/>
      <c r="BC893" s="34"/>
    </row>
    <row r="894" spans="3:55" ht="13" customHeight="1">
      <c r="C894" s="1607" t="s">
        <v>956</v>
      </c>
      <c r="D894" s="1608"/>
      <c r="E894" s="1608"/>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628"/>
      <c r="AD894" s="1628"/>
      <c r="AE894" s="1628"/>
      <c r="AF894" s="1628"/>
      <c r="AG894" s="1628"/>
      <c r="AH894" s="1628"/>
      <c r="AZ894" s="34"/>
      <c r="BA894" s="34"/>
      <c r="BB894" s="34"/>
      <c r="BC894" s="34"/>
    </row>
    <row r="895" spans="3:55" ht="13" customHeight="1">
      <c r="C895" s="1607" t="s">
        <v>956</v>
      </c>
      <c r="D895" s="1608"/>
      <c r="E895" s="1608"/>
      <c r="F895" s="1608"/>
      <c r="G895" s="1608"/>
      <c r="H895" s="1608"/>
      <c r="I895" s="1608"/>
      <c r="J895" s="1608"/>
      <c r="K895" s="1608"/>
      <c r="L895" s="1608"/>
      <c r="M895" s="1608"/>
      <c r="N895" s="1608"/>
      <c r="O895" s="1608"/>
      <c r="P895" s="1608"/>
      <c r="Q895" s="1608"/>
      <c r="R895" s="1608"/>
      <c r="S895" s="1608"/>
      <c r="T895" s="1608"/>
      <c r="U895" s="1608"/>
      <c r="V895" s="1608"/>
      <c r="W895" s="1608"/>
      <c r="X895" s="1608"/>
      <c r="Y895" s="1608"/>
      <c r="Z895" s="1608"/>
      <c r="AA895" s="1608"/>
      <c r="AB895" s="1609"/>
      <c r="AC895" s="1628"/>
      <c r="AD895" s="1628"/>
      <c r="AE895" s="1628"/>
      <c r="AF895" s="1628"/>
      <c r="AG895" s="1628"/>
      <c r="AH895" s="162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500"/>
      <c r="AA899" s="1501"/>
      <c r="AB899" s="1501"/>
      <c r="AC899" s="1501"/>
      <c r="AD899" s="1501"/>
      <c r="AE899" s="1502"/>
      <c r="AF899" s="533"/>
      <c r="AZ899" s="34"/>
      <c r="BB899" s="30"/>
      <c r="BC899" s="816"/>
      <c r="BD899" s="1638"/>
      <c r="BE899" s="1638"/>
      <c r="BF899" s="14"/>
    </row>
    <row r="900" spans="1:58" ht="13" customHeight="1">
      <c r="H900" s="121" t="s">
        <v>239</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16"/>
      <c r="BD900" s="1638"/>
      <c r="BE900" s="1638"/>
      <c r="BF900" s="14"/>
    </row>
    <row r="901" spans="1:58" ht="13" customHeight="1">
      <c r="H901" s="121" t="s">
        <v>240</v>
      </c>
      <c r="I901" s="5"/>
      <c r="J901" s="5"/>
      <c r="K901" s="5"/>
      <c r="L901" s="5"/>
      <c r="M901" s="5"/>
      <c r="N901" s="5"/>
      <c r="O901" s="5"/>
      <c r="P901" s="5"/>
      <c r="Q901" s="5"/>
      <c r="R901" s="5"/>
      <c r="S901" s="5"/>
      <c r="T901" s="5"/>
      <c r="U901" s="5"/>
      <c r="V901" s="5"/>
      <c r="W901" s="5"/>
      <c r="X901" s="5"/>
      <c r="Y901" s="5"/>
      <c r="Z901" s="1500"/>
      <c r="AA901" s="1501"/>
      <c r="AB901" s="1501"/>
      <c r="AC901" s="1501"/>
      <c r="AD901" s="1501"/>
      <c r="AE901" s="1502"/>
      <c r="AZ901" s="34"/>
      <c r="BB901" s="30"/>
      <c r="BC901" s="816"/>
      <c r="BD901" s="1637"/>
      <c r="BE901" s="163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0">
        <f>Z899-(Z900+Z901)</f>
        <v>0</v>
      </c>
      <c r="AA902" s="1611"/>
      <c r="AB902" s="1611"/>
      <c r="AC902" s="1611"/>
      <c r="AD902" s="1611"/>
      <c r="AE902" s="1612"/>
      <c r="AZ902" s="34"/>
      <c r="BB902" s="30"/>
      <c r="BC902" s="816"/>
      <c r="BD902" s="1637"/>
      <c r="BE902" s="163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4"/>
      <c r="BE905" s="1724"/>
      <c r="BF905" s="172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2"/>
      <c r="BE906" s="1652"/>
      <c r="BF906" s="1652"/>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3" customHeight="1">
      <c r="AZ909" s="34"/>
      <c r="BB909" s="30"/>
      <c r="BC909" s="816"/>
    </row>
    <row r="910" spans="1:58" ht="13" customHeight="1">
      <c r="A910" s="1472" t="s">
        <v>96</v>
      </c>
      <c r="B910" s="1472"/>
      <c r="C910" s="1472"/>
      <c r="D910" s="1472"/>
      <c r="E910" s="1472"/>
      <c r="F910" s="1472"/>
      <c r="G910" s="1472"/>
      <c r="H910" s="1472"/>
      <c r="I910" s="1472"/>
      <c r="J910" s="1472"/>
      <c r="K910" s="1472"/>
      <c r="L910" s="1472"/>
      <c r="M910" s="1472"/>
      <c r="N910" s="1472"/>
      <c r="O910" s="1472"/>
      <c r="P910" s="1472"/>
      <c r="Q910" s="1472"/>
      <c r="R910" s="1472"/>
      <c r="S910" s="1472"/>
      <c r="T910" s="1472"/>
      <c r="U910" s="1472"/>
      <c r="V910" s="1472"/>
      <c r="W910" s="1472"/>
      <c r="X910" s="1472"/>
      <c r="Y910" s="1472"/>
      <c r="Z910" s="1472"/>
      <c r="AA910" s="1472"/>
      <c r="AB910" s="1472"/>
      <c r="AC910" s="1472"/>
      <c r="AD910" s="1472"/>
      <c r="AE910" s="1472"/>
      <c r="AF910" s="1472"/>
      <c r="AG910" s="1472"/>
      <c r="AH910" s="1472"/>
      <c r="AI910" s="1472"/>
      <c r="AJ910" s="1472"/>
      <c r="AK910" s="1472"/>
      <c r="AL910" s="1472"/>
      <c r="AM910" s="1472"/>
      <c r="AN910" s="1472"/>
      <c r="AO910" s="1472"/>
      <c r="AP910" s="1472"/>
      <c r="AQ910" s="1472"/>
      <c r="AR910" s="1472"/>
      <c r="AS910" s="1472"/>
      <c r="AT910" s="1472"/>
      <c r="AZ910" s="34"/>
      <c r="BA910" s="34"/>
      <c r="BB910" s="30"/>
      <c r="BC910" s="30"/>
      <c r="BD910" s="1638"/>
      <c r="BE910" s="1637"/>
      <c r="BF910" s="911"/>
    </row>
    <row r="911" spans="1:58" ht="13" customHeight="1">
      <c r="A911" s="1472"/>
      <c r="B911" s="1472"/>
      <c r="C911" s="1472"/>
      <c r="D911" s="1472"/>
      <c r="E911" s="1472"/>
      <c r="F911" s="1472"/>
      <c r="G911" s="1472"/>
      <c r="H911" s="1472"/>
      <c r="I911" s="1472"/>
      <c r="J911" s="1472"/>
      <c r="K911" s="1472"/>
      <c r="L911" s="1472"/>
      <c r="M911" s="1472"/>
      <c r="N911" s="1472"/>
      <c r="O911" s="1472"/>
      <c r="P911" s="1472"/>
      <c r="Q911" s="1472"/>
      <c r="R911" s="1472"/>
      <c r="S911" s="1472"/>
      <c r="T911" s="1472"/>
      <c r="U911" s="1472"/>
      <c r="V911" s="1472"/>
      <c r="W911" s="1472"/>
      <c r="X911" s="1472"/>
      <c r="Y911" s="1472"/>
      <c r="Z911" s="1472"/>
      <c r="AA911" s="1472"/>
      <c r="AB911" s="1472"/>
      <c r="AC911" s="1472"/>
      <c r="AD911" s="1472"/>
      <c r="AE911" s="1472"/>
      <c r="AF911" s="1472"/>
      <c r="AG911" s="1472"/>
      <c r="AH911" s="1472"/>
      <c r="AI911" s="1472"/>
      <c r="AJ911" s="1472"/>
      <c r="AK911" s="1472"/>
      <c r="AL911" s="1472"/>
      <c r="AM911" s="1472"/>
      <c r="AN911" s="1472"/>
      <c r="AO911" s="1472"/>
      <c r="AP911" s="1472"/>
      <c r="AQ911" s="1472"/>
      <c r="AR911" s="1472"/>
      <c r="AS911" s="1472"/>
      <c r="AT911" s="147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594" t="s">
        <v>792</v>
      </c>
      <c r="G915" s="1595"/>
      <c r="H915" s="1595"/>
      <c r="I915" s="1595"/>
      <c r="J915" s="1595"/>
      <c r="K915" s="1595"/>
      <c r="L915" s="1595"/>
      <c r="M915" s="1595"/>
      <c r="N915" s="1595"/>
      <c r="O915" s="1595"/>
      <c r="P915" s="1595"/>
      <c r="Q915" s="1595"/>
      <c r="R915" s="1595"/>
      <c r="S915" s="1595"/>
      <c r="T915" s="1596"/>
      <c r="U915" s="1426" t="s">
        <v>31</v>
      </c>
      <c r="V915" s="1427"/>
      <c r="W915" s="1427"/>
      <c r="X915" s="1427"/>
      <c r="Y915" s="1427"/>
      <c r="Z915" s="1427"/>
      <c r="AA915" s="43"/>
      <c r="AB915" s="105"/>
      <c r="AC915" s="105"/>
      <c r="AD915" s="105"/>
      <c r="AE915" s="105"/>
      <c r="AF915" s="106"/>
      <c r="AZ915" s="34"/>
      <c r="BA915" s="34"/>
      <c r="BB915" s="34"/>
      <c r="BC915" s="34"/>
    </row>
    <row r="916" spans="1:58" ht="13" customHeight="1">
      <c r="B916" s="2"/>
      <c r="F916" s="1428" t="s">
        <v>818</v>
      </c>
      <c r="G916" s="1429"/>
      <c r="H916" s="1429"/>
      <c r="I916" s="1429"/>
      <c r="J916" s="1429"/>
      <c r="K916" s="1429"/>
      <c r="L916" s="1429"/>
      <c r="M916" s="1429"/>
      <c r="N916" s="1429"/>
      <c r="O916" s="1429"/>
      <c r="P916" s="1429"/>
      <c r="Q916" s="1429"/>
      <c r="R916" s="1429"/>
      <c r="S916" s="1429"/>
      <c r="T916" s="1442"/>
      <c r="U916" s="1428"/>
      <c r="V916" s="1429"/>
      <c r="W916" s="1429"/>
      <c r="X916" s="1429"/>
      <c r="Y916" s="1429"/>
      <c r="Z916" s="1429"/>
      <c r="AA916" s="44"/>
      <c r="AB916" s="4"/>
      <c r="AC916" s="4"/>
      <c r="AD916" s="4"/>
      <c r="AE916" s="4"/>
      <c r="AF916" s="107"/>
      <c r="AZ916" s="34"/>
      <c r="BA916" s="34"/>
      <c r="BB916" s="34"/>
      <c r="BC916" s="34"/>
    </row>
    <row r="917" spans="1:58" ht="13" customHeight="1">
      <c r="B917" s="2"/>
      <c r="F917" s="1430"/>
      <c r="G917" s="1431"/>
      <c r="H917" s="1431"/>
      <c r="I917" s="1431"/>
      <c r="J917" s="1431"/>
      <c r="K917" s="1431"/>
      <c r="L917" s="1431"/>
      <c r="M917" s="1431"/>
      <c r="N917" s="1431"/>
      <c r="O917" s="1431"/>
      <c r="P917" s="1431"/>
      <c r="Q917" s="1431"/>
      <c r="R917" s="1431"/>
      <c r="S917" s="1431"/>
      <c r="T917" s="1443"/>
      <c r="U917" s="1430"/>
      <c r="V917" s="1431"/>
      <c r="W917" s="1431"/>
      <c r="X917" s="1431"/>
      <c r="Y917" s="1431"/>
      <c r="Z917" s="1431"/>
      <c r="AA917" s="108"/>
      <c r="AB917" s="1639" t="s">
        <v>391</v>
      </c>
      <c r="AC917" s="1639"/>
      <c r="AD917" s="1639"/>
      <c r="AE917" s="1639"/>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36">
        <v>10000000</v>
      </c>
      <c r="AB918" s="1437"/>
      <c r="AC918" s="1437"/>
      <c r="AD918" s="1437"/>
      <c r="AE918" s="1437"/>
      <c r="AF918" s="1438"/>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2" t="s">
        <v>545</v>
      </c>
      <c r="V919" s="1403"/>
      <c r="W919" s="1403"/>
      <c r="X919" s="1403"/>
      <c r="Y919" s="1403"/>
      <c r="Z919" s="1404"/>
      <c r="AA919" s="1436">
        <v>21053524</v>
      </c>
      <c r="AB919" s="1437"/>
      <c r="AC919" s="1437"/>
      <c r="AD919" s="1437"/>
      <c r="AE919" s="1437"/>
      <c r="AF919" s="1438"/>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36"/>
      <c r="AB920" s="1437"/>
      <c r="AC920" s="1437"/>
      <c r="AD920" s="1437"/>
      <c r="AE920" s="1437"/>
      <c r="AF920" s="1438"/>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36"/>
      <c r="AB921" s="1437"/>
      <c r="AC921" s="1437"/>
      <c r="AD921" s="1437"/>
      <c r="AE921" s="1437"/>
      <c r="AF921" s="1438"/>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36"/>
      <c r="AB922" s="1437"/>
      <c r="AC922" s="1437"/>
      <c r="AD922" s="1437"/>
      <c r="AE922" s="1437"/>
      <c r="AF922" s="1438"/>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36"/>
      <c r="AB923" s="1437"/>
      <c r="AC923" s="1437"/>
      <c r="AD923" s="1437"/>
      <c r="AE923" s="1437"/>
      <c r="AF923" s="1438"/>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36"/>
      <c r="AB924" s="1437"/>
      <c r="AC924" s="1437"/>
      <c r="AD924" s="1437"/>
      <c r="AE924" s="1437"/>
      <c r="AF924" s="1438"/>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36"/>
      <c r="AB925" s="1437"/>
      <c r="AC925" s="1437"/>
      <c r="AD925" s="1437"/>
      <c r="AE925" s="1437"/>
      <c r="AF925" s="1438"/>
      <c r="AZ925" s="34"/>
      <c r="BA925" s="34"/>
      <c r="BB925" s="34"/>
      <c r="BC925" s="34"/>
    </row>
    <row r="926" spans="1:58" ht="13" customHeight="1">
      <c r="F926" s="1444" t="s">
        <v>2192</v>
      </c>
      <c r="G926" s="1445"/>
      <c r="H926" s="1445"/>
      <c r="I926" s="1445"/>
      <c r="J926" s="1445"/>
      <c r="K926" s="1445"/>
      <c r="L926" s="1445"/>
      <c r="M926" s="1445"/>
      <c r="N926" s="1445"/>
      <c r="O926" s="1445"/>
      <c r="P926" s="1445"/>
      <c r="Q926" s="1445"/>
      <c r="R926" s="1445"/>
      <c r="S926" s="1445"/>
      <c r="T926" s="1446"/>
      <c r="U926" s="1402" t="s">
        <v>591</v>
      </c>
      <c r="V926" s="1403"/>
      <c r="W926" s="1403"/>
      <c r="X926" s="1403"/>
      <c r="Y926" s="1403"/>
      <c r="Z926" s="1404"/>
      <c r="AA926" s="1436"/>
      <c r="AB926" s="1437"/>
      <c r="AC926" s="1437"/>
      <c r="AD926" s="1437"/>
      <c r="AE926" s="1437"/>
      <c r="AF926" s="1438"/>
      <c r="AZ926" s="34"/>
      <c r="BA926" s="34"/>
      <c r="BB926" s="34"/>
      <c r="BC926" s="34"/>
    </row>
    <row r="927" spans="1:58" ht="13" customHeight="1">
      <c r="F927" s="1444" t="s">
        <v>679</v>
      </c>
      <c r="G927" s="1445"/>
      <c r="H927" s="1445"/>
      <c r="I927" s="1445"/>
      <c r="J927" s="1445"/>
      <c r="K927" s="1445"/>
      <c r="L927" s="1445"/>
      <c r="M927" s="1445"/>
      <c r="N927" s="1445"/>
      <c r="O927" s="1445"/>
      <c r="P927" s="1445"/>
      <c r="Q927" s="1445"/>
      <c r="R927" s="1445"/>
      <c r="S927" s="1445"/>
      <c r="T927" s="1446"/>
      <c r="U927" s="1402" t="s">
        <v>591</v>
      </c>
      <c r="V927" s="1403"/>
      <c r="W927" s="1403"/>
      <c r="X927" s="1403"/>
      <c r="Y927" s="1403"/>
      <c r="Z927" s="1404"/>
      <c r="AA927" s="1436"/>
      <c r="AB927" s="1437"/>
      <c r="AC927" s="1437"/>
      <c r="AD927" s="1437"/>
      <c r="AE927" s="1437"/>
      <c r="AF927" s="1438"/>
      <c r="AU927" s="2"/>
      <c r="AZ927" s="34"/>
      <c r="BA927" s="34"/>
      <c r="BB927" s="34"/>
      <c r="BC927" s="34"/>
    </row>
    <row r="928" spans="1:58" ht="13" customHeight="1">
      <c r="F928" s="1444" t="s">
        <v>2193</v>
      </c>
      <c r="G928" s="1445"/>
      <c r="H928" s="1445"/>
      <c r="I928" s="1445"/>
      <c r="J928" s="1445"/>
      <c r="K928" s="1445"/>
      <c r="L928" s="1445"/>
      <c r="M928" s="1445"/>
      <c r="N928" s="1445"/>
      <c r="O928" s="1445"/>
      <c r="P928" s="1445"/>
      <c r="Q928" s="1445"/>
      <c r="R928" s="1445"/>
      <c r="S928" s="1445"/>
      <c r="T928" s="1446"/>
      <c r="U928" s="1402" t="s">
        <v>591</v>
      </c>
      <c r="V928" s="1403"/>
      <c r="W928" s="1403"/>
      <c r="X928" s="1403"/>
      <c r="Y928" s="1403"/>
      <c r="Z928" s="1404"/>
      <c r="AA928" s="1436"/>
      <c r="AB928" s="1437"/>
      <c r="AC928" s="1437"/>
      <c r="AD928" s="1437"/>
      <c r="AE928" s="1437"/>
      <c r="AF928" s="1438"/>
      <c r="AU928" s="2"/>
      <c r="AZ928" s="34"/>
      <c r="BA928" s="34"/>
      <c r="BB928" s="34"/>
      <c r="BC928" s="34"/>
    </row>
    <row r="929" spans="6:55" ht="13" customHeight="1">
      <c r="F929" s="1444" t="s">
        <v>2194</v>
      </c>
      <c r="G929" s="1445"/>
      <c r="H929" s="1445"/>
      <c r="I929" s="1445"/>
      <c r="J929" s="1445"/>
      <c r="K929" s="1445"/>
      <c r="L929" s="1445"/>
      <c r="M929" s="1445"/>
      <c r="N929" s="1445"/>
      <c r="O929" s="1445"/>
      <c r="P929" s="1445"/>
      <c r="Q929" s="1445"/>
      <c r="R929" s="1445"/>
      <c r="S929" s="1445"/>
      <c r="T929" s="1446"/>
      <c r="U929" s="1402" t="s">
        <v>591</v>
      </c>
      <c r="V929" s="1403"/>
      <c r="W929" s="1403"/>
      <c r="X929" s="1403"/>
      <c r="Y929" s="1403"/>
      <c r="Z929" s="1404"/>
      <c r="AA929" s="1436"/>
      <c r="AB929" s="1437"/>
      <c r="AC929" s="1437"/>
      <c r="AD929" s="1437"/>
      <c r="AE929" s="1437"/>
      <c r="AF929" s="1438"/>
      <c r="AU929" s="2"/>
      <c r="AZ929" s="34"/>
      <c r="BA929" s="34"/>
      <c r="BB929" s="34"/>
      <c r="BC929" s="34"/>
    </row>
    <row r="930" spans="6:55" ht="13" customHeight="1">
      <c r="F930" s="1444" t="s">
        <v>2195</v>
      </c>
      <c r="G930" s="1445"/>
      <c r="H930" s="1445"/>
      <c r="I930" s="1445"/>
      <c r="J930" s="1445"/>
      <c r="K930" s="1445"/>
      <c r="L930" s="1445"/>
      <c r="M930" s="1445"/>
      <c r="N930" s="1445"/>
      <c r="O930" s="1445"/>
      <c r="P930" s="1445"/>
      <c r="Q930" s="1445"/>
      <c r="R930" s="1445"/>
      <c r="S930" s="1445"/>
      <c r="T930" s="1446"/>
      <c r="U930" s="1402" t="s">
        <v>591</v>
      </c>
      <c r="V930" s="1403"/>
      <c r="W930" s="1403"/>
      <c r="X930" s="1403"/>
      <c r="Y930" s="1403"/>
      <c r="Z930" s="1404"/>
      <c r="AA930" s="1436"/>
      <c r="AB930" s="1437"/>
      <c r="AC930" s="1437"/>
      <c r="AD930" s="1437"/>
      <c r="AE930" s="1437"/>
      <c r="AF930" s="1438"/>
      <c r="AU930" s="2"/>
      <c r="AZ930" s="34"/>
      <c r="BA930" s="34"/>
      <c r="BB930" s="34"/>
      <c r="BC930" s="34"/>
    </row>
    <row r="931" spans="6:55" ht="13" customHeight="1">
      <c r="F931" s="1444" t="s">
        <v>2196</v>
      </c>
      <c r="G931" s="1445"/>
      <c r="H931" s="1445"/>
      <c r="I931" s="1445"/>
      <c r="J931" s="1445"/>
      <c r="K931" s="1445"/>
      <c r="L931" s="1445"/>
      <c r="M931" s="1445"/>
      <c r="N931" s="1445"/>
      <c r="O931" s="1445"/>
      <c r="P931" s="1445"/>
      <c r="Q931" s="1445"/>
      <c r="R931" s="1445"/>
      <c r="S931" s="1445"/>
      <c r="T931" s="1446"/>
      <c r="U931" s="1402" t="s">
        <v>591</v>
      </c>
      <c r="V931" s="1403"/>
      <c r="W931" s="1403"/>
      <c r="X931" s="1403"/>
      <c r="Y931" s="1403"/>
      <c r="Z931" s="1404"/>
      <c r="AA931" s="1436"/>
      <c r="AB931" s="1437"/>
      <c r="AC931" s="1437"/>
      <c r="AD931" s="1437"/>
      <c r="AE931" s="1437"/>
      <c r="AF931" s="1438"/>
      <c r="AU931" s="2"/>
      <c r="AZ931" s="34"/>
      <c r="BA931" s="34"/>
      <c r="BB931" s="34"/>
      <c r="BC931" s="34"/>
    </row>
    <row r="932" spans="6:55" ht="13" customHeight="1">
      <c r="F932" s="1444" t="s">
        <v>2197</v>
      </c>
      <c r="G932" s="1445"/>
      <c r="H932" s="1445"/>
      <c r="I932" s="1445"/>
      <c r="J932" s="1445"/>
      <c r="K932" s="1445"/>
      <c r="L932" s="1445"/>
      <c r="M932" s="1445"/>
      <c r="N932" s="1445"/>
      <c r="O932" s="1445"/>
      <c r="P932" s="1445"/>
      <c r="Q932" s="1445"/>
      <c r="R932" s="1445"/>
      <c r="S932" s="1445"/>
      <c r="T932" s="1446"/>
      <c r="U932" s="1402" t="s">
        <v>591</v>
      </c>
      <c r="V932" s="1403"/>
      <c r="W932" s="1403"/>
      <c r="X932" s="1403"/>
      <c r="Y932" s="1403"/>
      <c r="Z932" s="1404"/>
      <c r="AA932" s="1436"/>
      <c r="AB932" s="1437"/>
      <c r="AC932" s="1437"/>
      <c r="AD932" s="1437"/>
      <c r="AE932" s="1437"/>
      <c r="AF932" s="1438"/>
      <c r="AZ932" s="30"/>
      <c r="BA932" s="30"/>
    </row>
    <row r="933" spans="6:55" ht="13"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36"/>
      <c r="AB933" s="1437"/>
      <c r="AC933" s="1437"/>
      <c r="AD933" s="1437"/>
      <c r="AE933" s="1437"/>
      <c r="AF933" s="1438"/>
    </row>
    <row r="934" spans="6:55" ht="13"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36"/>
      <c r="AB934" s="1437"/>
      <c r="AC934" s="1437"/>
      <c r="AD934" s="1437"/>
      <c r="AE934" s="1437"/>
      <c r="AF934" s="1438"/>
      <c r="AZ934" s="30"/>
      <c r="BA934" s="14"/>
    </row>
    <row r="935" spans="6:55" ht="13"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36"/>
      <c r="AB935" s="1437"/>
      <c r="AC935" s="1437"/>
      <c r="AD935" s="1437"/>
      <c r="AE935" s="1437"/>
      <c r="AF935" s="1438"/>
      <c r="AZ935" s="30"/>
      <c r="BA935" s="14"/>
    </row>
    <row r="936" spans="6:55" ht="13" customHeight="1">
      <c r="F936" s="1634" t="s">
        <v>2201</v>
      </c>
      <c r="G936" s="1635"/>
      <c r="H936" s="1635"/>
      <c r="I936" s="1635"/>
      <c r="J936" s="1635"/>
      <c r="K936" s="1635"/>
      <c r="L936" s="1635"/>
      <c r="M936" s="1635"/>
      <c r="N936" s="1635"/>
      <c r="O936" s="1635"/>
      <c r="P936" s="1635"/>
      <c r="Q936" s="1635"/>
      <c r="R936" s="1635"/>
      <c r="S936" s="1635"/>
      <c r="T936" s="1636"/>
      <c r="U936" s="1402" t="s">
        <v>591</v>
      </c>
      <c r="V936" s="1403"/>
      <c r="W936" s="1403"/>
      <c r="X936" s="1403"/>
      <c r="Y936" s="1403"/>
      <c r="Z936" s="1404"/>
      <c r="AA936" s="1436"/>
      <c r="AB936" s="1437"/>
      <c r="AC936" s="1437"/>
      <c r="AD936" s="1437"/>
      <c r="AE936" s="1437"/>
      <c r="AF936" s="1438"/>
      <c r="AZ936" s="30"/>
      <c r="BA936" s="14"/>
    </row>
    <row r="937" spans="6:55" ht="13" customHeight="1">
      <c r="F937" s="1634" t="s">
        <v>2202</v>
      </c>
      <c r="G937" s="1635"/>
      <c r="H937" s="1635"/>
      <c r="I937" s="1635"/>
      <c r="J937" s="1635"/>
      <c r="K937" s="1635"/>
      <c r="L937" s="1635"/>
      <c r="M937" s="1635"/>
      <c r="N937" s="1635"/>
      <c r="O937" s="1635"/>
      <c r="P937" s="1635"/>
      <c r="Q937" s="1635"/>
      <c r="R937" s="1635"/>
      <c r="S937" s="1635"/>
      <c r="T937" s="1636"/>
      <c r="U937" s="1402" t="s">
        <v>591</v>
      </c>
      <c r="V937" s="1403"/>
      <c r="W937" s="1403"/>
      <c r="X937" s="1403"/>
      <c r="Y937" s="1403"/>
      <c r="Z937" s="1404"/>
      <c r="AA937" s="1436"/>
      <c r="AB937" s="1437"/>
      <c r="AC937" s="1437"/>
      <c r="AD937" s="1437"/>
      <c r="AE937" s="1437"/>
      <c r="AF937" s="1438"/>
      <c r="AZ937" s="30"/>
      <c r="BA937" s="30"/>
    </row>
    <row r="938" spans="6:55" ht="13" customHeight="1">
      <c r="F938" s="1444" t="s">
        <v>2198</v>
      </c>
      <c r="G938" s="1445"/>
      <c r="H938" s="1445"/>
      <c r="I938" s="1445"/>
      <c r="J938" s="1445"/>
      <c r="K938" s="1445"/>
      <c r="L938" s="1445"/>
      <c r="M938" s="1445"/>
      <c r="N938" s="1445"/>
      <c r="O938" s="1445"/>
      <c r="P938" s="1445"/>
      <c r="Q938" s="1445"/>
      <c r="R938" s="1445"/>
      <c r="S938" s="1445"/>
      <c r="T938" s="1446"/>
      <c r="U938" s="1402" t="s">
        <v>545</v>
      </c>
      <c r="V938" s="1403"/>
      <c r="W938" s="1403"/>
      <c r="X938" s="1403"/>
      <c r="Y938" s="1403"/>
      <c r="Z938" s="1404"/>
      <c r="AA938" s="1436">
        <v>15000000</v>
      </c>
      <c r="AB938" s="1437"/>
      <c r="AC938" s="1437"/>
      <c r="AD938" s="1437"/>
      <c r="AE938" s="1437"/>
      <c r="AF938" s="1438"/>
      <c r="AZ938" s="30"/>
      <c r="BA938" s="30"/>
    </row>
    <row r="939" spans="6:55" ht="13" customHeight="1">
      <c r="F939" s="1444" t="s">
        <v>2199</v>
      </c>
      <c r="G939" s="1445"/>
      <c r="H939" s="1445"/>
      <c r="I939" s="1445"/>
      <c r="J939" s="1445"/>
      <c r="K939" s="1445"/>
      <c r="L939" s="1445"/>
      <c r="M939" s="1445"/>
      <c r="N939" s="1445"/>
      <c r="O939" s="1445"/>
      <c r="P939" s="1445"/>
      <c r="Q939" s="1445"/>
      <c r="R939" s="1445"/>
      <c r="S939" s="1445"/>
      <c r="T939" s="1446"/>
      <c r="U939" s="1402" t="s">
        <v>591</v>
      </c>
      <c r="V939" s="1403"/>
      <c r="W939" s="1403"/>
      <c r="X939" s="1403"/>
      <c r="Y939" s="1403"/>
      <c r="Z939" s="1404"/>
      <c r="AA939" s="1436"/>
      <c r="AB939" s="1437"/>
      <c r="AC939" s="1437"/>
      <c r="AD939" s="1437"/>
      <c r="AE939" s="1437"/>
      <c r="AF939" s="1438"/>
      <c r="AZ939" s="30"/>
      <c r="BA939" s="30"/>
    </row>
    <row r="940" spans="6:55" ht="13" customHeight="1">
      <c r="F940" s="1444" t="s">
        <v>2200</v>
      </c>
      <c r="G940" s="1445"/>
      <c r="H940" s="1445"/>
      <c r="I940" s="1445"/>
      <c r="J940" s="1445"/>
      <c r="K940" s="1445"/>
      <c r="L940" s="1445"/>
      <c r="M940" s="1445"/>
      <c r="N940" s="1445"/>
      <c r="O940" s="1445"/>
      <c r="P940" s="1445"/>
      <c r="Q940" s="1445"/>
      <c r="R940" s="1445"/>
      <c r="S940" s="1445"/>
      <c r="T940" s="1446"/>
      <c r="U940" s="1402" t="s">
        <v>591</v>
      </c>
      <c r="V940" s="1403"/>
      <c r="W940" s="1403"/>
      <c r="X940" s="1403"/>
      <c r="Y940" s="1403"/>
      <c r="Z940" s="1404"/>
      <c r="AA940" s="1436"/>
      <c r="AB940" s="1437"/>
      <c r="AC940" s="1437"/>
      <c r="AD940" s="1437"/>
      <c r="AE940" s="1437"/>
      <c r="AF940" s="1438"/>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36"/>
      <c r="AB941" s="1437"/>
      <c r="AC941" s="1437"/>
      <c r="AD941" s="1437"/>
      <c r="AE941" s="1437"/>
      <c r="AF941" s="1438"/>
      <c r="AZ941" s="34"/>
      <c r="BA941" s="34"/>
      <c r="BB941" s="14"/>
      <c r="BC941" s="14"/>
    </row>
    <row r="942" spans="6:55" ht="13" customHeight="1">
      <c r="F942" s="1634" t="s">
        <v>2203</v>
      </c>
      <c r="G942" s="1635"/>
      <c r="H942" s="1635"/>
      <c r="I942" s="1635"/>
      <c r="J942" s="1635"/>
      <c r="K942" s="1635"/>
      <c r="L942" s="1635"/>
      <c r="M942" s="1635"/>
      <c r="N942" s="1635"/>
      <c r="O942" s="1635"/>
      <c r="P942" s="1635"/>
      <c r="Q942" s="1635"/>
      <c r="R942" s="1635"/>
      <c r="S942" s="1635"/>
      <c r="T942" s="1636"/>
      <c r="U942" s="1402" t="s">
        <v>591</v>
      </c>
      <c r="V942" s="1403"/>
      <c r="W942" s="1403"/>
      <c r="X942" s="1403"/>
      <c r="Y942" s="1403"/>
      <c r="Z942" s="1404"/>
      <c r="AA942" s="1436"/>
      <c r="AB942" s="1437"/>
      <c r="AC942" s="1437"/>
      <c r="AD942" s="1437"/>
      <c r="AE942" s="1437"/>
      <c r="AF942" s="1438"/>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36"/>
      <c r="AB943" s="1437"/>
      <c r="AC943" s="1437"/>
      <c r="AD943" s="1437"/>
      <c r="AE943" s="1437"/>
      <c r="AF943" s="1438"/>
      <c r="AZ943" s="34"/>
      <c r="BA943" s="34"/>
      <c r="BB943" s="34"/>
      <c r="BC943" s="34"/>
    </row>
    <row r="944" spans="6:55" ht="13" customHeight="1">
      <c r="F944" s="1634" t="s">
        <v>2204</v>
      </c>
      <c r="G944" s="1635"/>
      <c r="H944" s="1635"/>
      <c r="I944" s="1635"/>
      <c r="J944" s="1635"/>
      <c r="K944" s="1635"/>
      <c r="L944" s="1635"/>
      <c r="M944" s="1635"/>
      <c r="N944" s="1635"/>
      <c r="O944" s="1635"/>
      <c r="P944" s="1635"/>
      <c r="Q944" s="1635"/>
      <c r="R944" s="1635"/>
      <c r="S944" s="1635"/>
      <c r="T944" s="1636"/>
      <c r="U944" s="1402" t="s">
        <v>591</v>
      </c>
      <c r="V944" s="1403"/>
      <c r="W944" s="1403"/>
      <c r="X944" s="1403"/>
      <c r="Y944" s="1403"/>
      <c r="Z944" s="1404"/>
      <c r="AA944" s="1436"/>
      <c r="AB944" s="1437"/>
      <c r="AC944" s="1437"/>
      <c r="AD944" s="1437"/>
      <c r="AE944" s="1437"/>
      <c r="AF944" s="1438"/>
      <c r="AZ944" s="34"/>
      <c r="BA944" s="34"/>
      <c r="BB944" s="34"/>
      <c r="BC944" s="34"/>
    </row>
    <row r="945" spans="1:55" ht="13"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36"/>
      <c r="AB945" s="1437"/>
      <c r="AC945" s="1437"/>
      <c r="AD945" s="1437"/>
      <c r="AE945" s="1437"/>
      <c r="AF945" s="1438"/>
      <c r="AZ945" s="34"/>
      <c r="BA945" s="34"/>
      <c r="BB945" s="34"/>
      <c r="BC945" s="34"/>
    </row>
    <row r="946" spans="1:55" ht="13" customHeight="1">
      <c r="F946" s="1444" t="s">
        <v>2191</v>
      </c>
      <c r="G946" s="1445"/>
      <c r="H946" s="1446"/>
      <c r="I946" s="1263" t="s">
        <v>2713</v>
      </c>
      <c r="J946" s="1264"/>
      <c r="K946" s="1264"/>
      <c r="L946" s="1264"/>
      <c r="M946" s="1264"/>
      <c r="N946" s="1264"/>
      <c r="O946" s="1264"/>
      <c r="P946" s="1264"/>
      <c r="Q946" s="1264"/>
      <c r="R946" s="1264"/>
      <c r="S946" s="1264"/>
      <c r="T946" s="1265"/>
      <c r="U946" s="1402" t="s">
        <v>545</v>
      </c>
      <c r="V946" s="1403"/>
      <c r="W946" s="1403"/>
      <c r="X946" s="1403"/>
      <c r="Y946" s="1403"/>
      <c r="Z946" s="1404"/>
      <c r="AA946" s="1436">
        <v>14157725</v>
      </c>
      <c r="AB946" s="1437"/>
      <c r="AC946" s="1437"/>
      <c r="AD946" s="1437"/>
      <c r="AE946" s="1437"/>
      <c r="AF946" s="1438"/>
      <c r="AZ946" s="34"/>
      <c r="BA946" s="34"/>
      <c r="BB946" s="34"/>
      <c r="BC946" s="34"/>
    </row>
    <row r="947" spans="1:55" ht="13" customHeight="1">
      <c r="F947" s="45" t="s">
        <v>86</v>
      </c>
      <c r="G947" s="48"/>
      <c r="H947" s="48"/>
      <c r="I947" s="1544" t="s">
        <v>2714</v>
      </c>
      <c r="J947" s="1601"/>
      <c r="K947" s="1601"/>
      <c r="L947" s="1601"/>
      <c r="M947" s="1601"/>
      <c r="N947" s="1601"/>
      <c r="O947" s="1601"/>
      <c r="P947" s="1601"/>
      <c r="Q947" s="1601"/>
      <c r="R947" s="1601"/>
      <c r="S947" s="1601"/>
      <c r="T947" s="1602"/>
      <c r="U947" s="1402" t="s">
        <v>545</v>
      </c>
      <c r="V947" s="1403"/>
      <c r="W947" s="1403"/>
      <c r="X947" s="1403"/>
      <c r="Y947" s="1403"/>
      <c r="Z947" s="1404"/>
      <c r="AA947" s="1436">
        <v>3915000</v>
      </c>
      <c r="AB947" s="1437"/>
      <c r="AC947" s="1437"/>
      <c r="AD947" s="1437"/>
      <c r="AE947" s="1437"/>
      <c r="AF947" s="1438"/>
      <c r="AZ947" s="34"/>
      <c r="BA947" s="34"/>
      <c r="BB947" s="34"/>
      <c r="BC947" s="34"/>
    </row>
    <row r="948" spans="1:55" ht="13" customHeight="1">
      <c r="F948" s="45" t="s">
        <v>10</v>
      </c>
      <c r="G948" s="48"/>
      <c r="H948" s="48"/>
      <c r="I948" s="1544"/>
      <c r="J948" s="1545"/>
      <c r="K948" s="1545"/>
      <c r="L948" s="1545"/>
      <c r="M948" s="1545"/>
      <c r="N948" s="1545"/>
      <c r="O948" s="1545"/>
      <c r="P948" s="1545"/>
      <c r="Q948" s="1545"/>
      <c r="R948" s="1545"/>
      <c r="S948" s="1545"/>
      <c r="T948" s="1546"/>
      <c r="U948" s="1402" t="s">
        <v>591</v>
      </c>
      <c r="V948" s="1403"/>
      <c r="W948" s="1403"/>
      <c r="X948" s="1403"/>
      <c r="Y948" s="1403"/>
      <c r="Z948" s="1404"/>
      <c r="AA948" s="1436"/>
      <c r="AB948" s="1437"/>
      <c r="AC948" s="1437"/>
      <c r="AD948" s="1437"/>
      <c r="AE948" s="1437"/>
      <c r="AF948" s="1438"/>
      <c r="AV948" s="2"/>
      <c r="AW948" s="2"/>
      <c r="AX948" s="2"/>
      <c r="AY948" s="2"/>
      <c r="AZ948" s="34"/>
      <c r="BA948" s="34"/>
      <c r="BB948" s="34"/>
      <c r="BC948" s="34"/>
    </row>
    <row r="949" spans="1:55" ht="13" customHeight="1">
      <c r="F949" s="47" t="s">
        <v>170</v>
      </c>
      <c r="G949" s="48"/>
      <c r="H949" s="48"/>
      <c r="I949" s="1544"/>
      <c r="J949" s="1545"/>
      <c r="K949" s="1545"/>
      <c r="L949" s="1545"/>
      <c r="M949" s="1545"/>
      <c r="N949" s="1545"/>
      <c r="O949" s="1545"/>
      <c r="P949" s="1545"/>
      <c r="Q949" s="1545"/>
      <c r="R949" s="1545"/>
      <c r="S949" s="1545"/>
      <c r="T949" s="1546"/>
      <c r="U949" s="1402" t="s">
        <v>591</v>
      </c>
      <c r="V949" s="1403"/>
      <c r="W949" s="1403"/>
      <c r="X949" s="1403"/>
      <c r="Y949" s="1403"/>
      <c r="Z949" s="1404"/>
      <c r="AA949" s="1436"/>
      <c r="AB949" s="1437"/>
      <c r="AC949" s="1437"/>
      <c r="AD949" s="1437"/>
      <c r="AE949" s="1437"/>
      <c r="AF949" s="1438"/>
      <c r="AU949" s="2"/>
      <c r="AZ949" s="34"/>
      <c r="BA949" s="34"/>
      <c r="BB949" s="34"/>
      <c r="BC949" s="34"/>
    </row>
    <row r="950" spans="1:55" ht="13" customHeight="1">
      <c r="F950" s="47" t="s">
        <v>170</v>
      </c>
      <c r="G950" s="48"/>
      <c r="H950" s="48"/>
      <c r="I950" s="1544" t="s">
        <v>2763</v>
      </c>
      <c r="J950" s="1545"/>
      <c r="K950" s="1545"/>
      <c r="L950" s="1545"/>
      <c r="M950" s="1545"/>
      <c r="N950" s="1545"/>
      <c r="O950" s="1545"/>
      <c r="P950" s="1545"/>
      <c r="Q950" s="1545"/>
      <c r="R950" s="1545"/>
      <c r="S950" s="1545"/>
      <c r="T950" s="1546"/>
      <c r="U950" s="1402" t="s">
        <v>545</v>
      </c>
      <c r="V950" s="1403"/>
      <c r="W950" s="1403"/>
      <c r="X950" s="1403"/>
      <c r="Y950" s="1403"/>
      <c r="Z950" s="1404"/>
      <c r="AA950" s="1436">
        <v>2000000</v>
      </c>
      <c r="AB950" s="1437"/>
      <c r="AC950" s="1437"/>
      <c r="AD950" s="1437"/>
      <c r="AE950" s="1437"/>
      <c r="AF950" s="1438"/>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41"/>
      <c r="N955" s="1542"/>
      <c r="O955" s="1542"/>
      <c r="P955" s="1542"/>
      <c r="Q955" s="1542"/>
      <c r="R955" s="1542"/>
      <c r="S955" s="1543"/>
      <c r="U955" s="66" t="s">
        <v>11</v>
      </c>
      <c r="V955" s="5"/>
      <c r="W955" s="5"/>
      <c r="X955" s="5"/>
      <c r="Y955" s="5"/>
      <c r="Z955" s="5"/>
      <c r="AA955" s="5"/>
      <c r="AB955" s="5"/>
      <c r="AC955" s="5"/>
      <c r="AD955" s="46"/>
      <c r="AE955" s="1541"/>
      <c r="AF955" s="1542"/>
      <c r="AG955" s="1542"/>
      <c r="AH955" s="1542"/>
      <c r="AI955" s="1542"/>
      <c r="AJ955" s="1542"/>
      <c r="AK955" s="1543"/>
      <c r="AZ955" s="34"/>
      <c r="BA955" s="34"/>
      <c r="BB955" s="34"/>
      <c r="BC955" s="34"/>
    </row>
    <row r="956" spans="1:55" ht="13" customHeight="1">
      <c r="C956" s="66" t="s">
        <v>12</v>
      </c>
      <c r="D956" s="5"/>
      <c r="E956" s="5"/>
      <c r="F956" s="5"/>
      <c r="G956" s="5"/>
      <c r="H956" s="5"/>
      <c r="I956" s="5"/>
      <c r="J956" s="5"/>
      <c r="K956" s="5"/>
      <c r="L956" s="46"/>
      <c r="M956" s="1553"/>
      <c r="N956" s="1554"/>
      <c r="O956" s="1554"/>
      <c r="P956" s="1554"/>
      <c r="Q956" s="1554"/>
      <c r="R956" s="1554"/>
      <c r="S956" s="1555"/>
      <c r="U956" s="66" t="s">
        <v>12</v>
      </c>
      <c r="V956" s="5"/>
      <c r="W956" s="5"/>
      <c r="X956" s="5"/>
      <c r="Y956" s="5"/>
      <c r="Z956" s="5"/>
      <c r="AA956" s="5"/>
      <c r="AB956" s="5"/>
      <c r="AC956" s="5"/>
      <c r="AD956" s="46"/>
      <c r="AE956" s="1553"/>
      <c r="AF956" s="1554"/>
      <c r="AG956" s="1554"/>
      <c r="AH956" s="1554"/>
      <c r="AI956" s="1554"/>
      <c r="AJ956" s="1554"/>
      <c r="AK956" s="1555"/>
      <c r="AZ956" s="34"/>
      <c r="BA956" s="34"/>
      <c r="BB956" s="34"/>
      <c r="BC956" s="34"/>
    </row>
    <row r="957" spans="1:55" ht="13" customHeight="1">
      <c r="C957" s="66" t="s">
        <v>880</v>
      </c>
      <c r="D957" s="5"/>
      <c r="E957" s="5"/>
      <c r="J957" s="1518" t="s">
        <v>307</v>
      </c>
      <c r="K957" s="1519"/>
      <c r="L957" s="1519"/>
      <c r="M957" s="1519"/>
      <c r="N957" s="1519"/>
      <c r="O957" s="1519"/>
      <c r="P957" s="1519"/>
      <c r="Q957" s="1519"/>
      <c r="R957" s="1519"/>
      <c r="S957" s="1520"/>
      <c r="U957" s="66" t="s">
        <v>880</v>
      </c>
      <c r="V957" s="5"/>
      <c r="W957" s="5"/>
      <c r="AB957" s="1518" t="s">
        <v>307</v>
      </c>
      <c r="AC957" s="1519"/>
      <c r="AD957" s="1519"/>
      <c r="AE957" s="1519"/>
      <c r="AF957" s="1519"/>
      <c r="AG957" s="1519"/>
      <c r="AH957" s="1519"/>
      <c r="AI957" s="1519"/>
      <c r="AJ957" s="1519"/>
      <c r="AK957" s="1520"/>
      <c r="AZ957" s="34"/>
      <c r="BA957" s="34"/>
      <c r="BB957" s="34"/>
      <c r="BC957" s="34"/>
    </row>
    <row r="958" spans="1:55" ht="13" customHeight="1">
      <c r="C958" s="66" t="s">
        <v>13</v>
      </c>
      <c r="D958" s="5"/>
      <c r="E958" s="5"/>
      <c r="F958" s="5"/>
      <c r="G958" s="5"/>
      <c r="H958" s="5"/>
      <c r="I958" s="5"/>
      <c r="J958" s="5"/>
      <c r="K958" s="5"/>
      <c r="L958" s="46"/>
      <c r="M958" s="1640"/>
      <c r="N958" s="1440"/>
      <c r="O958" s="1440"/>
      <c r="P958" s="1440"/>
      <c r="Q958" s="1440"/>
      <c r="R958" s="1440"/>
      <c r="S958" s="1441"/>
      <c r="U958" s="66" t="s">
        <v>13</v>
      </c>
      <c r="V958" s="5"/>
      <c r="W958" s="5"/>
      <c r="X958" s="5"/>
      <c r="Y958" s="5"/>
      <c r="Z958" s="5"/>
      <c r="AA958" s="5"/>
      <c r="AB958" s="5"/>
      <c r="AC958" s="5"/>
      <c r="AD958" s="46"/>
      <c r="AE958" s="1439"/>
      <c r="AF958" s="1440"/>
      <c r="AG958" s="1440"/>
      <c r="AH958" s="1440"/>
      <c r="AI958" s="1440"/>
      <c r="AJ958" s="1440"/>
      <c r="AK958" s="1441"/>
      <c r="AZ958" s="34"/>
      <c r="BA958" s="34"/>
      <c r="BB958" s="34"/>
      <c r="BC958" s="34"/>
    </row>
    <row r="959" spans="1:55" ht="13" customHeight="1">
      <c r="C959" s="66" t="s">
        <v>14</v>
      </c>
      <c r="D959" s="5"/>
      <c r="E959" s="5"/>
      <c r="F959" s="5"/>
      <c r="G959" s="5"/>
      <c r="H959" s="5"/>
      <c r="I959" s="5"/>
      <c r="J959" s="5"/>
      <c r="K959" s="5"/>
      <c r="L959" s="46"/>
      <c r="M959" s="1509"/>
      <c r="N959" s="1510"/>
      <c r="O959" s="1510"/>
      <c r="P959" s="1510"/>
      <c r="Q959" s="1510"/>
      <c r="R959" s="1510"/>
      <c r="S959" s="1511"/>
      <c r="U959" s="66" t="s">
        <v>14</v>
      </c>
      <c r="V959" s="5"/>
      <c r="W959" s="5"/>
      <c r="X959" s="5"/>
      <c r="Y959" s="5"/>
      <c r="Z959" s="5"/>
      <c r="AA959" s="5"/>
      <c r="AB959" s="5"/>
      <c r="AC959" s="5"/>
      <c r="AD959" s="46"/>
      <c r="AE959" s="1509"/>
      <c r="AF959" s="1510"/>
      <c r="AG959" s="1510"/>
      <c r="AH959" s="1510"/>
      <c r="AI959" s="1510"/>
      <c r="AJ959" s="1510"/>
      <c r="AK959" s="1511"/>
      <c r="AV959" s="2"/>
      <c r="AW959" s="2"/>
      <c r="AX959" s="2"/>
      <c r="AY959" s="2"/>
      <c r="AZ959" s="34"/>
      <c r="BA959" s="34"/>
      <c r="BB959" s="34"/>
      <c r="BC959" s="34"/>
    </row>
    <row r="960" spans="1:55" ht="13" customHeight="1">
      <c r="C960" s="66" t="s">
        <v>15</v>
      </c>
      <c r="D960" s="5"/>
      <c r="E960" s="5"/>
      <c r="F960" s="5"/>
      <c r="G960" s="5"/>
      <c r="H960" s="5"/>
      <c r="I960" s="5"/>
      <c r="J960" s="5"/>
      <c r="K960" s="5"/>
      <c r="L960" s="46"/>
      <c r="M960" s="1436"/>
      <c r="N960" s="1437"/>
      <c r="O960" s="1437"/>
      <c r="P960" s="1437"/>
      <c r="Q960" s="1437"/>
      <c r="R960" s="1437"/>
      <c r="S960" s="1438"/>
      <c r="U960" s="66" t="s">
        <v>15</v>
      </c>
      <c r="V960" s="5"/>
      <c r="W960" s="5"/>
      <c r="X960" s="5"/>
      <c r="Y960" s="5"/>
      <c r="Z960" s="5"/>
      <c r="AA960" s="5"/>
      <c r="AB960" s="5"/>
      <c r="AC960" s="5"/>
      <c r="AD960" s="46"/>
      <c r="AE960" s="1436"/>
      <c r="AF960" s="1437"/>
      <c r="AG960" s="1437"/>
      <c r="AH960" s="1437"/>
      <c r="AI960" s="1437"/>
      <c r="AJ960" s="1437"/>
      <c r="AK960" s="1438"/>
      <c r="AV960" s="2"/>
      <c r="AW960" s="2"/>
      <c r="AX960" s="2"/>
      <c r="AY960" s="2"/>
      <c r="AZ960" s="34"/>
      <c r="BA960" s="34"/>
      <c r="BB960" s="34"/>
      <c r="BC960" s="34"/>
    </row>
    <row r="961" spans="1:64" ht="13" customHeight="1">
      <c r="C961" s="66" t="s">
        <v>16</v>
      </c>
      <c r="D961" s="5"/>
      <c r="E961" s="5"/>
      <c r="F961" s="5"/>
      <c r="G961" s="5"/>
      <c r="H961" s="5"/>
      <c r="I961" s="5"/>
      <c r="J961" s="5"/>
      <c r="K961" s="5"/>
      <c r="L961" s="46"/>
      <c r="M961" s="1436"/>
      <c r="N961" s="1437"/>
      <c r="O961" s="1437"/>
      <c r="P961" s="1437"/>
      <c r="Q961" s="1437"/>
      <c r="R961" s="1437"/>
      <c r="S961" s="1438"/>
      <c r="U961" s="66" t="s">
        <v>16</v>
      </c>
      <c r="V961" s="5"/>
      <c r="W961" s="5"/>
      <c r="X961" s="5"/>
      <c r="Y961" s="5"/>
      <c r="Z961" s="5"/>
      <c r="AA961" s="5"/>
      <c r="AB961" s="5"/>
      <c r="AC961" s="5"/>
      <c r="AD961" s="46"/>
      <c r="AE961" s="1436"/>
      <c r="AF961" s="1437"/>
      <c r="AG961" s="1437"/>
      <c r="AH961" s="1437"/>
      <c r="AI961" s="1437"/>
      <c r="AJ961" s="1437"/>
      <c r="AK961" s="1438"/>
      <c r="AV961" s="2"/>
      <c r="AW961" s="2"/>
      <c r="AX961" s="2"/>
      <c r="AY961" s="2"/>
      <c r="AZ961" s="34"/>
      <c r="BB961" s="34"/>
      <c r="BC961" s="34"/>
    </row>
    <row r="962" spans="1:64" ht="13"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15"/>
      <c r="N967" s="1516"/>
      <c r="O967" s="1516"/>
      <c r="P967" s="1516"/>
      <c r="Q967" s="1516"/>
      <c r="R967" s="1516"/>
      <c r="S967" s="1517"/>
      <c r="T967" s="66" t="s">
        <v>790</v>
      </c>
      <c r="U967" s="5"/>
      <c r="V967" s="5"/>
      <c r="W967" s="5"/>
      <c r="X967" s="5"/>
      <c r="Y967" s="5"/>
      <c r="Z967" s="46"/>
      <c r="AA967" s="1515"/>
      <c r="AB967" s="1516"/>
      <c r="AC967" s="1516"/>
      <c r="AD967" s="1516"/>
      <c r="AE967" s="1516"/>
      <c r="AF967" s="1516"/>
      <c r="AG967" s="151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15"/>
      <c r="N968" s="1516"/>
      <c r="O968" s="1516"/>
      <c r="P968" s="1516"/>
      <c r="Q968" s="1516"/>
      <c r="R968" s="1516"/>
      <c r="S968" s="1517"/>
      <c r="T968" s="66" t="s">
        <v>789</v>
      </c>
      <c r="U968" s="5"/>
      <c r="V968" s="5"/>
      <c r="W968" s="5"/>
      <c r="X968" s="5"/>
      <c r="Y968" s="5"/>
      <c r="Z968" s="46"/>
      <c r="AA968" s="1515"/>
      <c r="AB968" s="1516"/>
      <c r="AC968" s="1516"/>
      <c r="AD968" s="1516"/>
      <c r="AE968" s="1516"/>
      <c r="AF968" s="1516"/>
      <c r="AG968" s="151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588" t="s">
        <v>591</v>
      </c>
      <c r="N969" s="1589"/>
      <c r="O969" s="1589"/>
      <c r="P969" s="1589"/>
      <c r="Q969" s="1589"/>
      <c r="R969" s="1589"/>
      <c r="S969" s="1590"/>
      <c r="T969" s="45" t="s">
        <v>337</v>
      </c>
      <c r="U969" s="5"/>
      <c r="V969" s="5"/>
      <c r="W969" s="5"/>
      <c r="X969" s="5"/>
      <c r="Y969" s="5"/>
      <c r="Z969" s="46"/>
      <c r="AA969" s="1515"/>
      <c r="AB969" s="1516"/>
      <c r="AC969" s="1516"/>
      <c r="AD969" s="1516"/>
      <c r="AE969" s="1516"/>
      <c r="AF969" s="1516"/>
      <c r="AG969" s="151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15"/>
      <c r="N970" s="1516"/>
      <c r="O970" s="1516"/>
      <c r="P970" s="1516"/>
      <c r="Q970" s="1516"/>
      <c r="R970" s="1516"/>
      <c r="S970" s="1517"/>
      <c r="T970" s="45" t="s">
        <v>338</v>
      </c>
      <c r="U970" s="5"/>
      <c r="V970" s="5"/>
      <c r="W970" s="5"/>
      <c r="X970" s="5"/>
      <c r="Y970" s="5"/>
      <c r="Z970" s="46"/>
      <c r="AA970" s="1515"/>
      <c r="AB970" s="1516"/>
      <c r="AC970" s="1516"/>
      <c r="AD970" s="1516"/>
      <c r="AE970" s="1516"/>
      <c r="AF970" s="1516"/>
      <c r="AG970" s="151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15"/>
      <c r="N971" s="1516"/>
      <c r="O971" s="1516"/>
      <c r="P971" s="1516"/>
      <c r="Q971" s="1516"/>
      <c r="R971" s="1516"/>
      <c r="S971" s="1517"/>
      <c r="T971" s="45" t="s">
        <v>376</v>
      </c>
      <c r="U971" s="5"/>
      <c r="V971" s="5"/>
      <c r="W971" s="5"/>
      <c r="X971" s="5"/>
      <c r="Y971" s="5"/>
      <c r="Z971" s="46"/>
      <c r="AA971" s="1515"/>
      <c r="AB971" s="1516"/>
      <c r="AC971" s="1516"/>
      <c r="AD971" s="1516"/>
      <c r="AE971" s="1516"/>
      <c r="AF971" s="1516"/>
      <c r="AG971" s="151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18" t="s">
        <v>307</v>
      </c>
      <c r="N972" s="1519"/>
      <c r="O972" s="1519"/>
      <c r="P972" s="1519"/>
      <c r="Q972" s="1519"/>
      <c r="R972" s="1519"/>
      <c r="S972" s="1520"/>
      <c r="T972" s="1591"/>
      <c r="U972" s="1592"/>
      <c r="V972" s="1592"/>
      <c r="W972" s="1592"/>
      <c r="X972" s="1592"/>
      <c r="Y972" s="1592"/>
      <c r="Z972" s="1593"/>
      <c r="AA972" s="1515"/>
      <c r="AB972" s="1516"/>
      <c r="AC972" s="1516"/>
      <c r="AD972" s="1516"/>
      <c r="AE972" s="1516"/>
      <c r="AF972" s="1516"/>
      <c r="AG972" s="151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15"/>
      <c r="N973" s="1516"/>
      <c r="O973" s="1516"/>
      <c r="P973" s="1516"/>
      <c r="Q973" s="1516"/>
      <c r="R973" s="1516"/>
      <c r="S973" s="1517"/>
      <c r="T973" s="1591"/>
      <c r="U973" s="1592"/>
      <c r="V973" s="1592"/>
      <c r="W973" s="1592"/>
      <c r="X973" s="1592"/>
      <c r="Y973" s="1592"/>
      <c r="Z973" s="1593"/>
      <c r="AA973" s="1515"/>
      <c r="AB973" s="1516"/>
      <c r="AC973" s="1516"/>
      <c r="AD973" s="1516"/>
      <c r="AE973" s="1516"/>
      <c r="AF973" s="1516"/>
      <c r="AG973" s="151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83" t="s">
        <v>669</v>
      </c>
      <c r="P974" s="1584"/>
      <c r="Q974" s="92"/>
      <c r="R974" s="92"/>
      <c r="S974" s="93"/>
      <c r="T974" s="41" t="s">
        <v>170</v>
      </c>
      <c r="U974" s="42"/>
      <c r="V974" s="42"/>
      <c r="W974" s="1512" t="s">
        <v>334</v>
      </c>
      <c r="X974" s="1513"/>
      <c r="Y974" s="1513"/>
      <c r="Z974" s="1513"/>
      <c r="AA974" s="1513"/>
      <c r="AB974" s="1513"/>
      <c r="AC974" s="1513"/>
      <c r="AD974" s="1513"/>
      <c r="AE974" s="1513"/>
      <c r="AF974" s="1513"/>
      <c r="AG974" s="1514"/>
      <c r="AU974" s="68"/>
      <c r="AV974" s="95"/>
      <c r="AW974" s="95"/>
      <c r="AX974" s="95"/>
      <c r="AY974" s="95"/>
      <c r="AZ974" s="34"/>
      <c r="BB974" s="34"/>
      <c r="BC974" s="34"/>
      <c r="BD974" s="34"/>
      <c r="BE974" s="34"/>
      <c r="BF974" s="34"/>
      <c r="BG974" s="34"/>
      <c r="BH974" s="34"/>
      <c r="BI974" s="34"/>
      <c r="BJ974" s="34"/>
      <c r="BK974" s="34"/>
      <c r="BL974" s="34"/>
    </row>
    <row r="975" spans="1:64" ht="13" customHeight="1">
      <c r="F975" s="1600" t="s">
        <v>33</v>
      </c>
      <c r="G975" s="1366"/>
      <c r="H975" s="1366"/>
      <c r="I975" s="1366"/>
      <c r="J975" s="1366"/>
      <c r="K975" s="1366"/>
      <c r="L975" s="1366"/>
      <c r="M975" s="1515"/>
      <c r="N975" s="1516"/>
      <c r="O975" s="1516"/>
      <c r="P975" s="1516"/>
      <c r="Q975" s="1516"/>
      <c r="R975" s="1516"/>
      <c r="S975" s="1517"/>
      <c r="T975" s="47"/>
      <c r="U975" s="48"/>
      <c r="V975" s="48"/>
      <c r="W975" s="48"/>
      <c r="X975" s="48"/>
      <c r="Y975" s="48"/>
      <c r="Z975" s="124" t="s">
        <v>134</v>
      </c>
      <c r="AA975" s="1432"/>
      <c r="AB975" s="1433"/>
      <c r="AC975" s="1433"/>
      <c r="AD975" s="1433"/>
      <c r="AE975" s="1433"/>
      <c r="AF975" s="1433"/>
      <c r="AG975" s="1434"/>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72" t="s">
        <v>548</v>
      </c>
      <c r="B979" s="1472"/>
      <c r="C979" s="1472"/>
      <c r="D979" s="1472"/>
      <c r="E979" s="1472"/>
      <c r="F979" s="1472"/>
      <c r="G979" s="1472"/>
      <c r="H979" s="1472"/>
      <c r="I979" s="1472"/>
      <c r="J979" s="1472"/>
      <c r="K979" s="1472"/>
      <c r="L979" s="1472"/>
      <c r="M979" s="1472"/>
      <c r="N979" s="1472"/>
      <c r="O979" s="1472"/>
      <c r="P979" s="1472"/>
      <c r="Q979" s="1472"/>
      <c r="R979" s="1472"/>
      <c r="S979" s="1472"/>
      <c r="T979" s="1472"/>
      <c r="U979" s="1472"/>
      <c r="V979" s="1472"/>
      <c r="W979" s="1472"/>
      <c r="X979" s="1472"/>
      <c r="Y979" s="1472"/>
      <c r="Z979" s="1472"/>
      <c r="AA979" s="1472"/>
      <c r="AB979" s="1472"/>
      <c r="AC979" s="1472"/>
      <c r="AD979" s="1472"/>
      <c r="AE979" s="1472"/>
      <c r="AF979" s="1472"/>
      <c r="AG979" s="1472"/>
      <c r="AH979" s="1472"/>
      <c r="AI979" s="1472"/>
      <c r="AJ979" s="1472"/>
      <c r="AK979" s="1472"/>
      <c r="AL979" s="1472"/>
      <c r="AM979" s="1472"/>
      <c r="AN979" s="1472"/>
      <c r="AO979" s="1472"/>
      <c r="AP979" s="1472"/>
      <c r="AQ979" s="1472"/>
      <c r="AR979" s="1472"/>
      <c r="AS979" s="1472"/>
      <c r="AT979" s="1472"/>
      <c r="AU979" s="68"/>
      <c r="AV979" s="68"/>
      <c r="AW979" s="68"/>
      <c r="AX979" s="68"/>
      <c r="AY979" s="68"/>
      <c r="AZ979" s="14"/>
      <c r="BA979" s="14"/>
      <c r="BB979" s="912"/>
      <c r="BC979" s="912"/>
    </row>
    <row r="980" spans="1:64" ht="13" customHeight="1">
      <c r="A980" s="1472"/>
      <c r="B980" s="1472"/>
      <c r="C980" s="1472"/>
      <c r="D980" s="1472"/>
      <c r="E980" s="1472"/>
      <c r="F980" s="1472"/>
      <c r="G980" s="1472"/>
      <c r="H980" s="1472"/>
      <c r="I980" s="1472"/>
      <c r="J980" s="1472"/>
      <c r="K980" s="1472"/>
      <c r="L980" s="1472"/>
      <c r="M980" s="1472"/>
      <c r="N980" s="1472"/>
      <c r="O980" s="1472"/>
      <c r="P980" s="1472"/>
      <c r="Q980" s="1472"/>
      <c r="R980" s="1472"/>
      <c r="S980" s="1472"/>
      <c r="T980" s="1472"/>
      <c r="U980" s="1472"/>
      <c r="V980" s="1472"/>
      <c r="W980" s="1472"/>
      <c r="X980" s="1472"/>
      <c r="Y980" s="1472"/>
      <c r="Z980" s="1472"/>
      <c r="AA980" s="1472"/>
      <c r="AB980" s="1472"/>
      <c r="AC980" s="1472"/>
      <c r="AD980" s="1472"/>
      <c r="AE980" s="1472"/>
      <c r="AF980" s="1472"/>
      <c r="AG980" s="1472"/>
      <c r="AH980" s="1472"/>
      <c r="AI980" s="1472"/>
      <c r="AJ980" s="1472"/>
      <c r="AK980" s="1472"/>
      <c r="AL980" s="1472"/>
      <c r="AM980" s="1472"/>
      <c r="AN980" s="1472"/>
      <c r="AO980" s="1472"/>
      <c r="AP980" s="1472"/>
      <c r="AQ980" s="1472"/>
      <c r="AR980" s="1472"/>
      <c r="AS980" s="1472"/>
      <c r="AT980" s="1472"/>
      <c r="AU980" s="68"/>
      <c r="AV980" s="68"/>
      <c r="AW980" s="68"/>
      <c r="AX980" s="68"/>
      <c r="AY980" s="68"/>
      <c r="AZ980" s="30"/>
      <c r="BA980" s="14"/>
      <c r="BB980" s="14"/>
      <c r="BC980" s="14"/>
    </row>
    <row r="981" spans="1:64" ht="13" customHeight="1">
      <c r="A981" s="1472"/>
      <c r="B981" s="1472"/>
      <c r="C981" s="1472"/>
      <c r="D981" s="1472"/>
      <c r="E981" s="1472"/>
      <c r="F981" s="1472"/>
      <c r="G981" s="1472"/>
      <c r="H981" s="1472"/>
      <c r="I981" s="1472"/>
      <c r="J981" s="1472"/>
      <c r="K981" s="1472"/>
      <c r="L981" s="1472"/>
      <c r="M981" s="1472"/>
      <c r="N981" s="1472"/>
      <c r="O981" s="1472"/>
      <c r="P981" s="1472"/>
      <c r="Q981" s="1472"/>
      <c r="R981" s="1472"/>
      <c r="S981" s="1472"/>
      <c r="T981" s="1472"/>
      <c r="U981" s="1472"/>
      <c r="V981" s="1472"/>
      <c r="W981" s="1472"/>
      <c r="X981" s="1472"/>
      <c r="Y981" s="1472"/>
      <c r="Z981" s="1472"/>
      <c r="AA981" s="1472"/>
      <c r="AB981" s="1472"/>
      <c r="AC981" s="1472"/>
      <c r="AD981" s="1472"/>
      <c r="AE981" s="1472"/>
      <c r="AF981" s="1472"/>
      <c r="AG981" s="1472"/>
      <c r="AH981" s="1472"/>
      <c r="AI981" s="1472"/>
      <c r="AJ981" s="1472"/>
      <c r="AK981" s="1472"/>
      <c r="AL981" s="1472"/>
      <c r="AM981" s="1472"/>
      <c r="AN981" s="1472"/>
      <c r="AO981" s="1472"/>
      <c r="AP981" s="1472"/>
      <c r="AQ981" s="1472"/>
      <c r="AR981" s="1472"/>
      <c r="AS981" s="1472"/>
      <c r="AT981" s="147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6" t="s">
        <v>638</v>
      </c>
      <c r="E985" s="1557"/>
      <c r="F985" s="1557"/>
      <c r="G985" s="1557"/>
      <c r="H985" s="1557"/>
      <c r="I985" s="1557"/>
      <c r="J985" s="1557"/>
      <c r="K985" s="1557"/>
      <c r="L985" s="1557"/>
      <c r="M985" s="1557"/>
      <c r="N985" s="1557"/>
      <c r="O985" s="1557"/>
      <c r="P985" s="1557"/>
      <c r="Q985" s="1558"/>
      <c r="R985" s="1556" t="s">
        <v>639</v>
      </c>
      <c r="S985" s="1557"/>
      <c r="T985" s="1557"/>
      <c r="U985" s="1557"/>
      <c r="V985" s="1557"/>
      <c r="W985" s="1557"/>
      <c r="X985" s="1557"/>
      <c r="Y985" s="1557"/>
      <c r="Z985" s="1557"/>
      <c r="AA985" s="1558"/>
      <c r="AB985" s="1556" t="s">
        <v>640</v>
      </c>
      <c r="AC985" s="1557"/>
      <c r="AD985" s="1557"/>
      <c r="AE985" s="1557"/>
      <c r="AF985" s="1557"/>
      <c r="AG985" s="1557"/>
      <c r="AH985" s="1557"/>
      <c r="AI985" s="1558"/>
      <c r="AJ985" s="1556" t="s">
        <v>641</v>
      </c>
      <c r="AK985" s="1557"/>
      <c r="AL985" s="1557"/>
      <c r="AM985" s="1557"/>
      <c r="AN985" s="1557"/>
      <c r="AO985" s="1557"/>
      <c r="AP985" s="1557"/>
      <c r="AQ985" s="1558"/>
      <c r="AR985" s="68"/>
      <c r="AS985" s="68"/>
      <c r="AT985" s="68"/>
      <c r="AU985" s="68"/>
      <c r="AV985" s="68"/>
      <c r="AW985" s="68"/>
      <c r="AX985" s="68"/>
      <c r="AY985" s="68"/>
      <c r="AZ985" s="30"/>
      <c r="BB985" s="14"/>
      <c r="BC985" s="14"/>
    </row>
    <row r="986" spans="1:64" ht="13" customHeight="1">
      <c r="A986" s="14"/>
      <c r="B986" s="73"/>
      <c r="C986" s="929"/>
      <c r="D986" s="1559" t="s">
        <v>633</v>
      </c>
      <c r="E986" s="1560"/>
      <c r="F986" s="1560"/>
      <c r="G986" s="1560"/>
      <c r="H986" s="1560"/>
      <c r="I986" s="1560"/>
      <c r="J986" s="1560"/>
      <c r="K986" s="1560"/>
      <c r="L986" s="1560"/>
      <c r="M986" s="1560"/>
      <c r="N986" s="1560"/>
      <c r="O986" s="1560"/>
      <c r="P986" s="1560"/>
      <c r="Q986" s="1561"/>
      <c r="R986" s="1562">
        <f>IF(ISNA(IF($CU$122="4%",(INDEX($CS$160:$CW$217,MATCH($DG$122,$CR$160:$CR$217,0),MATCH(D986,$CS$159:$CW$159,0))),(INDEX($CZ$160:$DD$217,MATCH($DG$122,$CY$160:$CY$217,0),MATCH(D986,$CZ$159:$DD$159,0))))),0,IF($CU$122="4%",(INDEX($CS$160:$CW$217,MATCH($DG$122,$CR$160:$CR$217,0),MATCH(D986,$CS$159:$CW$159,0))),(INDEX($CZ$160:$DD$217,MATCH($DG$122,$CY$160:$CY$217,0),MATCH(D986,$CZ$159:$DD$159,0)))))</f>
        <v>437727</v>
      </c>
      <c r="S986" s="1562"/>
      <c r="T986" s="1562"/>
      <c r="U986" s="1562"/>
      <c r="V986" s="1562"/>
      <c r="W986" s="1562"/>
      <c r="X986" s="1562"/>
      <c r="Y986" s="1562"/>
      <c r="Z986" s="1562"/>
      <c r="AA986" s="1562"/>
      <c r="AB986" s="1532">
        <f>CP802</f>
        <v>0</v>
      </c>
      <c r="AC986" s="1533"/>
      <c r="AD986" s="1533"/>
      <c r="AE986" s="1533"/>
      <c r="AF986" s="1533"/>
      <c r="AG986" s="1533"/>
      <c r="AH986" s="1533"/>
      <c r="AI986" s="1534"/>
      <c r="AJ986" s="1506">
        <f>IF(ISERROR((R986*AB986)),0,(R986*AB986))</f>
        <v>0</v>
      </c>
      <c r="AK986" s="1507"/>
      <c r="AL986" s="1507"/>
      <c r="AM986" s="1507"/>
      <c r="AN986" s="1507"/>
      <c r="AO986" s="1507"/>
      <c r="AP986" s="1507"/>
      <c r="AQ986" s="1508"/>
      <c r="AR986" s="68"/>
      <c r="AS986" s="68"/>
      <c r="AT986" s="68"/>
      <c r="AU986" s="68"/>
      <c r="AV986" s="68"/>
      <c r="AW986" s="68"/>
      <c r="AX986" s="68"/>
      <c r="AY986" s="68"/>
      <c r="AZ986" s="30"/>
      <c r="BB986" s="14"/>
      <c r="BC986" s="14"/>
    </row>
    <row r="987" spans="1:64" ht="13" customHeight="1">
      <c r="A987" s="14"/>
      <c r="B987" s="73"/>
      <c r="C987" s="83"/>
      <c r="D987" s="1559" t="s">
        <v>325</v>
      </c>
      <c r="E987" s="1560"/>
      <c r="F987" s="1560"/>
      <c r="G987" s="1560"/>
      <c r="H987" s="1560"/>
      <c r="I987" s="1560"/>
      <c r="J987" s="1560"/>
      <c r="K987" s="1560"/>
      <c r="L987" s="1560"/>
      <c r="M987" s="1560"/>
      <c r="N987" s="1560"/>
      <c r="O987" s="1560"/>
      <c r="P987" s="1560"/>
      <c r="Q987" s="1561"/>
      <c r="R987" s="1562">
        <f>IF(ISNA(IF($CU$122="4%",(INDEX($CS$160:$CW$217,MATCH($DG$122,$CR$160:$CR$217,0),MATCH(D987,$CS$159:$CW$159,0))),(INDEX($CZ$160:$DD$217,MATCH($DG$122,$CY$160:$CY$217,0),MATCH(D987,$CZ$159:$DD$159,0))))),0,IF($CU$122="4%",(INDEX($CS$160:$CW$217,MATCH($DG$122,$CR$160:$CR$217,0),MATCH(D987,$CS$159:$CW$159,0))),(INDEX($CZ$160:$DD$217,MATCH($DG$122,$CY$160:$CY$217,0),MATCH(D987,$CZ$159:$DD$159,0)))))</f>
        <v>504695</v>
      </c>
      <c r="S987" s="1562"/>
      <c r="T987" s="1562"/>
      <c r="U987" s="1562"/>
      <c r="V987" s="1562"/>
      <c r="W987" s="1562"/>
      <c r="X987" s="1562"/>
      <c r="Y987" s="1562"/>
      <c r="Z987" s="1562"/>
      <c r="AA987" s="1562"/>
      <c r="AB987" s="1532">
        <f>CU802</f>
        <v>15</v>
      </c>
      <c r="AC987" s="1533"/>
      <c r="AD987" s="1533"/>
      <c r="AE987" s="1533"/>
      <c r="AF987" s="1533"/>
      <c r="AG987" s="1533"/>
      <c r="AH987" s="1533"/>
      <c r="AI987" s="1534"/>
      <c r="AJ987" s="1506">
        <f>IF(ISERROR((R987*AB987)),0,(R987*AB987))</f>
        <v>7570425</v>
      </c>
      <c r="AK987" s="1507"/>
      <c r="AL987" s="1507"/>
      <c r="AM987" s="1507"/>
      <c r="AN987" s="1507"/>
      <c r="AO987" s="1507"/>
      <c r="AP987" s="1507"/>
      <c r="AQ987" s="1508"/>
      <c r="AR987" s="68"/>
      <c r="AS987" s="68"/>
      <c r="AT987" s="68"/>
      <c r="AU987" s="68"/>
      <c r="AV987" s="68"/>
      <c r="AW987" s="68"/>
      <c r="AX987" s="68"/>
      <c r="AY987" s="68"/>
      <c r="AZ987" s="30"/>
      <c r="BB987" s="14"/>
      <c r="BC987" s="14"/>
    </row>
    <row r="988" spans="1:64" ht="13" customHeight="1">
      <c r="A988" s="14"/>
      <c r="B988" s="73"/>
      <c r="C988" s="83"/>
      <c r="D988" s="1559" t="s">
        <v>163</v>
      </c>
      <c r="E988" s="1560"/>
      <c r="F988" s="1560"/>
      <c r="G988" s="1560"/>
      <c r="H988" s="1560"/>
      <c r="I988" s="1560"/>
      <c r="J988" s="1560"/>
      <c r="K988" s="1560"/>
      <c r="L988" s="1560"/>
      <c r="M988" s="1560"/>
      <c r="N988" s="1560"/>
      <c r="O988" s="1560"/>
      <c r="P988" s="1560"/>
      <c r="Q988" s="1561"/>
      <c r="R988" s="1562">
        <f>IF(ISNA(IF($CU$122="4%",(INDEX($CS$160:$CW$217,MATCH($DG$122,$CR$160:$CR$217,0),MATCH(D988,$CS$159:$CW$159,0))),(INDEX($CZ$160:$DD$217,MATCH($DG$122,$CY$160:$CY$217,0),MATCH(D988,$CZ$159:$DD$159,0))))),0,IF($CU$122="4%",(INDEX($CS$160:$CW$217,MATCH($DG$122,$CR$160:$CR$217,0),MATCH(D988,$CS$159:$CW$159,0))),(INDEX($CZ$160:$DD$217,MATCH($DG$122,$CY$160:$CY$217,0),MATCH(D988,$CZ$159:$DD$159,0)))))</f>
        <v>608800</v>
      </c>
      <c r="S988" s="1562"/>
      <c r="T988" s="1562"/>
      <c r="U988" s="1562"/>
      <c r="V988" s="1562"/>
      <c r="W988" s="1562"/>
      <c r="X988" s="1562"/>
      <c r="Y988" s="1562"/>
      <c r="Z988" s="1562"/>
      <c r="AA988" s="1562"/>
      <c r="AB988" s="1532">
        <f>CZ802</f>
        <v>12</v>
      </c>
      <c r="AC988" s="1533"/>
      <c r="AD988" s="1533"/>
      <c r="AE988" s="1533"/>
      <c r="AF988" s="1533"/>
      <c r="AG988" s="1533"/>
      <c r="AH988" s="1533"/>
      <c r="AI988" s="1534"/>
      <c r="AJ988" s="1506">
        <f>IF(ISERROR((R988*AB988)),0,(R988*AB988))</f>
        <v>7305600</v>
      </c>
      <c r="AK988" s="1507"/>
      <c r="AL988" s="1507"/>
      <c r="AM988" s="1507"/>
      <c r="AN988" s="1507"/>
      <c r="AO988" s="1507"/>
      <c r="AP988" s="1507"/>
      <c r="AQ988" s="1508"/>
      <c r="AR988" s="68"/>
      <c r="AS988" s="68"/>
      <c r="AT988" s="68"/>
      <c r="AU988" s="68"/>
      <c r="AV988" s="68"/>
      <c r="AW988" s="68"/>
      <c r="AX988" s="68"/>
      <c r="AY988" s="68"/>
      <c r="AZ988" s="30"/>
      <c r="BB988" s="14"/>
      <c r="BC988" s="14"/>
    </row>
    <row r="989" spans="1:64" ht="13" customHeight="1">
      <c r="A989" s="14"/>
      <c r="B989" s="73"/>
      <c r="C989" s="83"/>
      <c r="D989" s="1559" t="s">
        <v>164</v>
      </c>
      <c r="E989" s="1560"/>
      <c r="F989" s="1560"/>
      <c r="G989" s="1560"/>
      <c r="H989" s="1560"/>
      <c r="I989" s="1560"/>
      <c r="J989" s="1560"/>
      <c r="K989" s="1560"/>
      <c r="L989" s="1560"/>
      <c r="M989" s="1560"/>
      <c r="N989" s="1560"/>
      <c r="O989" s="1560"/>
      <c r="P989" s="1560"/>
      <c r="Q989" s="1561"/>
      <c r="R989" s="1562">
        <f>IF(ISNA(IF($CU$122="4%",(INDEX($CS$160:$CW$217,MATCH($DG$122,$CR$160:$CR$217,0),MATCH(D989,$CS$159:$CW$159,0))),(INDEX($CZ$160:$DD$217,MATCH($DG$122,$CY$160:$CY$217,0),MATCH(D989,$CZ$159:$DD$159,0))))),0,IF($CU$122="4%",(INDEX($CS$160:$CW$217,MATCH($DG$122,$CR$160:$CR$217,0),MATCH(D989,$CS$159:$CW$159,0))),(INDEX($CZ$160:$DD$217,MATCH($DG$122,$CY$160:$CY$217,0),MATCH(D989,$CZ$159:$DD$159,0)))))</f>
        <v>779264</v>
      </c>
      <c r="S989" s="1562"/>
      <c r="T989" s="1562"/>
      <c r="U989" s="1562"/>
      <c r="V989" s="1562"/>
      <c r="W989" s="1562"/>
      <c r="X989" s="1562"/>
      <c r="Y989" s="1562"/>
      <c r="Z989" s="1562"/>
      <c r="AA989" s="1562"/>
      <c r="AB989" s="1532">
        <f>DE802</f>
        <v>18</v>
      </c>
      <c r="AC989" s="1533"/>
      <c r="AD989" s="1533"/>
      <c r="AE989" s="1533"/>
      <c r="AF989" s="1533"/>
      <c r="AG989" s="1533"/>
      <c r="AH989" s="1533"/>
      <c r="AI989" s="1534"/>
      <c r="AJ989" s="1506">
        <f>IF(ISERROR((R989*AB989)),0,(R989*AB989))</f>
        <v>14026752</v>
      </c>
      <c r="AK989" s="1507"/>
      <c r="AL989" s="1507"/>
      <c r="AM989" s="1507"/>
      <c r="AN989" s="1507"/>
      <c r="AO989" s="1507"/>
      <c r="AP989" s="1507"/>
      <c r="AQ989" s="1508"/>
      <c r="AR989" s="68"/>
      <c r="AS989" s="68"/>
      <c r="AT989" s="68"/>
      <c r="AU989" s="68"/>
      <c r="AV989" s="68"/>
      <c r="AW989" s="68"/>
      <c r="AX989" s="68"/>
      <c r="AY989" s="68"/>
      <c r="AZ989" s="30"/>
      <c r="BA989" s="34"/>
      <c r="BB989" s="14"/>
      <c r="BC989" s="14"/>
    </row>
    <row r="990" spans="1:64" ht="13" customHeight="1">
      <c r="A990" s="14"/>
      <c r="B990" s="47"/>
      <c r="C990" s="78"/>
      <c r="D990" s="1559" t="s">
        <v>460</v>
      </c>
      <c r="E990" s="1560"/>
      <c r="F990" s="1560"/>
      <c r="G990" s="1560"/>
      <c r="H990" s="1560"/>
      <c r="I990" s="1560"/>
      <c r="J990" s="1560"/>
      <c r="K990" s="1560"/>
      <c r="L990" s="1560"/>
      <c r="M990" s="1560"/>
      <c r="N990" s="1560"/>
      <c r="O990" s="1560"/>
      <c r="P990" s="1560"/>
      <c r="Q990" s="1561"/>
      <c r="R990" s="1562">
        <f>IF(ISNA(IF($CU$122="4%",(INDEX($CS$160:$CW$217,MATCH($DG$122,$CR$160:$CR$217,0),MATCH(D990,$CS$159:$CW$159,0))),(INDEX($CZ$160:$DD$217,MATCH($DG$122,$CY$160:$CY$217,0),MATCH(D990,$CZ$159:$DD$159,0))))),0,IF($CU$122="4%",(INDEX($CS$160:$CW$217,MATCH($DG$122,$CR$160:$CR$217,0),MATCH(D990,$CS$159:$CW$159,0))),(INDEX($CZ$160:$DD$217,MATCH($DG$122,$CY$160:$CY$217,0),MATCH(D990,$CZ$159:$DD$159,0)))))</f>
        <v>868149</v>
      </c>
      <c r="S990" s="1562"/>
      <c r="T990" s="1562"/>
      <c r="U990" s="1562"/>
      <c r="V990" s="1562"/>
      <c r="W990" s="1562"/>
      <c r="X990" s="1562"/>
      <c r="Y990" s="1562"/>
      <c r="Z990" s="1562"/>
      <c r="AA990" s="1562"/>
      <c r="AB990" s="1532">
        <f>DO802+DJ802</f>
        <v>0</v>
      </c>
      <c r="AC990" s="1533"/>
      <c r="AD990" s="1533"/>
      <c r="AE990" s="1533"/>
      <c r="AF990" s="1533"/>
      <c r="AG990" s="1533"/>
      <c r="AH990" s="1533"/>
      <c r="AI990" s="1534"/>
      <c r="AJ990" s="1506">
        <f>IF(ISERROR((R990*AB990)),0,(R990*AB990))</f>
        <v>0</v>
      </c>
      <c r="AK990" s="1507"/>
      <c r="AL990" s="1507"/>
      <c r="AM990" s="1507"/>
      <c r="AN990" s="1507"/>
      <c r="AO990" s="1507"/>
      <c r="AP990" s="1507"/>
      <c r="AQ990" s="1508"/>
      <c r="AR990" s="68"/>
      <c r="AS990" s="68"/>
      <c r="AT990" s="68"/>
      <c r="AU990" s="68"/>
      <c r="AV990" s="68"/>
      <c r="AW990" s="68"/>
      <c r="AX990" s="68"/>
      <c r="AY990" s="68"/>
      <c r="AZ990" s="30"/>
      <c r="BB990" s="14"/>
      <c r="BC990" s="14"/>
    </row>
    <row r="991" spans="1:64" ht="13" customHeight="1">
      <c r="A991" s="14"/>
      <c r="B991" s="1617" t="s">
        <v>791</v>
      </c>
      <c r="C991" s="1618"/>
      <c r="D991" s="1618"/>
      <c r="E991" s="1618"/>
      <c r="F991" s="1618"/>
      <c r="G991" s="1618"/>
      <c r="H991" s="1618"/>
      <c r="I991" s="1618"/>
      <c r="J991" s="1618"/>
      <c r="K991" s="1618"/>
      <c r="L991" s="1618"/>
      <c r="M991" s="1618"/>
      <c r="N991" s="1618"/>
      <c r="O991" s="1618"/>
      <c r="P991" s="1618"/>
      <c r="Q991" s="1618"/>
      <c r="R991" s="1618"/>
      <c r="S991" s="1618"/>
      <c r="T991" s="1618"/>
      <c r="U991" s="1618"/>
      <c r="V991" s="1618"/>
      <c r="W991" s="1618"/>
      <c r="X991" s="1618"/>
      <c r="Y991" s="1618"/>
      <c r="Z991" s="1618"/>
      <c r="AA991" s="1619"/>
      <c r="AB991" s="1532">
        <f>SUM(AB986:AI990)</f>
        <v>45</v>
      </c>
      <c r="AC991" s="1533"/>
      <c r="AD991" s="1533"/>
      <c r="AE991" s="1533"/>
      <c r="AF991" s="1533"/>
      <c r="AG991" s="1533"/>
      <c r="AH991" s="1533"/>
      <c r="AI991" s="1534"/>
      <c r="AJ991" s="1506"/>
      <c r="AK991" s="1507"/>
      <c r="AL991" s="1507"/>
      <c r="AM991" s="1507"/>
      <c r="AN991" s="1507"/>
      <c r="AO991" s="1507"/>
      <c r="AP991" s="1507"/>
      <c r="AQ991" s="1508"/>
      <c r="AR991" s="68"/>
      <c r="AS991" s="68"/>
      <c r="AT991" s="68"/>
      <c r="AU991" s="68"/>
      <c r="AV991" s="68"/>
      <c r="AW991" s="68"/>
      <c r="AX991" s="68"/>
      <c r="AY991" s="68"/>
      <c r="AZ991" s="34"/>
      <c r="BA991" s="34"/>
      <c r="BB991" s="14"/>
      <c r="BC991" s="14"/>
    </row>
    <row r="992" spans="1:64" ht="13" customHeight="1">
      <c r="A992" s="14"/>
      <c r="B992" s="1580" t="s">
        <v>512</v>
      </c>
      <c r="C992" s="1581"/>
      <c r="D992" s="1581"/>
      <c r="E992" s="1581"/>
      <c r="F992" s="1581"/>
      <c r="G992" s="1581"/>
      <c r="H992" s="1581"/>
      <c r="I992" s="1581"/>
      <c r="J992" s="1581"/>
      <c r="K992" s="1581"/>
      <c r="L992" s="1581"/>
      <c r="M992" s="1581"/>
      <c r="N992" s="1581"/>
      <c r="O992" s="1581"/>
      <c r="P992" s="1581"/>
      <c r="Q992" s="1581"/>
      <c r="R992" s="1581"/>
      <c r="S992" s="1581"/>
      <c r="T992" s="1581"/>
      <c r="U992" s="1581"/>
      <c r="V992" s="1581"/>
      <c r="W992" s="1581"/>
      <c r="X992" s="1581"/>
      <c r="Y992" s="1581"/>
      <c r="Z992" s="1581"/>
      <c r="AA992" s="1581"/>
      <c r="AB992" s="1581"/>
      <c r="AC992" s="1581"/>
      <c r="AD992" s="1581"/>
      <c r="AE992" s="1581"/>
      <c r="AF992" s="1581"/>
      <c r="AG992" s="1581"/>
      <c r="AH992" s="1581"/>
      <c r="AI992" s="1582"/>
      <c r="AJ992" s="1506">
        <f>SUM(AJ986:AQ990)</f>
        <v>28902777</v>
      </c>
      <c r="AK992" s="1507"/>
      <c r="AL992" s="1507"/>
      <c r="AM992" s="1507"/>
      <c r="AN992" s="1507"/>
      <c r="AO992" s="1507"/>
      <c r="AP992" s="1507"/>
      <c r="AQ992" s="1508"/>
      <c r="AR992" s="68"/>
      <c r="AS992" s="68"/>
      <c r="AT992" s="68"/>
      <c r="AU992" s="68"/>
      <c r="AV992" s="68"/>
      <c r="AW992" s="68"/>
      <c r="AX992" s="68"/>
      <c r="AY992" s="68"/>
      <c r="AZ992" s="34"/>
      <c r="BB992" s="34"/>
      <c r="BC992" s="34"/>
    </row>
    <row r="993" spans="1:55" ht="13" customHeight="1">
      <c r="A993" s="14"/>
      <c r="B993" s="1414"/>
      <c r="C993" s="1415"/>
      <c r="D993" s="1415"/>
      <c r="E993" s="1415"/>
      <c r="F993" s="1415"/>
      <c r="G993" s="1415"/>
      <c r="H993" s="1415"/>
      <c r="I993" s="1415"/>
      <c r="J993" s="1415"/>
      <c r="K993" s="1415"/>
      <c r="L993" s="1415"/>
      <c r="M993" s="1415"/>
      <c r="N993" s="1415"/>
      <c r="O993" s="1415"/>
      <c r="P993" s="1415"/>
      <c r="Q993" s="1415"/>
      <c r="R993" s="1415"/>
      <c r="S993" s="1415"/>
      <c r="T993" s="1415"/>
      <c r="U993" s="1415"/>
      <c r="V993" s="1415"/>
      <c r="W993" s="1415"/>
      <c r="X993" s="1415"/>
      <c r="Y993" s="1415"/>
      <c r="Z993" s="1415"/>
      <c r="AA993" s="1415"/>
      <c r="AB993" s="1415"/>
      <c r="AC993" s="1415"/>
      <c r="AD993" s="1415"/>
      <c r="AE993" s="1416"/>
      <c r="AF993" s="1566" t="s">
        <v>666</v>
      </c>
      <c r="AG993" s="1567"/>
      <c r="AH993" s="1567"/>
      <c r="AI993" s="1568"/>
      <c r="AJ993" s="1414"/>
      <c r="AK993" s="1415"/>
      <c r="AL993" s="1415"/>
      <c r="AM993" s="1415"/>
      <c r="AN993" s="1415"/>
      <c r="AO993" s="1415"/>
      <c r="AP993" s="1415"/>
      <c r="AQ993" s="1416"/>
      <c r="AR993" s="68"/>
      <c r="AS993" s="68"/>
      <c r="AT993" s="68"/>
      <c r="AU993" s="68"/>
      <c r="AV993" s="68"/>
      <c r="AW993" s="68"/>
      <c r="AX993" s="68"/>
      <c r="AY993" s="68"/>
      <c r="AZ993" s="34"/>
      <c r="BA993" s="34"/>
      <c r="BB993" s="34"/>
      <c r="BC993" s="34"/>
    </row>
    <row r="994" spans="1:55" ht="13" customHeight="1">
      <c r="A994" s="14"/>
      <c r="B994" s="73"/>
      <c r="C994" s="927" t="s">
        <v>668</v>
      </c>
      <c r="D994" s="1417" t="s">
        <v>1220</v>
      </c>
      <c r="E994" s="1418"/>
      <c r="F994" s="1418"/>
      <c r="G994" s="1418"/>
      <c r="H994" s="1418"/>
      <c r="I994" s="1418"/>
      <c r="J994" s="1418"/>
      <c r="K994" s="1418"/>
      <c r="L994" s="1418"/>
      <c r="M994" s="1418"/>
      <c r="N994" s="1418"/>
      <c r="O994" s="1418"/>
      <c r="P994" s="1418"/>
      <c r="Q994" s="1418"/>
      <c r="R994" s="1418"/>
      <c r="S994" s="1418"/>
      <c r="T994" s="1418"/>
      <c r="U994" s="1418"/>
      <c r="V994" s="1418"/>
      <c r="W994" s="1418"/>
      <c r="X994" s="1418"/>
      <c r="Y994" s="1418"/>
      <c r="Z994" s="1418"/>
      <c r="AA994" s="1418"/>
      <c r="AB994" s="1418"/>
      <c r="AC994" s="1418"/>
      <c r="AD994" s="1418"/>
      <c r="AE994" s="1419"/>
      <c r="AF994" s="79"/>
      <c r="AG994" s="1569" t="s">
        <v>545</v>
      </c>
      <c r="AH994" s="1570"/>
      <c r="AI994" s="87"/>
      <c r="AJ994" s="1393">
        <f>ROUND(IF(AND(AG994="yes",D1000&gt;0),AJ992*0.2,0),0)</f>
        <v>5780555</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7" t="s">
        <v>2234</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7"/>
      <c r="E997" s="1548"/>
      <c r="F997" s="1548"/>
      <c r="G997" s="1548"/>
      <c r="H997" s="1548"/>
      <c r="I997" s="1548"/>
      <c r="J997" s="1548"/>
      <c r="K997" s="1548"/>
      <c r="L997" s="1548"/>
      <c r="M997" s="1548"/>
      <c r="N997" s="1548"/>
      <c r="O997" s="1548"/>
      <c r="P997" s="1548"/>
      <c r="Q997" s="1548"/>
      <c r="R997" s="1548"/>
      <c r="S997" s="1548"/>
      <c r="T997" s="1548"/>
      <c r="U997" s="1548"/>
      <c r="V997" s="1548"/>
      <c r="W997" s="1548"/>
      <c r="X997" s="1548"/>
      <c r="Y997" s="1548"/>
      <c r="Z997" s="1548"/>
      <c r="AA997" s="1548"/>
      <c r="AB997" s="1548"/>
      <c r="AC997" s="1548"/>
      <c r="AD997" s="1548"/>
      <c r="AE997" s="1549"/>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7"/>
      <c r="E998" s="1548"/>
      <c r="F998" s="1548"/>
      <c r="G998" s="1548"/>
      <c r="H998" s="1548"/>
      <c r="I998" s="1548"/>
      <c r="J998" s="1548"/>
      <c r="K998" s="1548"/>
      <c r="L998" s="1548"/>
      <c r="M998" s="1548"/>
      <c r="N998" s="1548"/>
      <c r="O998" s="1548"/>
      <c r="P998" s="1548"/>
      <c r="Q998" s="1548"/>
      <c r="R998" s="1548"/>
      <c r="S998" s="1548"/>
      <c r="T998" s="1548"/>
      <c r="U998" s="1548"/>
      <c r="V998" s="1548"/>
      <c r="W998" s="1548"/>
      <c r="X998" s="1548"/>
      <c r="Y998" s="1548"/>
      <c r="Z998" s="1548"/>
      <c r="AA998" s="1548"/>
      <c r="AB998" s="1548"/>
      <c r="AC998" s="1548"/>
      <c r="AD998" s="1548"/>
      <c r="AE998" s="1549"/>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50" t="s">
        <v>2205</v>
      </c>
      <c r="E999" s="1551"/>
      <c r="F999" s="1551"/>
      <c r="G999" s="1551"/>
      <c r="H999" s="1551"/>
      <c r="I999" s="1551"/>
      <c r="J999" s="1551"/>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597" t="s">
        <v>2739</v>
      </c>
      <c r="E1000" s="1598"/>
      <c r="F1000" s="1598"/>
      <c r="G1000" s="1598"/>
      <c r="H1000" s="1598"/>
      <c r="I1000" s="1598"/>
      <c r="J1000" s="1598"/>
      <c r="K1000" s="1598"/>
      <c r="L1000" s="1598"/>
      <c r="M1000" s="1598"/>
      <c r="N1000" s="1598"/>
      <c r="O1000" s="1598"/>
      <c r="P1000" s="1598"/>
      <c r="Q1000" s="1598"/>
      <c r="R1000" s="1598"/>
      <c r="S1000" s="1598"/>
      <c r="T1000" s="1598"/>
      <c r="U1000" s="1598"/>
      <c r="V1000" s="1598"/>
      <c r="W1000" s="1598"/>
      <c r="X1000" s="1598"/>
      <c r="Y1000" s="1598"/>
      <c r="Z1000" s="1598"/>
      <c r="AA1000" s="1598"/>
      <c r="AB1000" s="1598"/>
      <c r="AC1000" s="1598"/>
      <c r="AD1000" s="1598"/>
      <c r="AE1000" s="1599"/>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535" t="s">
        <v>1286</v>
      </c>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7"/>
      <c r="AF1001" s="79"/>
      <c r="AG1001" s="1422" t="s">
        <v>669</v>
      </c>
      <c r="AH1001" s="142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7" t="s">
        <v>1284</v>
      </c>
      <c r="E1002" s="1548"/>
      <c r="F1002" s="1548"/>
      <c r="G1002" s="1548"/>
      <c r="H1002" s="1548"/>
      <c r="I1002" s="1548"/>
      <c r="J1002" s="1548"/>
      <c r="K1002" s="1548"/>
      <c r="L1002" s="1548"/>
      <c r="M1002" s="1548"/>
      <c r="N1002" s="1548"/>
      <c r="O1002" s="1548"/>
      <c r="P1002" s="1548"/>
      <c r="Q1002" s="1548"/>
      <c r="R1002" s="1548"/>
      <c r="S1002" s="1548"/>
      <c r="T1002" s="1548"/>
      <c r="U1002" s="1548"/>
      <c r="V1002" s="1548"/>
      <c r="W1002" s="1548"/>
      <c r="X1002" s="1548"/>
      <c r="Y1002" s="1548"/>
      <c r="Z1002" s="1548"/>
      <c r="AA1002" s="1548"/>
      <c r="AB1002" s="1548"/>
      <c r="AC1002" s="1548"/>
      <c r="AD1002" s="1548"/>
      <c r="AE1002" s="1549"/>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7"/>
      <c r="E1003" s="1548"/>
      <c r="F1003" s="1548"/>
      <c r="G1003" s="1548"/>
      <c r="H1003" s="1548"/>
      <c r="I1003" s="1548"/>
      <c r="J1003" s="1548"/>
      <c r="K1003" s="1548"/>
      <c r="L1003" s="1548"/>
      <c r="M1003" s="1548"/>
      <c r="N1003" s="1548"/>
      <c r="O1003" s="1548"/>
      <c r="P1003" s="1548"/>
      <c r="Q1003" s="1548"/>
      <c r="R1003" s="1548"/>
      <c r="S1003" s="1548"/>
      <c r="T1003" s="1548"/>
      <c r="U1003" s="1548"/>
      <c r="V1003" s="1548"/>
      <c r="W1003" s="1548"/>
      <c r="X1003" s="1548"/>
      <c r="Y1003" s="1548"/>
      <c r="Z1003" s="1548"/>
      <c r="AA1003" s="1548"/>
      <c r="AB1003" s="1548"/>
      <c r="AC1003" s="1548"/>
      <c r="AD1003" s="1548"/>
      <c r="AE1003" s="1549"/>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44</v>
      </c>
      <c r="AZ1003" s="34"/>
      <c r="BB1003" s="34"/>
    </row>
    <row r="1004" spans="1:55" ht="13" customHeight="1">
      <c r="A1004" s="14"/>
      <c r="B1004" s="257"/>
      <c r="C1004" s="82"/>
      <c r="D1004" s="1547"/>
      <c r="E1004" s="1548"/>
      <c r="F1004" s="1548"/>
      <c r="G1004" s="1548"/>
      <c r="H1004" s="1548"/>
      <c r="I1004" s="1548"/>
      <c r="J1004" s="1548"/>
      <c r="K1004" s="1548"/>
      <c r="L1004" s="1548"/>
      <c r="M1004" s="1548"/>
      <c r="N1004" s="1548"/>
      <c r="O1004" s="1548"/>
      <c r="P1004" s="1548"/>
      <c r="Q1004" s="1548"/>
      <c r="R1004" s="1548"/>
      <c r="S1004" s="1548"/>
      <c r="T1004" s="1548"/>
      <c r="U1004" s="1548"/>
      <c r="V1004" s="1548"/>
      <c r="W1004" s="1548"/>
      <c r="X1004" s="1548"/>
      <c r="Y1004" s="1548"/>
      <c r="Z1004" s="1548"/>
      <c r="AA1004" s="1548"/>
      <c r="AB1004" s="1548"/>
      <c r="AC1004" s="1548"/>
      <c r="AD1004" s="1548"/>
      <c r="AE1004" s="1549"/>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7"/>
      <c r="E1005" s="1548"/>
      <c r="F1005" s="1548"/>
      <c r="G1005" s="1548"/>
      <c r="H1005" s="1548"/>
      <c r="I1005" s="1548"/>
      <c r="J1005" s="1548"/>
      <c r="K1005" s="1548"/>
      <c r="L1005" s="1548"/>
      <c r="M1005" s="1548"/>
      <c r="N1005" s="1548"/>
      <c r="O1005" s="1548"/>
      <c r="P1005" s="1548"/>
      <c r="Q1005" s="1548"/>
      <c r="R1005" s="1548"/>
      <c r="S1005" s="1548"/>
      <c r="T1005" s="1548"/>
      <c r="U1005" s="1548"/>
      <c r="V1005" s="1548"/>
      <c r="W1005" s="1548"/>
      <c r="X1005" s="1548"/>
      <c r="Y1005" s="1548"/>
      <c r="Z1005" s="1548"/>
      <c r="AA1005" s="1548"/>
      <c r="AB1005" s="1548"/>
      <c r="AC1005" s="1548"/>
      <c r="AD1005" s="1548"/>
      <c r="AE1005" s="1549"/>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0.52</v>
      </c>
      <c r="AZ1005" s="34"/>
      <c r="BB1005" s="34"/>
    </row>
    <row r="1006" spans="1:55" ht="13" customHeight="1">
      <c r="A1006" s="14"/>
      <c r="B1006" s="75"/>
      <c r="C1006" s="76"/>
      <c r="D1006" s="1550"/>
      <c r="E1006" s="1551"/>
      <c r="F1006" s="1551"/>
      <c r="G1006" s="1551"/>
      <c r="H1006" s="1551"/>
      <c r="I1006" s="1551"/>
      <c r="J1006" s="1551"/>
      <c r="K1006" s="1551"/>
      <c r="L1006" s="1551"/>
      <c r="M1006" s="1551"/>
      <c r="N1006" s="1551"/>
      <c r="O1006" s="1551"/>
      <c r="P1006" s="1551"/>
      <c r="Q1006" s="1551"/>
      <c r="R1006" s="1551"/>
      <c r="S1006" s="1551"/>
      <c r="T1006" s="1551"/>
      <c r="U1006" s="1551"/>
      <c r="V1006" s="1551"/>
      <c r="W1006" s="1551"/>
      <c r="X1006" s="1551"/>
      <c r="Y1006" s="1551"/>
      <c r="Z1006" s="1551"/>
      <c r="AA1006" s="1551"/>
      <c r="AB1006" s="1551"/>
      <c r="AC1006" s="1551"/>
      <c r="AD1006" s="1551"/>
      <c r="AE1006" s="1552"/>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0.2</v>
      </c>
      <c r="AZ1006" s="34"/>
      <c r="BB1006" s="34"/>
    </row>
    <row r="1007" spans="1:55" ht="13" customHeight="1">
      <c r="A1007" s="14"/>
      <c r="B1007" s="255"/>
      <c r="C1007" s="80" t="s">
        <v>672</v>
      </c>
      <c r="D1007" s="1535" t="s">
        <v>1683</v>
      </c>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7"/>
      <c r="AF1007" s="86"/>
      <c r="AG1007" s="1422" t="s">
        <v>669</v>
      </c>
      <c r="AH1007" s="142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408" t="s">
        <v>1285</v>
      </c>
      <c r="E1008" s="1409"/>
      <c r="F1008" s="1409"/>
      <c r="G1008" s="1409"/>
      <c r="H1008" s="1409"/>
      <c r="I1008" s="1409"/>
      <c r="J1008" s="1409"/>
      <c r="K1008" s="1409"/>
      <c r="L1008" s="1409"/>
      <c r="M1008" s="1409"/>
      <c r="N1008" s="1409"/>
      <c r="O1008" s="1409"/>
      <c r="P1008" s="1409"/>
      <c r="Q1008" s="1409"/>
      <c r="R1008" s="1409"/>
      <c r="S1008" s="1409"/>
      <c r="T1008" s="1409"/>
      <c r="U1008" s="1409"/>
      <c r="V1008" s="1409"/>
      <c r="W1008" s="1409"/>
      <c r="X1008" s="1409"/>
      <c r="Y1008" s="1409"/>
      <c r="Z1008" s="1409"/>
      <c r="AA1008" s="1409"/>
      <c r="AB1008" s="1409"/>
      <c r="AC1008" s="1409"/>
      <c r="AD1008" s="1409"/>
      <c r="AE1008" s="14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408"/>
      <c r="E1009" s="1409"/>
      <c r="F1009" s="1409"/>
      <c r="G1009" s="1409"/>
      <c r="H1009" s="1409"/>
      <c r="I1009" s="1409"/>
      <c r="J1009" s="1409"/>
      <c r="K1009" s="1409"/>
      <c r="L1009" s="1409"/>
      <c r="M1009" s="1409"/>
      <c r="N1009" s="1409"/>
      <c r="O1009" s="1409"/>
      <c r="P1009" s="1409"/>
      <c r="Q1009" s="1409"/>
      <c r="R1009" s="1409"/>
      <c r="S1009" s="1409"/>
      <c r="T1009" s="1409"/>
      <c r="U1009" s="1409"/>
      <c r="V1009" s="1409"/>
      <c r="W1009" s="1409"/>
      <c r="X1009" s="1409"/>
      <c r="Y1009" s="1409"/>
      <c r="Z1009" s="1409"/>
      <c r="AA1009" s="1409"/>
      <c r="AB1009" s="1409"/>
      <c r="AC1009" s="1409"/>
      <c r="AD1009" s="1409"/>
      <c r="AE1009" s="14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411"/>
      <c r="E1010" s="1412"/>
      <c r="F1010" s="1412"/>
      <c r="G1010" s="1412"/>
      <c r="H1010" s="1412"/>
      <c r="I1010" s="1412"/>
      <c r="J1010" s="1412"/>
      <c r="K1010" s="1412"/>
      <c r="L1010" s="1412"/>
      <c r="M1010" s="1412"/>
      <c r="N1010" s="1412"/>
      <c r="O1010" s="1412"/>
      <c r="P1010" s="1412"/>
      <c r="Q1010" s="1412"/>
      <c r="R1010" s="1412"/>
      <c r="S1010" s="1412"/>
      <c r="T1010" s="1412"/>
      <c r="U1010" s="1412"/>
      <c r="V1010" s="1412"/>
      <c r="W1010" s="1412"/>
      <c r="X1010" s="1412"/>
      <c r="Y1010" s="1412"/>
      <c r="Z1010" s="1412"/>
      <c r="AA1010" s="1412"/>
      <c r="AB1010" s="1412"/>
      <c r="AC1010" s="1412"/>
      <c r="AD1010" s="1412"/>
      <c r="AE1010" s="14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212</v>
      </c>
      <c r="D1011" s="1535" t="s">
        <v>1287</v>
      </c>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7"/>
      <c r="AF1011" s="79"/>
      <c r="AG1011" s="1422" t="s">
        <v>669</v>
      </c>
      <c r="AH1011" s="142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411" t="s">
        <v>1288</v>
      </c>
      <c r="E1012" s="1412"/>
      <c r="F1012" s="1412"/>
      <c r="G1012" s="1412"/>
      <c r="H1012" s="1412"/>
      <c r="I1012" s="1412"/>
      <c r="J1012" s="1412"/>
      <c r="K1012" s="1412"/>
      <c r="L1012" s="1412"/>
      <c r="M1012" s="1412"/>
      <c r="N1012" s="1412"/>
      <c r="O1012" s="1412"/>
      <c r="P1012" s="1412"/>
      <c r="Q1012" s="1412"/>
      <c r="R1012" s="1412"/>
      <c r="S1012" s="1412"/>
      <c r="T1012" s="1412"/>
      <c r="U1012" s="1412"/>
      <c r="V1012" s="1412"/>
      <c r="W1012" s="1412"/>
      <c r="X1012" s="1412"/>
      <c r="Y1012" s="1412"/>
      <c r="Z1012" s="1412"/>
      <c r="AA1012" s="1412"/>
      <c r="AB1012" s="1412"/>
      <c r="AC1012" s="1412"/>
      <c r="AD1012" s="1412"/>
      <c r="AE1012" s="14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3" customHeight="1">
      <c r="A1013" s="14"/>
      <c r="B1013" s="79"/>
      <c r="C1013" s="80" t="s">
        <v>215</v>
      </c>
      <c r="D1013" s="1535" t="s">
        <v>1289</v>
      </c>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7"/>
      <c r="AF1013" s="79"/>
      <c r="AG1013" s="1422" t="s">
        <v>669</v>
      </c>
      <c r="AH1013" s="142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408" t="s">
        <v>1290</v>
      </c>
      <c r="E1014" s="1409"/>
      <c r="F1014" s="1409"/>
      <c r="G1014" s="1409"/>
      <c r="H1014" s="1409"/>
      <c r="I1014" s="1409"/>
      <c r="J1014" s="1409"/>
      <c r="K1014" s="1409"/>
      <c r="L1014" s="1409"/>
      <c r="M1014" s="1409"/>
      <c r="N1014" s="1409"/>
      <c r="O1014" s="1409"/>
      <c r="P1014" s="1409"/>
      <c r="Q1014" s="1409"/>
      <c r="R1014" s="1409"/>
      <c r="S1014" s="1409"/>
      <c r="T1014" s="1409"/>
      <c r="U1014" s="1409"/>
      <c r="V1014" s="1409"/>
      <c r="W1014" s="1409"/>
      <c r="X1014" s="1409"/>
      <c r="Y1014" s="1409"/>
      <c r="Z1014" s="1409"/>
      <c r="AA1014" s="1409"/>
      <c r="AB1014" s="1409"/>
      <c r="AC1014" s="1409"/>
      <c r="AD1014" s="1409"/>
      <c r="AE1014" s="1410"/>
      <c r="AF1014" s="1386" t="str">
        <f>IF(AND(AG1013="yes",T212&lt;&gt;1),"The project may not be eligible for this boost","")</f>
        <v/>
      </c>
      <c r="AG1014" s="1387"/>
      <c r="AH1014" s="1387"/>
      <c r="AI1014" s="1388"/>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411"/>
      <c r="E1015" s="1412"/>
      <c r="F1015" s="1412"/>
      <c r="G1015" s="1412"/>
      <c r="H1015" s="1412"/>
      <c r="I1015" s="1412"/>
      <c r="J1015" s="1412"/>
      <c r="K1015" s="1412"/>
      <c r="L1015" s="1412"/>
      <c r="M1015" s="1412"/>
      <c r="N1015" s="1412"/>
      <c r="O1015" s="1412"/>
      <c r="P1015" s="1412"/>
      <c r="Q1015" s="1412"/>
      <c r="R1015" s="1412"/>
      <c r="S1015" s="1412"/>
      <c r="T1015" s="1412"/>
      <c r="U1015" s="1412"/>
      <c r="V1015" s="1412"/>
      <c r="W1015" s="1412"/>
      <c r="X1015" s="1412"/>
      <c r="Y1015" s="1412"/>
      <c r="Z1015" s="1412"/>
      <c r="AA1015" s="1412"/>
      <c r="AB1015" s="1412"/>
      <c r="AC1015" s="1412"/>
      <c r="AD1015" s="1412"/>
      <c r="AE1015" s="1413"/>
      <c r="AF1015" s="1389"/>
      <c r="AG1015" s="1390"/>
      <c r="AH1015" s="1390"/>
      <c r="AI1015" s="1391"/>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218</v>
      </c>
      <c r="D1016" s="1417" t="s">
        <v>2235</v>
      </c>
      <c r="E1016" s="1418"/>
      <c r="F1016" s="1418"/>
      <c r="G1016" s="1418"/>
      <c r="H1016" s="1418"/>
      <c r="I1016" s="1418"/>
      <c r="J1016" s="1418"/>
      <c r="K1016" s="1418"/>
      <c r="L1016" s="1418"/>
      <c r="M1016" s="1418"/>
      <c r="N1016" s="1418"/>
      <c r="O1016" s="1418"/>
      <c r="P1016" s="1418"/>
      <c r="Q1016" s="1418"/>
      <c r="R1016" s="1418"/>
      <c r="S1016" s="1418"/>
      <c r="T1016" s="1418"/>
      <c r="U1016" s="1418"/>
      <c r="V1016" s="1418"/>
      <c r="W1016" s="1418"/>
      <c r="X1016" s="1418"/>
      <c r="Y1016" s="1418"/>
      <c r="Z1016" s="1418"/>
      <c r="AA1016" s="1418"/>
      <c r="AB1016" s="1418"/>
      <c r="AC1016" s="1418"/>
      <c r="AD1016" s="1418"/>
      <c r="AE1016" s="1419"/>
      <c r="AF1016" s="79"/>
      <c r="AG1016" s="1422" t="s">
        <v>669</v>
      </c>
      <c r="AH1016" s="142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408" t="s">
        <v>1291</v>
      </c>
      <c r="E1017" s="1409"/>
      <c r="F1017" s="1409"/>
      <c r="G1017" s="1409"/>
      <c r="H1017" s="1409"/>
      <c r="I1017" s="1409"/>
      <c r="J1017" s="1409"/>
      <c r="K1017" s="1409"/>
      <c r="L1017" s="1409"/>
      <c r="M1017" s="1409"/>
      <c r="N1017" s="1409"/>
      <c r="O1017" s="1409"/>
      <c r="P1017" s="1409"/>
      <c r="Q1017" s="1409"/>
      <c r="R1017" s="1409"/>
      <c r="S1017" s="1409"/>
      <c r="T1017" s="1409"/>
      <c r="U1017" s="1409"/>
      <c r="V1017" s="1409"/>
      <c r="W1017" s="1409"/>
      <c r="X1017" s="1409"/>
      <c r="Y1017" s="1409"/>
      <c r="Z1017" s="1409"/>
      <c r="AA1017" s="1409"/>
      <c r="AB1017" s="1409"/>
      <c r="AC1017" s="1409"/>
      <c r="AD1017" s="1409"/>
      <c r="AE1017" s="1410"/>
      <c r="AF1017" s="1380" t="str">
        <f>IF(AND(AG1016="Yes",AY1024=0),AY1027,"")</f>
        <v/>
      </c>
      <c r="AG1017" s="1381"/>
      <c r="AH1017" s="1381"/>
      <c r="AI1017" s="1382"/>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408"/>
      <c r="E1018" s="1409"/>
      <c r="F1018" s="1409"/>
      <c r="G1018" s="1409"/>
      <c r="H1018" s="1409"/>
      <c r="I1018" s="1409"/>
      <c r="J1018" s="1409"/>
      <c r="K1018" s="1409"/>
      <c r="L1018" s="1409"/>
      <c r="M1018" s="1409"/>
      <c r="N1018" s="1409"/>
      <c r="O1018" s="1409"/>
      <c r="P1018" s="1409"/>
      <c r="Q1018" s="1409"/>
      <c r="R1018" s="1409"/>
      <c r="S1018" s="1409"/>
      <c r="T1018" s="1409"/>
      <c r="U1018" s="1409"/>
      <c r="V1018" s="1409"/>
      <c r="W1018" s="1409"/>
      <c r="X1018" s="1409"/>
      <c r="Y1018" s="1409"/>
      <c r="Z1018" s="1409"/>
      <c r="AA1018" s="1409"/>
      <c r="AB1018" s="1409"/>
      <c r="AC1018" s="1409"/>
      <c r="AD1018" s="1409"/>
      <c r="AE1018" s="1410"/>
      <c r="AF1018" s="1380"/>
      <c r="AG1018" s="1381"/>
      <c r="AH1018" s="1381"/>
      <c r="AI1018" s="1382"/>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411"/>
      <c r="E1019" s="1412"/>
      <c r="F1019" s="1412"/>
      <c r="G1019" s="1412"/>
      <c r="H1019" s="1412"/>
      <c r="I1019" s="1412"/>
      <c r="J1019" s="1412"/>
      <c r="K1019" s="1412"/>
      <c r="L1019" s="1412"/>
      <c r="M1019" s="1412"/>
      <c r="N1019" s="1412"/>
      <c r="O1019" s="1412"/>
      <c r="P1019" s="1412"/>
      <c r="Q1019" s="1412"/>
      <c r="R1019" s="1412"/>
      <c r="S1019" s="1412"/>
      <c r="T1019" s="1412"/>
      <c r="U1019" s="1412"/>
      <c r="V1019" s="1412"/>
      <c r="W1019" s="1412"/>
      <c r="X1019" s="1412"/>
      <c r="Y1019" s="1412"/>
      <c r="Z1019" s="1412"/>
      <c r="AA1019" s="1412"/>
      <c r="AB1019" s="1412"/>
      <c r="AC1019" s="1412"/>
      <c r="AD1019" s="1412"/>
      <c r="AE1019" s="1413"/>
      <c r="AF1019" s="1383"/>
      <c r="AG1019" s="1384"/>
      <c r="AH1019" s="1384"/>
      <c r="AI1019" s="1385"/>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223</v>
      </c>
      <c r="D1020" s="1526" t="s">
        <v>1292</v>
      </c>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8"/>
      <c r="AF1020" s="79"/>
      <c r="AG1020" s="1422" t="s">
        <v>669</v>
      </c>
      <c r="AH1020" s="142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9"/>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71" t="str">
        <f>IF(AG1020="yes","Please Select Type and Enter Amount:","")</f>
        <v/>
      </c>
      <c r="AG1021" s="1572"/>
      <c r="AH1021" s="1572"/>
      <c r="AI1021" s="1573"/>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408" t="s">
        <v>1293</v>
      </c>
      <c r="E1022" s="1409"/>
      <c r="F1022" s="1409"/>
      <c r="G1022" s="1409"/>
      <c r="H1022" s="1409"/>
      <c r="I1022" s="1409"/>
      <c r="J1022" s="1409"/>
      <c r="K1022" s="1409"/>
      <c r="L1022" s="1409"/>
      <c r="M1022" s="1409"/>
      <c r="N1022" s="1409"/>
      <c r="O1022" s="1409"/>
      <c r="P1022" s="1409"/>
      <c r="Q1022" s="1409"/>
      <c r="R1022" s="1409"/>
      <c r="S1022" s="1409"/>
      <c r="T1022" s="1409"/>
      <c r="U1022" s="1409"/>
      <c r="V1022" s="1409"/>
      <c r="W1022" s="1409"/>
      <c r="X1022" s="1409"/>
      <c r="Y1022" s="1409"/>
      <c r="Z1022" s="1409"/>
      <c r="AA1022" s="1409"/>
      <c r="AB1022" s="1409"/>
      <c r="AC1022" s="1409"/>
      <c r="AD1022" s="1409"/>
      <c r="AE1022" s="1410"/>
      <c r="AF1022" s="1571"/>
      <c r="AG1022" s="1572"/>
      <c r="AH1022" s="1572"/>
      <c r="AI1022" s="1573"/>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408"/>
      <c r="E1023" s="1409"/>
      <c r="F1023" s="1409"/>
      <c r="G1023" s="1409"/>
      <c r="H1023" s="1409"/>
      <c r="I1023" s="1409"/>
      <c r="J1023" s="1409"/>
      <c r="K1023" s="1409"/>
      <c r="L1023" s="1409"/>
      <c r="M1023" s="1409"/>
      <c r="N1023" s="1409"/>
      <c r="O1023" s="1409"/>
      <c r="P1023" s="1409"/>
      <c r="Q1023" s="1409"/>
      <c r="R1023" s="1409"/>
      <c r="S1023" s="1409"/>
      <c r="T1023" s="1409"/>
      <c r="U1023" s="1409"/>
      <c r="V1023" s="1409"/>
      <c r="W1023" s="1409"/>
      <c r="X1023" s="1409"/>
      <c r="Y1023" s="1409"/>
      <c r="Z1023" s="1409"/>
      <c r="AA1023" s="1409"/>
      <c r="AB1023" s="1409"/>
      <c r="AC1023" s="1409"/>
      <c r="AD1023" s="1409"/>
      <c r="AE1023" s="1410"/>
      <c r="AF1023" s="1435"/>
      <c r="AG1023" s="1435"/>
      <c r="AH1023" s="1435"/>
      <c r="AI1023" s="1435"/>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563" t="s">
        <v>591</v>
      </c>
      <c r="K1024" s="1564"/>
      <c r="L1024" s="1564"/>
      <c r="M1024" s="1564"/>
      <c r="N1024" s="1564"/>
      <c r="O1024" s="1564"/>
      <c r="P1024" s="1564"/>
      <c r="Q1024" s="1564"/>
      <c r="R1024" s="1564"/>
      <c r="S1024" s="1564"/>
      <c r="T1024" s="1564"/>
      <c r="U1024" s="1564"/>
      <c r="V1024" s="1564"/>
      <c r="W1024" s="1564"/>
      <c r="X1024" s="1564"/>
      <c r="Y1024" s="1564"/>
      <c r="Z1024" s="1564"/>
      <c r="AA1024" s="1564"/>
      <c r="AB1024" s="1564"/>
      <c r="AC1024" s="1564"/>
      <c r="AD1024" s="1564"/>
      <c r="AE1024" s="1565"/>
      <c r="AF1024" s="1435"/>
      <c r="AG1024" s="1435"/>
      <c r="AH1024" s="1435"/>
      <c r="AI1024" s="1435"/>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v>
      </c>
    </row>
    <row r="1025" spans="1:57" ht="13" customHeight="1">
      <c r="A1025" s="14"/>
      <c r="B1025" s="79"/>
      <c r="C1025" s="80" t="s">
        <v>229</v>
      </c>
      <c r="D1025" s="1535" t="s">
        <v>1294</v>
      </c>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7"/>
      <c r="AF1025" s="79"/>
      <c r="AG1025" s="1422" t="s">
        <v>545</v>
      </c>
      <c r="AH1025" s="1423"/>
      <c r="AI1025" s="87"/>
      <c r="AJ1025" s="1393">
        <f>ROUND(IF(AG1025="Yes",AF1027,0),0)</f>
        <v>685934</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408" t="s">
        <v>1690</v>
      </c>
      <c r="E1026" s="1409"/>
      <c r="F1026" s="1409"/>
      <c r="G1026" s="1409"/>
      <c r="H1026" s="1409"/>
      <c r="I1026" s="1409"/>
      <c r="J1026" s="1409"/>
      <c r="K1026" s="1409"/>
      <c r="L1026" s="1409"/>
      <c r="M1026" s="1409"/>
      <c r="N1026" s="1409"/>
      <c r="O1026" s="1409"/>
      <c r="P1026" s="1409"/>
      <c r="Q1026" s="1409"/>
      <c r="R1026" s="1409"/>
      <c r="S1026" s="1409"/>
      <c r="T1026" s="1409"/>
      <c r="U1026" s="1409"/>
      <c r="V1026" s="1409"/>
      <c r="W1026" s="1409"/>
      <c r="X1026" s="1409"/>
      <c r="Y1026" s="1409"/>
      <c r="Z1026" s="1409"/>
      <c r="AA1026" s="1409"/>
      <c r="AB1026" s="1409"/>
      <c r="AC1026" s="1409"/>
      <c r="AD1026" s="1409"/>
      <c r="AE1026" s="1410"/>
      <c r="AF1026" s="1538" t="str">
        <f>IF(AG1025="yes","Enter Amount:","")</f>
        <v>Enter Amount:</v>
      </c>
      <c r="AG1026" s="1539"/>
      <c r="AH1026" s="1539"/>
      <c r="AI1026" s="154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408"/>
      <c r="E1027" s="1409"/>
      <c r="F1027" s="1409"/>
      <c r="G1027" s="1409"/>
      <c r="H1027" s="1409"/>
      <c r="I1027" s="1409"/>
      <c r="J1027" s="1409"/>
      <c r="K1027" s="1409"/>
      <c r="L1027" s="1409"/>
      <c r="M1027" s="1409"/>
      <c r="N1027" s="1409"/>
      <c r="O1027" s="1409"/>
      <c r="P1027" s="1409"/>
      <c r="Q1027" s="1409"/>
      <c r="R1027" s="1409"/>
      <c r="S1027" s="1409"/>
      <c r="T1027" s="1409"/>
      <c r="U1027" s="1409"/>
      <c r="V1027" s="1409"/>
      <c r="W1027" s="1409"/>
      <c r="X1027" s="1409"/>
      <c r="Y1027" s="1409"/>
      <c r="Z1027" s="1409"/>
      <c r="AA1027" s="1409"/>
      <c r="AB1027" s="1409"/>
      <c r="AC1027" s="1409"/>
      <c r="AD1027" s="1409"/>
      <c r="AE1027" s="1410"/>
      <c r="AF1027" s="1435">
        <v>685934</v>
      </c>
      <c r="AG1027" s="1435"/>
      <c r="AH1027" s="1435"/>
      <c r="AI1027" s="1435"/>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411"/>
      <c r="E1028" s="1412"/>
      <c r="F1028" s="1412"/>
      <c r="G1028" s="1412"/>
      <c r="H1028" s="1412"/>
      <c r="I1028" s="1412"/>
      <c r="J1028" s="1412"/>
      <c r="K1028" s="1412"/>
      <c r="L1028" s="1412"/>
      <c r="M1028" s="1412"/>
      <c r="N1028" s="1412"/>
      <c r="O1028" s="1412"/>
      <c r="P1028" s="1412"/>
      <c r="Q1028" s="1412"/>
      <c r="R1028" s="1412"/>
      <c r="S1028" s="1412"/>
      <c r="T1028" s="1412"/>
      <c r="U1028" s="1412"/>
      <c r="V1028" s="1412"/>
      <c r="W1028" s="1412"/>
      <c r="X1028" s="1412"/>
      <c r="Y1028" s="1412"/>
      <c r="Z1028" s="1412"/>
      <c r="AA1028" s="1412"/>
      <c r="AB1028" s="1412"/>
      <c r="AC1028" s="1412"/>
      <c r="AD1028" s="1412"/>
      <c r="AE1028" s="1413"/>
      <c r="AF1028" s="1435"/>
      <c r="AG1028" s="1435"/>
      <c r="AH1028" s="1435"/>
      <c r="AI1028" s="1435"/>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417" t="s">
        <v>1295</v>
      </c>
      <c r="E1029" s="1418"/>
      <c r="F1029" s="1418"/>
      <c r="G1029" s="1418"/>
      <c r="H1029" s="1418"/>
      <c r="I1029" s="1418"/>
      <c r="J1029" s="1418"/>
      <c r="K1029" s="1418"/>
      <c r="L1029" s="1418"/>
      <c r="M1029" s="1418"/>
      <c r="N1029" s="1418"/>
      <c r="O1029" s="1418"/>
      <c r="P1029" s="1418"/>
      <c r="Q1029" s="1418"/>
      <c r="R1029" s="1418"/>
      <c r="S1029" s="1418"/>
      <c r="T1029" s="1418"/>
      <c r="U1029" s="1418"/>
      <c r="V1029" s="1418"/>
      <c r="W1029" s="1418"/>
      <c r="X1029" s="1418"/>
      <c r="Y1029" s="1418"/>
      <c r="Z1029" s="1418"/>
      <c r="AA1029" s="1418"/>
      <c r="AB1029" s="1418"/>
      <c r="AC1029" s="1418"/>
      <c r="AD1029" s="1418"/>
      <c r="AE1029" s="1419"/>
      <c r="AF1029" s="79"/>
      <c r="AG1029" s="1422" t="s">
        <v>545</v>
      </c>
      <c r="AH1029" s="1423"/>
      <c r="AI1029" s="87"/>
      <c r="AJ1029" s="1393">
        <f>ROUND(IF(AG1029="yes",(AJ992*0.1),0),0)</f>
        <v>2890278</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408" t="s">
        <v>1296</v>
      </c>
      <c r="E1030" s="1409"/>
      <c r="F1030" s="1409"/>
      <c r="G1030" s="1409"/>
      <c r="H1030" s="1409"/>
      <c r="I1030" s="1409"/>
      <c r="J1030" s="1409"/>
      <c r="K1030" s="1409"/>
      <c r="L1030" s="1409"/>
      <c r="M1030" s="1409"/>
      <c r="N1030" s="1409"/>
      <c r="O1030" s="1409"/>
      <c r="P1030" s="1409"/>
      <c r="Q1030" s="1409"/>
      <c r="R1030" s="1409"/>
      <c r="S1030" s="1409"/>
      <c r="T1030" s="1409"/>
      <c r="U1030" s="1409"/>
      <c r="V1030" s="1409"/>
      <c r="W1030" s="1409"/>
      <c r="X1030" s="1409"/>
      <c r="Y1030" s="1409"/>
      <c r="Z1030" s="1409"/>
      <c r="AA1030" s="1409"/>
      <c r="AB1030" s="1409"/>
      <c r="AC1030" s="1409"/>
      <c r="AD1030" s="1409"/>
      <c r="AE1030" s="14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411"/>
      <c r="E1031" s="1412"/>
      <c r="F1031" s="1412"/>
      <c r="G1031" s="1412"/>
      <c r="H1031" s="1412"/>
      <c r="I1031" s="1412"/>
      <c r="J1031" s="1412"/>
      <c r="K1031" s="1412"/>
      <c r="L1031" s="1412"/>
      <c r="M1031" s="1412"/>
      <c r="N1031" s="1412"/>
      <c r="O1031" s="1412"/>
      <c r="P1031" s="1412"/>
      <c r="Q1031" s="1412"/>
      <c r="R1031" s="1412"/>
      <c r="S1031" s="1412"/>
      <c r="T1031" s="1412"/>
      <c r="U1031" s="1412"/>
      <c r="V1031" s="1412"/>
      <c r="W1031" s="1412"/>
      <c r="X1031" s="1412"/>
      <c r="Y1031" s="1412"/>
      <c r="Z1031" s="1412"/>
      <c r="AA1031" s="1412"/>
      <c r="AB1031" s="1412"/>
      <c r="AC1031" s="1412"/>
      <c r="AD1031" s="1412"/>
      <c r="AE1031" s="14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687</v>
      </c>
      <c r="D1032" s="1535" t="s">
        <v>1686</v>
      </c>
      <c r="E1032" s="1536"/>
      <c r="F1032" s="1536"/>
      <c r="G1032" s="1536"/>
      <c r="H1032" s="1536"/>
      <c r="I1032" s="1536"/>
      <c r="J1032" s="1536"/>
      <c r="K1032" s="1536"/>
      <c r="L1032" s="1536"/>
      <c r="M1032" s="1536"/>
      <c r="N1032" s="1536"/>
      <c r="O1032" s="1536"/>
      <c r="P1032" s="1536"/>
      <c r="Q1032" s="1536"/>
      <c r="R1032" s="1536"/>
      <c r="S1032" s="1536"/>
      <c r="T1032" s="1536"/>
      <c r="U1032" s="1536"/>
      <c r="V1032" s="1536"/>
      <c r="W1032" s="1536"/>
      <c r="X1032" s="1536"/>
      <c r="Y1032" s="1536"/>
      <c r="Z1032" s="1536"/>
      <c r="AA1032" s="1536"/>
      <c r="AB1032" s="1536"/>
      <c r="AC1032" s="1536"/>
      <c r="AD1032" s="1536"/>
      <c r="AE1032" s="1537"/>
      <c r="AF1032" s="79"/>
      <c r="AG1032" s="1422" t="s">
        <v>669</v>
      </c>
      <c r="AH1032" s="142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21" t="s">
        <v>1687</v>
      </c>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22"/>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21"/>
      <c r="E1034" s="1273"/>
      <c r="F1034" s="1273"/>
      <c r="G1034" s="1273"/>
      <c r="H1034" s="1273"/>
      <c r="I1034" s="1273"/>
      <c r="J1034" s="1273"/>
      <c r="K1034" s="1273"/>
      <c r="L1034" s="1273"/>
      <c r="M1034" s="1273"/>
      <c r="N1034" s="1273"/>
      <c r="O1034" s="1273"/>
      <c r="P1034" s="1273"/>
      <c r="Q1034" s="1273"/>
      <c r="R1034" s="1273"/>
      <c r="S1034" s="1273"/>
      <c r="T1034" s="1273"/>
      <c r="U1034" s="1273"/>
      <c r="V1034" s="1273"/>
      <c r="W1034" s="1273"/>
      <c r="X1034" s="1273"/>
      <c r="Y1034" s="1273"/>
      <c r="Z1034" s="1273"/>
      <c r="AA1034" s="1273"/>
      <c r="AB1034" s="1273"/>
      <c r="AC1034" s="1273"/>
      <c r="AD1034" s="1273"/>
      <c r="AE1034" s="1522"/>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23"/>
      <c r="E1035" s="1524"/>
      <c r="F1035" s="1524"/>
      <c r="G1035" s="1524"/>
      <c r="H1035" s="1524"/>
      <c r="I1035" s="1524"/>
      <c r="J1035" s="1524"/>
      <c r="K1035" s="1524"/>
      <c r="L1035" s="1524"/>
      <c r="M1035" s="1524"/>
      <c r="N1035" s="1524"/>
      <c r="O1035" s="1524"/>
      <c r="P1035" s="1524"/>
      <c r="Q1035" s="1524"/>
      <c r="R1035" s="1524"/>
      <c r="S1035" s="1524"/>
      <c r="T1035" s="1524"/>
      <c r="U1035" s="1524"/>
      <c r="V1035" s="1524"/>
      <c r="W1035" s="1524"/>
      <c r="X1035" s="1524"/>
      <c r="Y1035" s="1524"/>
      <c r="Z1035" s="1524"/>
      <c r="AA1035" s="1524"/>
      <c r="AB1035" s="1524"/>
      <c r="AC1035" s="1524"/>
      <c r="AD1035" s="1524"/>
      <c r="AE1035" s="1525"/>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687</v>
      </c>
      <c r="D1036" s="1417" t="s">
        <v>1688</v>
      </c>
      <c r="E1036" s="1418"/>
      <c r="F1036" s="1418"/>
      <c r="G1036" s="1418"/>
      <c r="H1036" s="1418"/>
      <c r="I1036" s="1418"/>
      <c r="J1036" s="1418"/>
      <c r="K1036" s="1418"/>
      <c r="L1036" s="1418"/>
      <c r="M1036" s="1418"/>
      <c r="N1036" s="1418"/>
      <c r="O1036" s="1418"/>
      <c r="P1036" s="1418"/>
      <c r="Q1036" s="1418"/>
      <c r="R1036" s="1418"/>
      <c r="S1036" s="1418"/>
      <c r="T1036" s="1418"/>
      <c r="U1036" s="1418"/>
      <c r="V1036" s="1418"/>
      <c r="W1036" s="1418"/>
      <c r="X1036" s="1418"/>
      <c r="Y1036" s="1418"/>
      <c r="Z1036" s="1418"/>
      <c r="AA1036" s="1418"/>
      <c r="AB1036" s="1418"/>
      <c r="AC1036" s="1418"/>
      <c r="AD1036" s="1418"/>
      <c r="AE1036" s="1419"/>
      <c r="AF1036" s="73"/>
      <c r="AG1036" s="1424" t="s">
        <v>545</v>
      </c>
      <c r="AH1036" s="1425"/>
      <c r="AI1036" s="83"/>
      <c r="AJ1036" s="1393">
        <f>ROUND(IF(AND(AG1036="yes",AJ1032=0),(AJ992*0.1),0),0)</f>
        <v>2890278</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21" t="s">
        <v>1689</v>
      </c>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22"/>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21"/>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22"/>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521"/>
      <c r="E1039" s="1273"/>
      <c r="F1039" s="1273"/>
      <c r="G1039" s="1273"/>
      <c r="H1039" s="1273"/>
      <c r="I1039" s="1273"/>
      <c r="J1039" s="1273"/>
      <c r="K1039" s="1273"/>
      <c r="L1039" s="1273"/>
      <c r="M1039" s="1273"/>
      <c r="N1039" s="1273"/>
      <c r="O1039" s="1273"/>
      <c r="P1039" s="1273"/>
      <c r="Q1039" s="1273"/>
      <c r="R1039" s="1273"/>
      <c r="S1039" s="1273"/>
      <c r="T1039" s="1273"/>
      <c r="U1039" s="1273"/>
      <c r="V1039" s="1273"/>
      <c r="W1039" s="1273"/>
      <c r="X1039" s="1273"/>
      <c r="Y1039" s="1273"/>
      <c r="Z1039" s="1273"/>
      <c r="AA1039" s="1273"/>
      <c r="AB1039" s="1273"/>
      <c r="AC1039" s="1273"/>
      <c r="AD1039" s="1273"/>
      <c r="AE1039" s="1522"/>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0.72727272727272729</v>
      </c>
      <c r="BB1039" s="3" t="s">
        <v>2492</v>
      </c>
    </row>
    <row r="1040" spans="1:57" ht="13" customHeight="1">
      <c r="A1040" s="14"/>
      <c r="B1040" s="73"/>
      <c r="C1040" s="74"/>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535" t="s">
        <v>1297</v>
      </c>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7"/>
      <c r="AF1041" s="79"/>
      <c r="AG1041" s="1422" t="s">
        <v>669</v>
      </c>
      <c r="AH1041" s="142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3" customHeight="1">
      <c r="A1042" s="14"/>
      <c r="B1042" s="73"/>
      <c r="C1042" s="74"/>
      <c r="D1042" s="1408" t="s">
        <v>2144</v>
      </c>
      <c r="E1042" s="1409"/>
      <c r="F1042" s="1409"/>
      <c r="G1042" s="1409"/>
      <c r="H1042" s="1409"/>
      <c r="I1042" s="1409"/>
      <c r="J1042" s="1409"/>
      <c r="K1042" s="1409"/>
      <c r="L1042" s="1409"/>
      <c r="M1042" s="1409"/>
      <c r="N1042" s="1409"/>
      <c r="O1042" s="1409"/>
      <c r="P1042" s="1409"/>
      <c r="Q1042" s="1409"/>
      <c r="R1042" s="1409"/>
      <c r="S1042" s="1409"/>
      <c r="T1042" s="1409"/>
      <c r="U1042" s="1409"/>
      <c r="V1042" s="1409"/>
      <c r="W1042" s="1409"/>
      <c r="X1042" s="1409"/>
      <c r="Y1042" s="1409"/>
      <c r="Z1042" s="1409"/>
      <c r="AA1042" s="1409"/>
      <c r="AB1042" s="1409"/>
      <c r="AC1042" s="1409"/>
      <c r="AD1042" s="1409"/>
      <c r="AE1042" s="14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3" customHeight="1">
      <c r="A1043" s="14"/>
      <c r="B1043" s="73"/>
      <c r="C1043" s="74"/>
      <c r="D1043" s="1408"/>
      <c r="E1043" s="1409"/>
      <c r="F1043" s="1409"/>
      <c r="G1043" s="1409"/>
      <c r="H1043" s="1409"/>
      <c r="I1043" s="1409"/>
      <c r="J1043" s="1409"/>
      <c r="K1043" s="1409"/>
      <c r="L1043" s="1409"/>
      <c r="M1043" s="1409"/>
      <c r="N1043" s="1409"/>
      <c r="O1043" s="1409"/>
      <c r="P1043" s="1409"/>
      <c r="Q1043" s="1409"/>
      <c r="R1043" s="1409"/>
      <c r="S1043" s="1409"/>
      <c r="T1043" s="1409"/>
      <c r="U1043" s="1409"/>
      <c r="V1043" s="1409"/>
      <c r="W1043" s="1409"/>
      <c r="X1043" s="1409"/>
      <c r="Y1043" s="1409"/>
      <c r="Z1043" s="1409"/>
      <c r="AA1043" s="1409"/>
      <c r="AB1043" s="1409"/>
      <c r="AC1043" s="1409"/>
      <c r="AD1043" s="1409"/>
      <c r="AE1043" s="14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411"/>
      <c r="E1044" s="1412"/>
      <c r="F1044" s="1412"/>
      <c r="G1044" s="1412"/>
      <c r="H1044" s="1412"/>
      <c r="I1044" s="1412"/>
      <c r="J1044" s="1412"/>
      <c r="K1044" s="1412"/>
      <c r="L1044" s="1412"/>
      <c r="M1044" s="1412"/>
      <c r="N1044" s="1412"/>
      <c r="O1044" s="1412"/>
      <c r="P1044" s="1412"/>
      <c r="Q1044" s="1412"/>
      <c r="R1044" s="1412"/>
      <c r="S1044" s="1412"/>
      <c r="T1044" s="1412"/>
      <c r="U1044" s="1412"/>
      <c r="V1044" s="1412"/>
      <c r="W1044" s="1412"/>
      <c r="X1044" s="1412"/>
      <c r="Y1044" s="1412"/>
      <c r="Z1044" s="1412"/>
      <c r="AA1044" s="1412"/>
      <c r="AB1044" s="1412"/>
      <c r="AC1044" s="1412"/>
      <c r="AD1044" s="1412"/>
      <c r="AE1044" s="14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1684</v>
      </c>
      <c r="D1045" s="1417" t="s">
        <v>1864</v>
      </c>
      <c r="E1045" s="1418"/>
      <c r="F1045" s="1418"/>
      <c r="G1045" s="1418"/>
      <c r="H1045" s="1418"/>
      <c r="I1045" s="1418"/>
      <c r="J1045" s="1418"/>
      <c r="K1045" s="1418"/>
      <c r="L1045" s="1418"/>
      <c r="M1045" s="1418"/>
      <c r="N1045" s="1418"/>
      <c r="O1045" s="1418"/>
      <c r="P1045" s="1418"/>
      <c r="Q1045" s="1418"/>
      <c r="R1045" s="1418"/>
      <c r="S1045" s="1418"/>
      <c r="T1045" s="1418"/>
      <c r="U1045" s="1418"/>
      <c r="V1045" s="1418"/>
      <c r="W1045" s="1418"/>
      <c r="X1045" s="1418"/>
      <c r="Y1045" s="1418"/>
      <c r="Z1045" s="1418"/>
      <c r="AA1045" s="1418"/>
      <c r="AB1045" s="1418"/>
      <c r="AC1045" s="1418"/>
      <c r="AD1045" s="1418"/>
      <c r="AE1045" s="1419"/>
      <c r="AF1045" s="79"/>
      <c r="AG1045" s="1420" t="str">
        <f>IF(X1048&gt;0,"Yes","No")</f>
        <v>Yes</v>
      </c>
      <c r="AH1045" s="1421"/>
      <c r="AI1045" s="87"/>
      <c r="AJ1045" s="1393">
        <f>IF((X1048=0),0,AY1005*AJ992)</f>
        <v>15029444.040000001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408" t="s">
        <v>1299</v>
      </c>
      <c r="E1046" s="1409"/>
      <c r="F1046" s="1409"/>
      <c r="G1046" s="1409"/>
      <c r="H1046" s="1409"/>
      <c r="I1046" s="1409"/>
      <c r="J1046" s="1409"/>
      <c r="K1046" s="1409"/>
      <c r="L1046" s="1409"/>
      <c r="M1046" s="1409"/>
      <c r="N1046" s="1409"/>
      <c r="O1046" s="1409"/>
      <c r="P1046" s="1409"/>
      <c r="Q1046" s="1409"/>
      <c r="R1046" s="1409"/>
      <c r="S1046" s="1409"/>
      <c r="T1046" s="1409"/>
      <c r="U1046" s="1409"/>
      <c r="V1046" s="1409"/>
      <c r="W1046" s="1409"/>
      <c r="X1046" s="1409"/>
      <c r="Y1046" s="1409"/>
      <c r="Z1046" s="1409"/>
      <c r="AA1046" s="1409"/>
      <c r="AB1046" s="1409"/>
      <c r="AC1046" s="1409"/>
      <c r="AD1046" s="1409"/>
      <c r="AE1046" s="14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4331250.3</v>
      </c>
      <c r="BA1046" s="1182">
        <f>IF(BA1040,20%,15%)</f>
        <v>0.15</v>
      </c>
      <c r="BB1046" s="3" t="s">
        <v>2478</v>
      </c>
      <c r="BC1046" s="3" t="s">
        <v>2479</v>
      </c>
      <c r="BD1046" s="3"/>
    </row>
    <row r="1047" spans="1:56" ht="13" customHeight="1">
      <c r="A1047" s="14"/>
      <c r="B1047" s="73"/>
      <c r="C1047" s="442"/>
      <c r="D1047" s="1408"/>
      <c r="E1047" s="1409"/>
      <c r="F1047" s="1409"/>
      <c r="G1047" s="1409"/>
      <c r="H1047" s="1409"/>
      <c r="I1047" s="1409"/>
      <c r="J1047" s="1409"/>
      <c r="K1047" s="1409"/>
      <c r="L1047" s="1409"/>
      <c r="M1047" s="1409"/>
      <c r="N1047" s="1409"/>
      <c r="O1047" s="1409"/>
      <c r="P1047" s="1409"/>
      <c r="Q1047" s="1409"/>
      <c r="R1047" s="1409"/>
      <c r="S1047" s="1409"/>
      <c r="T1047" s="1409"/>
      <c r="U1047" s="1409"/>
      <c r="V1047" s="1409"/>
      <c r="W1047" s="1409"/>
      <c r="X1047" s="1409"/>
      <c r="Y1047" s="1409"/>
      <c r="Z1047" s="1409"/>
      <c r="AA1047" s="1409"/>
      <c r="AB1047" s="1409"/>
      <c r="AC1047" s="1409"/>
      <c r="AD1047" s="1409"/>
      <c r="AE1047" s="14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78">
        <f>AY1003</f>
        <v>44</v>
      </c>
      <c r="J1048" s="1579"/>
      <c r="K1048" s="7"/>
      <c r="L1048" s="133"/>
      <c r="M1048" s="133"/>
      <c r="N1048" s="133"/>
      <c r="O1048" s="133"/>
      <c r="P1048" s="133"/>
      <c r="Q1048" s="133"/>
      <c r="R1048" s="133"/>
      <c r="S1048" s="133"/>
      <c r="T1048" s="133"/>
      <c r="U1048" s="133"/>
      <c r="V1048" s="134" t="s">
        <v>973</v>
      </c>
      <c r="W1048" s="48"/>
      <c r="X1048" s="1576">
        <f>CI753</f>
        <v>23</v>
      </c>
      <c r="Y1048" s="1577"/>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3" customHeight="1">
      <c r="A1049" s="14"/>
      <c r="B1049" s="79"/>
      <c r="C1049" s="131" t="s">
        <v>1685</v>
      </c>
      <c r="D1049" s="1535" t="s">
        <v>2170</v>
      </c>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7"/>
      <c r="AF1049" s="73"/>
      <c r="AG1049" s="1420" t="str">
        <f>IF(X1052&gt;0,"Yes","No")</f>
        <v>Yes</v>
      </c>
      <c r="AH1049" s="1421"/>
      <c r="AI1049" s="83"/>
      <c r="AJ1049" s="1393">
        <f>IF((X1052=0),0,(2*AY1006)*AJ992)</f>
        <v>11561110.800000001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408" t="s">
        <v>1298</v>
      </c>
      <c r="E1050" s="1409"/>
      <c r="F1050" s="1409"/>
      <c r="G1050" s="1409"/>
      <c r="H1050" s="1409"/>
      <c r="I1050" s="1409"/>
      <c r="J1050" s="1409"/>
      <c r="K1050" s="1409"/>
      <c r="L1050" s="1409"/>
      <c r="M1050" s="1409"/>
      <c r="N1050" s="1409"/>
      <c r="O1050" s="1409"/>
      <c r="P1050" s="1409"/>
      <c r="Q1050" s="1409"/>
      <c r="R1050" s="1409"/>
      <c r="S1050" s="1409"/>
      <c r="T1050" s="1409"/>
      <c r="U1050" s="1409"/>
      <c r="V1050" s="1409"/>
      <c r="W1050" s="1409"/>
      <c r="X1050" s="1409"/>
      <c r="Y1050" s="1409"/>
      <c r="Z1050" s="1409"/>
      <c r="AA1050" s="1409"/>
      <c r="AB1050" s="1409"/>
      <c r="AC1050" s="1409"/>
      <c r="AD1050" s="1409"/>
      <c r="AE1050" s="14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408"/>
      <c r="E1051" s="1409"/>
      <c r="F1051" s="1409"/>
      <c r="G1051" s="1409"/>
      <c r="H1051" s="1409"/>
      <c r="I1051" s="1409"/>
      <c r="J1051" s="1409"/>
      <c r="K1051" s="1409"/>
      <c r="L1051" s="1409"/>
      <c r="M1051" s="1409"/>
      <c r="N1051" s="1409"/>
      <c r="O1051" s="1409"/>
      <c r="P1051" s="1409"/>
      <c r="Q1051" s="1409"/>
      <c r="R1051" s="1409"/>
      <c r="S1051" s="1409"/>
      <c r="T1051" s="1409"/>
      <c r="U1051" s="1409"/>
      <c r="V1051" s="1409"/>
      <c r="W1051" s="1409"/>
      <c r="X1051" s="1409"/>
      <c r="Y1051" s="1409"/>
      <c r="Z1051" s="1409"/>
      <c r="AA1051" s="1409"/>
      <c r="AB1051" s="1409"/>
      <c r="AC1051" s="1409"/>
      <c r="AD1051" s="1409"/>
      <c r="AE1051" s="14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8">
        <f>AY1003</f>
        <v>44</v>
      </c>
      <c r="J1052" s="1579"/>
      <c r="K1052" s="14"/>
      <c r="L1052" s="133"/>
      <c r="M1052" s="133"/>
      <c r="N1052" s="133"/>
      <c r="O1052" s="133"/>
      <c r="P1052" s="133"/>
      <c r="Q1052" s="133"/>
      <c r="R1052" s="133"/>
      <c r="S1052" s="133"/>
      <c r="T1052" s="133"/>
      <c r="U1052" s="133"/>
      <c r="V1052" s="134" t="s">
        <v>974</v>
      </c>
      <c r="X1052" s="1576">
        <f>CM753</f>
        <v>9</v>
      </c>
      <c r="Y1052" s="1577"/>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74" t="s">
        <v>513</v>
      </c>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4"/>
      <c r="AF1053" s="1574"/>
      <c r="AG1053" s="1574"/>
      <c r="AH1053" s="1574"/>
      <c r="AI1053" s="1575"/>
      <c r="AJ1053" s="1585">
        <f>SUM(AJ992:AQ1052)</f>
        <v>67740376.840000004</v>
      </c>
      <c r="AK1053" s="1586"/>
      <c r="AL1053" s="1586"/>
      <c r="AM1053" s="1586"/>
      <c r="AN1053" s="1586"/>
      <c r="AO1053" s="1586"/>
      <c r="AP1053" s="1586"/>
      <c r="AQ1053" s="1587"/>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9">
        <f>'Sources and Uses Budget'!S107+'Sources and Uses Budget'!T107</f>
        <v>33206252</v>
      </c>
      <c r="AB1056" s="1869"/>
      <c r="AC1056" s="1869"/>
      <c r="AD1056" s="1869"/>
      <c r="AE1056" s="1869"/>
      <c r="AF1056" s="186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4331250.3</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70">
        <f>IFERROR((AA1056-BA1059)/(AJ1053-AJ1045-AJ1049),"")</f>
        <v>0.76245778171288325</v>
      </c>
      <c r="AB1057" s="1871"/>
      <c r="AC1057" s="1871"/>
      <c r="AD1057" s="1871"/>
      <c r="AE1057" s="1871"/>
      <c r="AF1057" s="187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7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73"/>
      <c r="I1058" s="1873"/>
      <c r="J1058" s="1873"/>
      <c r="K1058" s="1873"/>
      <c r="L1058" s="1873"/>
      <c r="M1058" s="1873"/>
      <c r="N1058" s="1873"/>
      <c r="O1058" s="1873"/>
      <c r="P1058" s="1873"/>
      <c r="Q1058" s="1873"/>
      <c r="R1058" s="1873"/>
      <c r="S1058" s="1873"/>
      <c r="T1058" s="1873"/>
      <c r="U1058" s="1873"/>
      <c r="V1058" s="1873"/>
      <c r="W1058" s="1873"/>
      <c r="X1058" s="1873"/>
      <c r="Y1058" s="1873"/>
      <c r="Z1058" s="1873"/>
      <c r="AA1058" s="1873"/>
      <c r="AB1058" s="1873"/>
      <c r="AC1058" s="1873"/>
      <c r="AD1058" s="1873"/>
      <c r="AE1058" s="1873"/>
      <c r="AF1058" s="1873"/>
      <c r="AG1058" s="1873"/>
      <c r="AH1058" s="1873"/>
      <c r="AI1058" s="1873"/>
      <c r="AJ1058" s="1873"/>
      <c r="AK1058" s="1873"/>
      <c r="AL1058" s="1873"/>
      <c r="AM1058" s="1873"/>
      <c r="AN1058" s="1873"/>
      <c r="AO1058" s="68"/>
      <c r="AP1058" s="68"/>
      <c r="AQ1058" s="68"/>
      <c r="AR1058" s="68"/>
      <c r="AS1058" s="68"/>
      <c r="AT1058" s="68"/>
      <c r="AU1058" s="68"/>
      <c r="AV1058" s="14"/>
      <c r="AW1058" s="14"/>
      <c r="AX1058" s="14"/>
      <c r="AY1058" s="14"/>
      <c r="BA1058" s="1185">
        <f>'Sources and Uses Budget'!$S$104+'Sources and Uses Budget'!$T$104</f>
        <v>4331250</v>
      </c>
      <c r="BB1058" s="3" t="s">
        <v>2493</v>
      </c>
    </row>
    <row r="1059" spans="1:54" ht="13" customHeight="1">
      <c r="A1059" s="14"/>
      <c r="B1059" s="14"/>
      <c r="C1059" s="208"/>
      <c r="D1059" s="858"/>
      <c r="E1059" s="858"/>
      <c r="F1059" s="858"/>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68"/>
      <c r="AP1059" s="68"/>
      <c r="AQ1059" s="68"/>
      <c r="AR1059" s="68"/>
      <c r="AS1059" s="68"/>
      <c r="AT1059" s="68"/>
      <c r="AU1059" s="68"/>
      <c r="AV1059" s="14"/>
      <c r="AW1059" s="14"/>
      <c r="AX1059" s="14"/>
      <c r="AY1059" s="14"/>
      <c r="BA1059" s="1186">
        <f>MAX($BA$1058-$BA$1055,0)</f>
        <v>1831250</v>
      </c>
      <c r="BB1059" s="3" t="s">
        <v>2494</v>
      </c>
    </row>
    <row r="1060" spans="1:54" ht="13" customHeight="1">
      <c r="A1060" s="88"/>
      <c r="B1060" s="1172"/>
      <c r="C1060" s="1172"/>
      <c r="D1060" s="1172"/>
      <c r="E1060" s="1172"/>
      <c r="F1060" s="1172"/>
      <c r="G1060" s="1873"/>
      <c r="H1060" s="1873"/>
      <c r="I1060" s="1873"/>
      <c r="J1060" s="1873"/>
      <c r="K1060" s="1873"/>
      <c r="L1060" s="1873"/>
      <c r="M1060" s="1873"/>
      <c r="N1060" s="1873"/>
      <c r="O1060" s="1873"/>
      <c r="P1060" s="1873"/>
      <c r="Q1060" s="1873"/>
      <c r="R1060" s="1873"/>
      <c r="S1060" s="1873"/>
      <c r="T1060" s="1873"/>
      <c r="U1060" s="1873"/>
      <c r="V1060" s="1873"/>
      <c r="W1060" s="1873"/>
      <c r="X1060" s="1873"/>
      <c r="Y1060" s="1873"/>
      <c r="Z1060" s="1873"/>
      <c r="AA1060" s="1873"/>
      <c r="AB1060" s="1873"/>
      <c r="AC1060" s="1873"/>
      <c r="AD1060" s="1873"/>
      <c r="AE1060" s="1873"/>
      <c r="AF1060" s="1873"/>
      <c r="AG1060" s="1873"/>
      <c r="AH1060" s="1873"/>
      <c r="AI1060" s="1873"/>
      <c r="AJ1060" s="1873"/>
      <c r="AK1060" s="1873"/>
      <c r="AL1060" s="1873"/>
      <c r="AM1060" s="1873"/>
      <c r="AN1060" s="1873"/>
      <c r="AO1060" s="1172"/>
      <c r="AP1060" s="1172"/>
      <c r="AQ1060" s="68"/>
      <c r="AR1060" s="68"/>
      <c r="AS1060" s="68"/>
      <c r="AT1060" s="68"/>
      <c r="AU1060" s="68"/>
      <c r="AV1060" s="68"/>
      <c r="AW1060" s="68"/>
      <c r="AX1060" s="68"/>
      <c r="AY1060" s="68"/>
    </row>
    <row r="1061" spans="1:54" ht="13" customHeight="1">
      <c r="A1061" s="1379" t="s">
        <v>794</v>
      </c>
      <c r="B1061" s="1379"/>
      <c r="C1061" s="1379"/>
      <c r="D1061" s="1379"/>
      <c r="E1061" s="1379"/>
      <c r="F1061" s="1379"/>
      <c r="G1061" s="1379"/>
      <c r="H1061" s="1379"/>
      <c r="I1061" s="1379"/>
      <c r="J1061" s="1379"/>
      <c r="K1061" s="1379"/>
      <c r="L1061" s="1379"/>
      <c r="M1061" s="1379"/>
      <c r="N1061" s="1379"/>
      <c r="O1061" s="1379"/>
      <c r="P1061" s="1379"/>
      <c r="Q1061" s="1379"/>
      <c r="R1061" s="1379"/>
      <c r="S1061" s="1379"/>
      <c r="T1061" s="1379"/>
      <c r="U1061" s="1379"/>
      <c r="V1061" s="1379"/>
      <c r="W1061" s="1379"/>
      <c r="X1061" s="1379"/>
      <c r="Y1061" s="1379"/>
      <c r="Z1061" s="1379"/>
      <c r="AA1061" s="1379"/>
      <c r="AB1061" s="1379"/>
      <c r="AC1061" s="1379"/>
      <c r="AD1061" s="1379"/>
      <c r="AE1061" s="1379"/>
      <c r="AF1061" s="1379"/>
      <c r="AG1061" s="1379"/>
      <c r="AH1061" s="1379"/>
      <c r="AI1061" s="1379"/>
      <c r="AJ1061" s="1379"/>
      <c r="AK1061" s="1379"/>
      <c r="AL1061" s="1379"/>
      <c r="AM1061" s="1379"/>
      <c r="AN1061" s="1379"/>
      <c r="AO1061" s="1379"/>
      <c r="AP1061" s="1379"/>
      <c r="AQ1061" s="137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9" t="s">
        <v>591</v>
      </c>
      <c r="B1065" s="1339"/>
      <c r="C1065" s="1340">
        <v>1</v>
      </c>
      <c r="D1065" s="134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40"/>
      <c r="D1066" s="134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9" t="s">
        <v>591</v>
      </c>
      <c r="B1067" s="1339"/>
      <c r="C1067" s="1340">
        <v>2</v>
      </c>
      <c r="D1067" s="1340"/>
      <c r="E1067" s="1342" t="s">
        <v>2237</v>
      </c>
      <c r="F1067" s="1342"/>
      <c r="G1067" s="1342"/>
      <c r="H1067" s="1342"/>
      <c r="I1067" s="1342"/>
      <c r="J1067" s="1342"/>
      <c r="K1067" s="1342"/>
      <c r="L1067" s="1342"/>
      <c r="M1067" s="1342"/>
      <c r="N1067" s="1342"/>
      <c r="O1067" s="1342"/>
      <c r="P1067" s="1342"/>
      <c r="Q1067" s="1342"/>
      <c r="R1067" s="1342"/>
      <c r="S1067" s="1342"/>
      <c r="T1067" s="1342"/>
      <c r="U1067" s="1342"/>
      <c r="V1067" s="1342"/>
      <c r="W1067" s="1342"/>
      <c r="X1067" s="1342"/>
      <c r="Y1067" s="1342"/>
      <c r="Z1067" s="1342"/>
      <c r="AA1067" s="1342"/>
      <c r="AB1067" s="1342"/>
      <c r="AC1067" s="1342"/>
      <c r="AD1067" s="1342"/>
      <c r="AE1067" s="1342"/>
      <c r="AF1067" s="1342"/>
      <c r="AG1067" s="1342"/>
      <c r="AH1067" s="1342"/>
      <c r="AI1067" s="1342"/>
      <c r="AJ1067" s="1342"/>
      <c r="AK1067" s="1342"/>
      <c r="AL1067" s="1342"/>
      <c r="AM1067" s="1342"/>
      <c r="AN1067" s="1342"/>
      <c r="AO1067" s="1342"/>
      <c r="AP1067" s="1342"/>
      <c r="AQ1067" s="1342"/>
      <c r="AR1067" s="1342"/>
      <c r="AS1067" s="14"/>
      <c r="AT1067" s="14"/>
      <c r="AV1067" s="68"/>
      <c r="AW1067" s="68"/>
      <c r="AX1067" s="68"/>
      <c r="AY1067" s="68"/>
    </row>
    <row r="1068" spans="1:54" ht="13" customHeight="1">
      <c r="A1068" s="198"/>
      <c r="B1068" s="67"/>
      <c r="C1068" s="1340"/>
      <c r="D1068" s="1340"/>
      <c r="E1068" s="1342"/>
      <c r="F1068" s="1342"/>
      <c r="G1068" s="1342"/>
      <c r="H1068" s="1342"/>
      <c r="I1068" s="1342"/>
      <c r="J1068" s="1342"/>
      <c r="K1068" s="1342"/>
      <c r="L1068" s="1342"/>
      <c r="M1068" s="1342"/>
      <c r="N1068" s="1342"/>
      <c r="O1068" s="1342"/>
      <c r="P1068" s="1342"/>
      <c r="Q1068" s="1342"/>
      <c r="R1068" s="1342"/>
      <c r="S1068" s="1342"/>
      <c r="T1068" s="1342"/>
      <c r="U1068" s="1342"/>
      <c r="V1068" s="1342"/>
      <c r="W1068" s="1342"/>
      <c r="X1068" s="1342"/>
      <c r="Y1068" s="1342"/>
      <c r="Z1068" s="1342"/>
      <c r="AA1068" s="1342"/>
      <c r="AB1068" s="1342"/>
      <c r="AC1068" s="1342"/>
      <c r="AD1068" s="1342"/>
      <c r="AE1068" s="1342"/>
      <c r="AF1068" s="1342"/>
      <c r="AG1068" s="1342"/>
      <c r="AH1068" s="1342"/>
      <c r="AI1068" s="1342"/>
      <c r="AJ1068" s="1342"/>
      <c r="AK1068" s="1342"/>
      <c r="AL1068" s="1342"/>
      <c r="AM1068" s="1342"/>
      <c r="AN1068" s="1342"/>
      <c r="AO1068" s="1342"/>
      <c r="AP1068" s="1342"/>
      <c r="AQ1068" s="1342"/>
      <c r="AR1068" s="1342"/>
      <c r="AS1068" s="14"/>
      <c r="AT1068" s="14"/>
      <c r="AV1068" s="68"/>
      <c r="AW1068" s="68"/>
      <c r="AX1068" s="68"/>
      <c r="AY1068" s="68"/>
    </row>
    <row r="1069" spans="1:54" ht="13" customHeight="1">
      <c r="A1069" s="198"/>
      <c r="B1069" s="67"/>
      <c r="C1069" s="1340"/>
      <c r="D1069" s="134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9" t="s">
        <v>591</v>
      </c>
      <c r="B1070" s="1339"/>
      <c r="C1070" s="1338">
        <v>3</v>
      </c>
      <c r="D1070" s="1338"/>
      <c r="E1070" s="1298" t="s">
        <v>1080</v>
      </c>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1298"/>
      <c r="AR1070" s="1298"/>
      <c r="AS1070" s="14"/>
      <c r="AT1070" s="68"/>
      <c r="AV1070" s="68"/>
      <c r="AW1070" s="68"/>
      <c r="AX1070" s="68"/>
      <c r="AY1070" s="68"/>
    </row>
    <row r="1071" spans="1:54" ht="13" customHeight="1">
      <c r="A1071" s="1"/>
      <c r="B1071" s="1"/>
      <c r="C1071" s="1338"/>
      <c r="D1071" s="1338"/>
      <c r="E1071" s="1298"/>
      <c r="F1071" s="1298"/>
      <c r="G1071" s="1298"/>
      <c r="H1071" s="1298"/>
      <c r="I1071" s="1298"/>
      <c r="J1071" s="1298"/>
      <c r="K1071" s="1298"/>
      <c r="L1071" s="1298"/>
      <c r="M1071" s="1298"/>
      <c r="N1071" s="1298"/>
      <c r="O1071" s="1298"/>
      <c r="P1071" s="1298"/>
      <c r="Q1071" s="1298"/>
      <c r="R1071" s="1298"/>
      <c r="S1071" s="1298"/>
      <c r="T1071" s="1298"/>
      <c r="U1071" s="1298"/>
      <c r="V1071" s="1298"/>
      <c r="W1071" s="1298"/>
      <c r="X1071" s="1298"/>
      <c r="Y1071" s="1298"/>
      <c r="Z1071" s="1298"/>
      <c r="AA1071" s="1298"/>
      <c r="AB1071" s="1298"/>
      <c r="AC1071" s="1298"/>
      <c r="AD1071" s="1298"/>
      <c r="AE1071" s="1298"/>
      <c r="AF1071" s="1298"/>
      <c r="AG1071" s="1298"/>
      <c r="AH1071" s="1298"/>
      <c r="AI1071" s="1298"/>
      <c r="AJ1071" s="1298"/>
      <c r="AK1071" s="1298"/>
      <c r="AL1071" s="1298"/>
      <c r="AM1071" s="1298"/>
      <c r="AN1071" s="1298"/>
      <c r="AO1071" s="1298"/>
      <c r="AP1071" s="1298"/>
      <c r="AQ1071" s="1298"/>
      <c r="AR1071" s="1298"/>
      <c r="AS1071" s="14"/>
      <c r="AT1071" s="68"/>
      <c r="AV1071" s="68"/>
      <c r="AW1071" s="68"/>
      <c r="AX1071" s="68"/>
      <c r="AY1071" s="68"/>
    </row>
    <row r="1072" spans="1:54" ht="13" customHeight="1">
      <c r="A1072" s="1"/>
      <c r="B1072" s="1"/>
      <c r="C1072" s="1338"/>
      <c r="D1072" s="1338"/>
      <c r="E1072" s="1298"/>
      <c r="F1072" s="1298"/>
      <c r="G1072" s="1298"/>
      <c r="H1072" s="1298"/>
      <c r="I1072" s="1298"/>
      <c r="J1072" s="1298"/>
      <c r="K1072" s="1298"/>
      <c r="L1072" s="1298"/>
      <c r="M1072" s="1298"/>
      <c r="N1072" s="1298"/>
      <c r="O1072" s="1298"/>
      <c r="P1072" s="1298"/>
      <c r="Q1072" s="1298"/>
      <c r="R1072" s="1298"/>
      <c r="S1072" s="1298"/>
      <c r="T1072" s="1298"/>
      <c r="U1072" s="1298"/>
      <c r="V1072" s="1298"/>
      <c r="W1072" s="1298"/>
      <c r="X1072" s="1298"/>
      <c r="Y1072" s="1298"/>
      <c r="Z1072" s="1298"/>
      <c r="AA1072" s="1298"/>
      <c r="AB1072" s="1298"/>
      <c r="AC1072" s="1298"/>
      <c r="AD1072" s="1298"/>
      <c r="AE1072" s="1298"/>
      <c r="AF1072" s="1298"/>
      <c r="AG1072" s="1298"/>
      <c r="AH1072" s="1298"/>
      <c r="AI1072" s="1298"/>
      <c r="AJ1072" s="1298"/>
      <c r="AK1072" s="1298"/>
      <c r="AL1072" s="1298"/>
      <c r="AM1072" s="1298"/>
      <c r="AN1072" s="1298"/>
      <c r="AO1072" s="1298"/>
      <c r="AP1072" s="1298"/>
      <c r="AQ1072" s="1298"/>
      <c r="AR1072" s="1298"/>
      <c r="AS1072" s="14"/>
      <c r="AT1072" s="68"/>
      <c r="AV1072" s="68"/>
      <c r="AW1072" s="68"/>
      <c r="AX1072" s="68"/>
      <c r="AY1072" s="68"/>
    </row>
    <row r="1073" spans="1:51" ht="13" customHeight="1">
      <c r="A1073" s="1"/>
      <c r="B1073" s="1"/>
      <c r="C1073" s="1338"/>
      <c r="D1073" s="1338"/>
      <c r="E1073" s="1298"/>
      <c r="F1073" s="1298"/>
      <c r="G1073" s="1298"/>
      <c r="H1073" s="1298"/>
      <c r="I1073" s="1298"/>
      <c r="J1073" s="1298"/>
      <c r="K1073" s="1298"/>
      <c r="L1073" s="1298"/>
      <c r="M1073" s="1298"/>
      <c r="N1073" s="1298"/>
      <c r="O1073" s="1298"/>
      <c r="P1073" s="1298"/>
      <c r="Q1073" s="1298"/>
      <c r="R1073" s="1298"/>
      <c r="S1073" s="1298"/>
      <c r="T1073" s="1298"/>
      <c r="U1073" s="1298"/>
      <c r="V1073" s="1298"/>
      <c r="W1073" s="1298"/>
      <c r="X1073" s="1298"/>
      <c r="Y1073" s="1298"/>
      <c r="Z1073" s="1298"/>
      <c r="AA1073" s="1298"/>
      <c r="AB1073" s="1298"/>
      <c r="AC1073" s="1298"/>
      <c r="AD1073" s="1298"/>
      <c r="AE1073" s="1298"/>
      <c r="AF1073" s="1298"/>
      <c r="AG1073" s="1298"/>
      <c r="AH1073" s="1298"/>
      <c r="AI1073" s="1298"/>
      <c r="AJ1073" s="1298"/>
      <c r="AK1073" s="1298"/>
      <c r="AL1073" s="1298"/>
      <c r="AM1073" s="1298"/>
      <c r="AN1073" s="1298"/>
      <c r="AO1073" s="1298"/>
      <c r="AP1073" s="1298"/>
      <c r="AQ1073" s="1298"/>
      <c r="AR1073" s="1298"/>
      <c r="AS1073" s="14"/>
      <c r="AT1073" s="68"/>
      <c r="AV1073" s="68"/>
      <c r="AW1073" s="68"/>
      <c r="AX1073" s="68"/>
      <c r="AY1073" s="68"/>
    </row>
    <row r="1074" spans="1:51" ht="13"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9" t="s">
        <v>591</v>
      </c>
      <c r="B1075" s="1339"/>
      <c r="C1075" s="1338">
        <v>4</v>
      </c>
      <c r="D1075" s="1338"/>
      <c r="E1075" s="1298" t="s">
        <v>1079</v>
      </c>
      <c r="F1075" s="1298"/>
      <c r="G1075" s="1298"/>
      <c r="H1075" s="1298"/>
      <c r="I1075" s="1298"/>
      <c r="J1075" s="1298"/>
      <c r="K1075" s="1298"/>
      <c r="L1075" s="1298"/>
      <c r="M1075" s="1298"/>
      <c r="N1075" s="1298"/>
      <c r="O1075" s="1298"/>
      <c r="P1075" s="1298"/>
      <c r="Q1075" s="1298"/>
      <c r="R1075" s="1298"/>
      <c r="S1075" s="1298"/>
      <c r="T1075" s="1298"/>
      <c r="U1075" s="1298"/>
      <c r="V1075" s="1298"/>
      <c r="W1075" s="1298"/>
      <c r="X1075" s="1298"/>
      <c r="Y1075" s="1298"/>
      <c r="Z1075" s="1298"/>
      <c r="AA1075" s="1298"/>
      <c r="AB1075" s="1298"/>
      <c r="AC1075" s="1298"/>
      <c r="AD1075" s="1298"/>
      <c r="AE1075" s="1298"/>
      <c r="AF1075" s="1298"/>
      <c r="AG1075" s="1298"/>
      <c r="AH1075" s="1298"/>
      <c r="AI1075" s="1298"/>
      <c r="AJ1075" s="1298"/>
      <c r="AK1075" s="1298"/>
      <c r="AL1075" s="1298"/>
      <c r="AM1075" s="1298"/>
      <c r="AN1075" s="1298"/>
      <c r="AO1075" s="1298"/>
      <c r="AP1075" s="1298"/>
      <c r="AQ1075" s="1298"/>
      <c r="AR1075" s="1298"/>
      <c r="AS1075" s="14"/>
      <c r="AT1075" s="68"/>
    </row>
    <row r="1076" spans="1:51" ht="13" customHeight="1">
      <c r="A1076" s="1"/>
      <c r="B1076" s="1"/>
      <c r="C1076" s="1338"/>
      <c r="D1076" s="1338"/>
      <c r="E1076" s="1298"/>
      <c r="F1076" s="1298"/>
      <c r="G1076" s="1298"/>
      <c r="H1076" s="1298"/>
      <c r="I1076" s="1298"/>
      <c r="J1076" s="1298"/>
      <c r="K1076" s="1298"/>
      <c r="L1076" s="1298"/>
      <c r="M1076" s="1298"/>
      <c r="N1076" s="1298"/>
      <c r="O1076" s="1298"/>
      <c r="P1076" s="1298"/>
      <c r="Q1076" s="1298"/>
      <c r="R1076" s="1298"/>
      <c r="S1076" s="1298"/>
      <c r="T1076" s="1298"/>
      <c r="U1076" s="1298"/>
      <c r="V1076" s="1298"/>
      <c r="W1076" s="1298"/>
      <c r="X1076" s="1298"/>
      <c r="Y1076" s="1298"/>
      <c r="Z1076" s="1298"/>
      <c r="AA1076" s="1298"/>
      <c r="AB1076" s="1298"/>
      <c r="AC1076" s="1298"/>
      <c r="AD1076" s="1298"/>
      <c r="AE1076" s="1298"/>
      <c r="AF1076" s="1298"/>
      <c r="AG1076" s="1298"/>
      <c r="AH1076" s="1298"/>
      <c r="AI1076" s="1298"/>
      <c r="AJ1076" s="1298"/>
      <c r="AK1076" s="1298"/>
      <c r="AL1076" s="1298"/>
      <c r="AM1076" s="1298"/>
      <c r="AN1076" s="1298"/>
      <c r="AO1076" s="1298"/>
      <c r="AP1076" s="1298"/>
      <c r="AQ1076" s="1298"/>
      <c r="AR1076" s="1298"/>
      <c r="AS1076" s="14"/>
      <c r="AT1076" s="68"/>
    </row>
    <row r="1077" spans="1:51" ht="13" customHeight="1">
      <c r="A1077" s="1"/>
      <c r="B1077" s="1"/>
      <c r="C1077" s="1338"/>
      <c r="D1077" s="1338"/>
      <c r="E1077" s="1298"/>
      <c r="F1077" s="1298"/>
      <c r="G1077" s="1298"/>
      <c r="H1077" s="1298"/>
      <c r="I1077" s="1298"/>
      <c r="J1077" s="1298"/>
      <c r="K1077" s="1298"/>
      <c r="L1077" s="1298"/>
      <c r="M1077" s="1298"/>
      <c r="N1077" s="1298"/>
      <c r="O1077" s="1298"/>
      <c r="P1077" s="1298"/>
      <c r="Q1077" s="1298"/>
      <c r="R1077" s="1298"/>
      <c r="S1077" s="1298"/>
      <c r="T1077" s="1298"/>
      <c r="U1077" s="1298"/>
      <c r="V1077" s="1298"/>
      <c r="W1077" s="1298"/>
      <c r="X1077" s="1298"/>
      <c r="Y1077" s="1298"/>
      <c r="Z1077" s="1298"/>
      <c r="AA1077" s="1298"/>
      <c r="AB1077" s="1298"/>
      <c r="AC1077" s="1298"/>
      <c r="AD1077" s="1298"/>
      <c r="AE1077" s="1298"/>
      <c r="AF1077" s="1298"/>
      <c r="AG1077" s="1298"/>
      <c r="AH1077" s="1298"/>
      <c r="AI1077" s="1298"/>
      <c r="AJ1077" s="1298"/>
      <c r="AK1077" s="1298"/>
      <c r="AL1077" s="1298"/>
      <c r="AM1077" s="1298"/>
      <c r="AN1077" s="1298"/>
      <c r="AO1077" s="1298"/>
      <c r="AP1077" s="1298"/>
      <c r="AQ1077" s="1298"/>
      <c r="AR1077" s="1298"/>
      <c r="AS1077" s="14"/>
      <c r="AT1077" s="68"/>
    </row>
    <row r="1078" spans="1:51" ht="13" customHeight="1">
      <c r="A1078" s="1"/>
      <c r="B1078" s="1"/>
      <c r="C1078" s="1338"/>
      <c r="D1078" s="1338"/>
      <c r="E1078" s="1298"/>
      <c r="F1078" s="1298"/>
      <c r="G1078" s="1298"/>
      <c r="H1078" s="1298"/>
      <c r="I1078" s="1298"/>
      <c r="J1078" s="1298"/>
      <c r="K1078" s="1298"/>
      <c r="L1078" s="1298"/>
      <c r="M1078" s="1298"/>
      <c r="N1078" s="1298"/>
      <c r="O1078" s="1298"/>
      <c r="P1078" s="1298"/>
      <c r="Q1078" s="1298"/>
      <c r="R1078" s="1298"/>
      <c r="S1078" s="1298"/>
      <c r="T1078" s="1298"/>
      <c r="U1078" s="1298"/>
      <c r="V1078" s="1298"/>
      <c r="W1078" s="1298"/>
      <c r="X1078" s="1298"/>
      <c r="Y1078" s="1298"/>
      <c r="Z1078" s="1298"/>
      <c r="AA1078" s="1298"/>
      <c r="AB1078" s="1298"/>
      <c r="AC1078" s="1298"/>
      <c r="AD1078" s="1298"/>
      <c r="AE1078" s="1298"/>
      <c r="AF1078" s="1298"/>
      <c r="AG1078" s="1298"/>
      <c r="AH1078" s="1298"/>
      <c r="AI1078" s="1298"/>
      <c r="AJ1078" s="1298"/>
      <c r="AK1078" s="1298"/>
      <c r="AL1078" s="1298"/>
      <c r="AM1078" s="1298"/>
      <c r="AN1078" s="1298"/>
      <c r="AO1078" s="1298"/>
      <c r="AP1078" s="1298"/>
      <c r="AQ1078" s="1298"/>
      <c r="AR1078" s="1298"/>
      <c r="AS1078" s="14"/>
      <c r="AT1078" s="68"/>
    </row>
    <row r="1079" spans="1:51" ht="13" customHeight="1">
      <c r="A1079" s="1"/>
      <c r="B1079" s="1"/>
      <c r="C1079" s="1338"/>
      <c r="D1079" s="1338"/>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4"/>
      <c r="AT1079" s="68"/>
    </row>
    <row r="1080" spans="1:51" ht="13"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9" t="s">
        <v>591</v>
      </c>
      <c r="B1081" s="1339"/>
      <c r="C1081" s="1338">
        <v>5</v>
      </c>
      <c r="D1081" s="1338"/>
      <c r="E1081" s="1298" t="s">
        <v>2241</v>
      </c>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4"/>
    </row>
    <row r="1082" spans="1:51" ht="13" customHeight="1">
      <c r="A1082" s="4"/>
      <c r="B1082" s="4"/>
      <c r="C1082" s="1338"/>
      <c r="D1082" s="1338"/>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4"/>
    </row>
    <row r="1083" spans="1:51" ht="13" customHeight="1">
      <c r="A1083" s="4"/>
      <c r="B1083" s="4"/>
      <c r="C1083" s="1338"/>
      <c r="D1083" s="1338"/>
      <c r="E1083" s="1298"/>
      <c r="F1083" s="1298"/>
      <c r="G1083" s="1298"/>
      <c r="H1083" s="1298"/>
      <c r="I1083" s="1298"/>
      <c r="J1083" s="1298"/>
      <c r="K1083" s="1298"/>
      <c r="L1083" s="1298"/>
      <c r="M1083" s="1298"/>
      <c r="N1083" s="1298"/>
      <c r="O1083" s="1298"/>
      <c r="P1083" s="1298"/>
      <c r="Q1083" s="1298"/>
      <c r="R1083" s="1298"/>
      <c r="S1083" s="1298"/>
      <c r="T1083" s="1298"/>
      <c r="U1083" s="1298"/>
      <c r="V1083" s="1298"/>
      <c r="W1083" s="1298"/>
      <c r="X1083" s="1298"/>
      <c r="Y1083" s="1298"/>
      <c r="Z1083" s="1298"/>
      <c r="AA1083" s="1298"/>
      <c r="AB1083" s="1298"/>
      <c r="AC1083" s="1298"/>
      <c r="AD1083" s="1298"/>
      <c r="AE1083" s="1298"/>
      <c r="AF1083" s="1298"/>
      <c r="AG1083" s="1298"/>
      <c r="AH1083" s="1298"/>
      <c r="AI1083" s="1298"/>
      <c r="AJ1083" s="1298"/>
      <c r="AK1083" s="1298"/>
      <c r="AL1083" s="1298"/>
      <c r="AM1083" s="1298"/>
      <c r="AN1083" s="1298"/>
      <c r="AO1083" s="1298"/>
      <c r="AP1083" s="1298"/>
      <c r="AQ1083" s="1298"/>
      <c r="AR1083" s="1298"/>
      <c r="AS1083" s="14"/>
    </row>
    <row r="1084" spans="1:51" ht="13"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9" t="s">
        <v>591</v>
      </c>
      <c r="B1085" s="1339"/>
      <c r="C1085" s="1338">
        <v>6</v>
      </c>
      <c r="D1085" s="1338"/>
      <c r="E1085" s="1298" t="s">
        <v>2242</v>
      </c>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4"/>
    </row>
    <row r="1086" spans="1:51" ht="13" customHeight="1">
      <c r="A1086" s="1"/>
      <c r="B1086" s="1"/>
      <c r="C1086" s="1"/>
      <c r="D1086" s="1"/>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4"/>
    </row>
    <row r="1087" spans="1:51" ht="13" customHeight="1">
      <c r="A1087" s="1"/>
      <c r="B1087" s="1"/>
      <c r="C1087" s="1338"/>
      <c r="D1087" s="1338"/>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4"/>
    </row>
    <row r="1088" spans="1:51" ht="13"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9" t="s">
        <v>591</v>
      </c>
      <c r="B1089" s="1339"/>
      <c r="C1089" s="1338">
        <v>7</v>
      </c>
      <c r="D1089" s="1338"/>
      <c r="E1089" s="1298" t="s">
        <v>2138</v>
      </c>
      <c r="F1089" s="1298"/>
      <c r="G1089" s="1298"/>
      <c r="H1089" s="1298"/>
      <c r="I1089" s="1298"/>
      <c r="J1089" s="1298"/>
      <c r="K1089" s="1298"/>
      <c r="L1089" s="1298"/>
      <c r="M1089" s="1298"/>
      <c r="N1089" s="1298"/>
      <c r="O1089" s="1298"/>
      <c r="P1089" s="1298"/>
      <c r="Q1089" s="1298"/>
      <c r="R1089" s="1298"/>
      <c r="S1089" s="1298"/>
      <c r="T1089" s="1298"/>
      <c r="U1089" s="1298"/>
      <c r="V1089" s="1298"/>
      <c r="W1089" s="1298"/>
      <c r="X1089" s="1298"/>
      <c r="Y1089" s="1298"/>
      <c r="Z1089" s="1298"/>
      <c r="AA1089" s="1298"/>
      <c r="AB1089" s="1298"/>
      <c r="AC1089" s="1298"/>
      <c r="AD1089" s="1298"/>
      <c r="AE1089" s="1298"/>
      <c r="AF1089" s="1298"/>
      <c r="AG1089" s="1298"/>
      <c r="AH1089" s="1298"/>
      <c r="AI1089" s="1298"/>
      <c r="AJ1089" s="1298"/>
      <c r="AK1089" s="1298"/>
      <c r="AL1089" s="1298"/>
      <c r="AM1089" s="1298"/>
      <c r="AN1089" s="1298"/>
      <c r="AO1089" s="1298"/>
      <c r="AP1089" s="1298"/>
      <c r="AQ1089" s="1298"/>
      <c r="AR1089" s="1298"/>
      <c r="AS1089" s="14"/>
    </row>
    <row r="1090" spans="1:45" ht="13" customHeight="1">
      <c r="A1090" s="1"/>
      <c r="B1090" s="1"/>
      <c r="C1090" s="1338"/>
      <c r="D1090" s="1338"/>
      <c r="E1090" s="1298"/>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4"/>
    </row>
    <row r="1091" spans="1:45" ht="13" customHeight="1">
      <c r="A1091" s="1"/>
      <c r="B1091" s="1"/>
      <c r="C1091" s="1338"/>
      <c r="D1091" s="1338"/>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4"/>
    </row>
    <row r="1092" spans="1:45" ht="13"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9" t="s">
        <v>591</v>
      </c>
      <c r="B1094" s="1339"/>
      <c r="C1094" s="1338">
        <v>8</v>
      </c>
      <c r="D1094" s="1338"/>
      <c r="E1094" s="1298" t="s">
        <v>1073</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row>
    <row r="1095" spans="1:45" ht="13" customHeight="1">
      <c r="A1095" s="35"/>
      <c r="B1095" s="25"/>
      <c r="C1095" s="1338"/>
      <c r="D1095" s="1338"/>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row>
    <row r="1096" spans="1:45" ht="13"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9" t="s">
        <v>591</v>
      </c>
      <c r="B1097" s="1339"/>
      <c r="C1097" s="1340">
        <v>9</v>
      </c>
      <c r="D1097" s="1340"/>
      <c r="E1097" s="1298" t="s">
        <v>1075</v>
      </c>
      <c r="F1097" s="1298"/>
      <c r="G1097" s="1298"/>
      <c r="H1097" s="1298"/>
      <c r="I1097" s="1298"/>
      <c r="J1097" s="1298"/>
      <c r="K1097" s="1298"/>
      <c r="L1097" s="1298"/>
      <c r="M1097" s="1298"/>
      <c r="N1097" s="1298"/>
      <c r="O1097" s="1298"/>
      <c r="P1097" s="1298"/>
      <c r="Q1097" s="1298"/>
      <c r="R1097" s="1298"/>
      <c r="S1097" s="1298"/>
      <c r="T1097" s="1298"/>
      <c r="U1097" s="1298"/>
      <c r="V1097" s="1298"/>
      <c r="W1097" s="1298"/>
      <c r="X1097" s="1298"/>
      <c r="Y1097" s="1298"/>
      <c r="Z1097" s="1298"/>
      <c r="AA1097" s="1298"/>
      <c r="AB1097" s="1298"/>
      <c r="AC1097" s="1298"/>
      <c r="AD1097" s="1298"/>
      <c r="AE1097" s="1298"/>
      <c r="AF1097" s="1298"/>
      <c r="AG1097" s="1298"/>
      <c r="AH1097" s="1298"/>
      <c r="AI1097" s="1298"/>
      <c r="AJ1097" s="1298"/>
      <c r="AK1097" s="1298"/>
      <c r="AL1097" s="1298"/>
      <c r="AM1097" s="1298"/>
      <c r="AN1097" s="1298"/>
      <c r="AO1097" s="1298"/>
      <c r="AP1097" s="1298"/>
      <c r="AQ1097" s="1298"/>
      <c r="AR1097" s="1298"/>
    </row>
    <row r="1098" spans="1:45" ht="13" customHeight="1">
      <c r="A1098" s="1"/>
      <c r="B1098" s="1"/>
      <c r="C1098" s="1340"/>
      <c r="D1098" s="1340"/>
      <c r="E1098" s="1298"/>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row>
    <row r="1099" spans="1:45" ht="13" customHeight="1">
      <c r="A1099" s="35"/>
      <c r="B1099" s="25"/>
      <c r="C1099" s="1340"/>
      <c r="D1099" s="134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9" t="s">
        <v>591</v>
      </c>
      <c r="B1100" s="1339"/>
      <c r="C1100" s="1340">
        <v>10</v>
      </c>
      <c r="D1100" s="1340"/>
      <c r="E1100" s="1341" t="s">
        <v>2238</v>
      </c>
      <c r="F1100" s="1341"/>
      <c r="G1100" s="1341"/>
      <c r="H1100" s="1341"/>
      <c r="I1100" s="1341"/>
      <c r="J1100" s="1341"/>
      <c r="K1100" s="1341"/>
      <c r="L1100" s="1341"/>
      <c r="M1100" s="1341"/>
      <c r="N1100" s="1341"/>
      <c r="O1100" s="1341"/>
      <c r="P1100" s="1341"/>
      <c r="Q1100" s="1341"/>
      <c r="R1100" s="1341"/>
      <c r="S1100" s="1341"/>
      <c r="T1100" s="1341"/>
      <c r="U1100" s="1341"/>
      <c r="V1100" s="1341"/>
      <c r="W1100" s="1341"/>
      <c r="X1100" s="1341"/>
      <c r="Y1100" s="1341"/>
      <c r="Z1100" s="1341"/>
      <c r="AA1100" s="1341"/>
      <c r="AB1100" s="1341"/>
      <c r="AC1100" s="1341"/>
      <c r="AD1100" s="1341"/>
      <c r="AE1100" s="1341"/>
      <c r="AF1100" s="1341"/>
      <c r="AG1100" s="1341"/>
      <c r="AH1100" s="1341"/>
      <c r="AI1100" s="1341"/>
      <c r="AJ1100" s="1341"/>
      <c r="AK1100" s="1341"/>
      <c r="AL1100" s="1341"/>
      <c r="AM1100" s="1341"/>
      <c r="AN1100" s="1341"/>
      <c r="AO1100" s="1341"/>
      <c r="AP1100" s="1341"/>
      <c r="AQ1100" s="1341"/>
      <c r="AR1100" s="1341"/>
    </row>
    <row r="1101" spans="1:45" ht="13" customHeight="1">
      <c r="A1101" s="1"/>
      <c r="B1101" s="1"/>
      <c r="C1101" s="199"/>
      <c r="D1101" s="1161"/>
      <c r="E1101" s="1341"/>
      <c r="F1101" s="1341"/>
      <c r="G1101" s="1341"/>
      <c r="H1101" s="1341"/>
      <c r="I1101" s="1341"/>
      <c r="J1101" s="1341"/>
      <c r="K1101" s="1341"/>
      <c r="L1101" s="1341"/>
      <c r="M1101" s="1341"/>
      <c r="N1101" s="1341"/>
      <c r="O1101" s="1341"/>
      <c r="P1101" s="1341"/>
      <c r="Q1101" s="1341"/>
      <c r="R1101" s="1341"/>
      <c r="S1101" s="1341"/>
      <c r="T1101" s="1341"/>
      <c r="U1101" s="1341"/>
      <c r="V1101" s="1341"/>
      <c r="W1101" s="1341"/>
      <c r="X1101" s="1341"/>
      <c r="Y1101" s="1341"/>
      <c r="Z1101" s="1341"/>
      <c r="AA1101" s="1341"/>
      <c r="AB1101" s="1341"/>
      <c r="AC1101" s="1341"/>
      <c r="AD1101" s="1341"/>
      <c r="AE1101" s="1341"/>
      <c r="AF1101" s="1341"/>
      <c r="AG1101" s="1341"/>
      <c r="AH1101" s="1341"/>
      <c r="AI1101" s="1341"/>
      <c r="AJ1101" s="1341"/>
      <c r="AK1101" s="1341"/>
      <c r="AL1101" s="1341"/>
      <c r="AM1101" s="1341"/>
      <c r="AN1101" s="1341"/>
      <c r="AO1101" s="1341"/>
      <c r="AP1101" s="1341"/>
      <c r="AQ1101" s="1341"/>
      <c r="AR1101" s="1341"/>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9" t="s">
        <v>591</v>
      </c>
      <c r="B1103" s="1339"/>
      <c r="C1103" s="1340">
        <v>11</v>
      </c>
      <c r="D1103" s="1340"/>
      <c r="E1103" s="1341" t="s">
        <v>2240</v>
      </c>
      <c r="F1103" s="1341"/>
      <c r="G1103" s="1341"/>
      <c r="H1103" s="1341"/>
      <c r="I1103" s="1341"/>
      <c r="J1103" s="1341"/>
      <c r="K1103" s="1341"/>
      <c r="L1103" s="1341"/>
      <c r="M1103" s="1341"/>
      <c r="N1103" s="1341"/>
      <c r="O1103" s="1341"/>
      <c r="P1103" s="1341"/>
      <c r="Q1103" s="1341"/>
      <c r="R1103" s="1341"/>
      <c r="S1103" s="1341"/>
      <c r="T1103" s="1341"/>
      <c r="U1103" s="1341"/>
      <c r="V1103" s="1341"/>
      <c r="W1103" s="1341"/>
      <c r="X1103" s="1341"/>
      <c r="Y1103" s="1341"/>
      <c r="Z1103" s="1341"/>
      <c r="AA1103" s="1341"/>
      <c r="AB1103" s="1341"/>
      <c r="AC1103" s="1341"/>
      <c r="AD1103" s="1341"/>
      <c r="AE1103" s="1341"/>
      <c r="AF1103" s="1341"/>
      <c r="AG1103" s="1341"/>
      <c r="AH1103" s="1341"/>
      <c r="AI1103" s="1341"/>
      <c r="AJ1103" s="1341"/>
      <c r="AK1103" s="1341"/>
      <c r="AL1103" s="1341"/>
      <c r="AM1103" s="1341"/>
      <c r="AN1103" s="1341"/>
      <c r="AO1103" s="1341"/>
      <c r="AP1103" s="1341"/>
      <c r="AQ1103" s="1341"/>
      <c r="AR1103" s="1341"/>
    </row>
    <row r="1104" spans="1:45" ht="13" customHeight="1">
      <c r="A1104" s="1"/>
      <c r="B1104" s="1"/>
      <c r="C1104" s="199"/>
      <c r="D1104" s="1161"/>
      <c r="E1104" s="1341"/>
      <c r="F1104" s="1341"/>
      <c r="G1104" s="1341"/>
      <c r="H1104" s="1341"/>
      <c r="I1104" s="1341"/>
      <c r="J1104" s="1341"/>
      <c r="K1104" s="1341"/>
      <c r="L1104" s="1341"/>
      <c r="M1104" s="1341"/>
      <c r="N1104" s="1341"/>
      <c r="O1104" s="1341"/>
      <c r="P1104" s="1341"/>
      <c r="Q1104" s="1341"/>
      <c r="R1104" s="1341"/>
      <c r="S1104" s="1341"/>
      <c r="T1104" s="1341"/>
      <c r="U1104" s="1341"/>
      <c r="V1104" s="1341"/>
      <c r="W1104" s="1341"/>
      <c r="X1104" s="1341"/>
      <c r="Y1104" s="1341"/>
      <c r="Z1104" s="1341"/>
      <c r="AA1104" s="1341"/>
      <c r="AB1104" s="1341"/>
      <c r="AC1104" s="1341"/>
      <c r="AD1104" s="1341"/>
      <c r="AE1104" s="1341"/>
      <c r="AF1104" s="1341"/>
      <c r="AG1104" s="1341"/>
      <c r="AH1104" s="1341"/>
      <c r="AI1104" s="1341"/>
      <c r="AJ1104" s="1341"/>
      <c r="AK1104" s="1341"/>
      <c r="AL1104" s="1341"/>
      <c r="AM1104" s="1341"/>
      <c r="AN1104" s="1341"/>
      <c r="AO1104" s="1341"/>
      <c r="AP1104" s="1341"/>
      <c r="AQ1104" s="1341"/>
      <c r="AR1104" s="1341"/>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9" t="s">
        <v>591</v>
      </c>
      <c r="B1125" s="1339"/>
      <c r="C1125" s="199">
        <v>9</v>
      </c>
      <c r="D1125" s="1268" t="s">
        <v>1074</v>
      </c>
      <c r="E1125" s="1268"/>
      <c r="F1125" s="1268"/>
      <c r="G1125" s="1268"/>
      <c r="H1125" s="1268"/>
      <c r="I1125" s="1268"/>
      <c r="J1125" s="1268"/>
      <c r="K1125" s="1268"/>
      <c r="L1125" s="1268"/>
      <c r="M1125" s="1268"/>
      <c r="N1125" s="1268"/>
      <c r="O1125" s="1268"/>
      <c r="P1125" s="1268"/>
      <c r="Q1125" s="1268"/>
      <c r="R1125" s="1268"/>
      <c r="S1125" s="1268"/>
      <c r="T1125" s="1268"/>
      <c r="U1125" s="1268"/>
      <c r="V1125" s="1268"/>
      <c r="W1125" s="1268"/>
      <c r="X1125" s="1268"/>
      <c r="Y1125" s="1268"/>
      <c r="Z1125" s="1268"/>
      <c r="AA1125" s="1268"/>
      <c r="AB1125" s="1268"/>
      <c r="AC1125" s="1268"/>
      <c r="AD1125" s="1268"/>
      <c r="AE1125" s="1268"/>
      <c r="AF1125" s="1268"/>
      <c r="AG1125" s="1268"/>
      <c r="AH1125" s="1268"/>
      <c r="AI1125" s="1268"/>
      <c r="AJ1125" s="1268"/>
      <c r="AK1125" s="1268"/>
    </row>
    <row r="1126" spans="1:37" ht="0" hidden="1" customHeight="1">
      <c r="A1126" s="35"/>
      <c r="B1126" s="25"/>
      <c r="C1126" s="199"/>
      <c r="D1126" s="1268"/>
      <c r="E1126" s="1268"/>
      <c r="F1126" s="1268"/>
      <c r="G1126" s="1268"/>
      <c r="H1126" s="1268"/>
      <c r="I1126" s="1268"/>
      <c r="J1126" s="1268"/>
      <c r="K1126" s="1268"/>
      <c r="L1126" s="1268"/>
      <c r="M1126" s="1268"/>
      <c r="N1126" s="1268"/>
      <c r="O1126" s="1268"/>
      <c r="P1126" s="1268"/>
      <c r="Q1126" s="1268"/>
      <c r="R1126" s="1268"/>
      <c r="S1126" s="1268"/>
      <c r="T1126" s="1268"/>
      <c r="U1126" s="1268"/>
      <c r="V1126" s="1268"/>
      <c r="W1126" s="1268"/>
      <c r="X1126" s="1268"/>
      <c r="Y1126" s="1268"/>
      <c r="Z1126" s="1268"/>
      <c r="AA1126" s="1268"/>
      <c r="AB1126" s="1268"/>
      <c r="AC1126" s="1268"/>
      <c r="AD1126" s="1268"/>
      <c r="AE1126" s="1268"/>
      <c r="AF1126" s="1268"/>
      <c r="AG1126" s="1268"/>
      <c r="AH1126" s="1268"/>
      <c r="AI1126" s="1268"/>
      <c r="AJ1126" s="1268"/>
      <c r="AK1126" s="1268"/>
    </row>
    <row r="1127" spans="1:37" ht="0" hidden="1" customHeight="1">
      <c r="D1127" s="1268"/>
      <c r="E1127" s="1268"/>
      <c r="F1127" s="1268"/>
      <c r="G1127" s="1268"/>
      <c r="H1127" s="1268"/>
      <c r="I1127" s="1268"/>
      <c r="J1127" s="1268"/>
      <c r="K1127" s="1268"/>
      <c r="L1127" s="1268"/>
      <c r="M1127" s="1268"/>
      <c r="N1127" s="1268"/>
      <c r="O1127" s="1268"/>
      <c r="P1127" s="1268"/>
      <c r="Q1127" s="1268"/>
      <c r="R1127" s="1268"/>
      <c r="S1127" s="1268"/>
      <c r="T1127" s="1268"/>
      <c r="U1127" s="1268"/>
      <c r="V1127" s="1268"/>
      <c r="W1127" s="1268"/>
      <c r="X1127" s="1268"/>
      <c r="Y1127" s="1268"/>
      <c r="Z1127" s="1268"/>
      <c r="AA1127" s="1268"/>
      <c r="AB1127" s="1268"/>
      <c r="AC1127" s="1268"/>
      <c r="AD1127" s="1268"/>
      <c r="AE1127" s="1268"/>
      <c r="AF1127" s="1268"/>
      <c r="AG1127" s="1268"/>
      <c r="AH1127" s="1268"/>
      <c r="AI1127" s="1268"/>
      <c r="AJ1127" s="1268"/>
      <c r="AK1127" s="1268"/>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5">
    <mergeCell ref="EO787:ES787"/>
    <mergeCell ref="DZ797:ED797"/>
    <mergeCell ref="DE795:DI795"/>
    <mergeCell ref="DE796:DI796"/>
    <mergeCell ref="DE797:DI797"/>
    <mergeCell ref="DJ787:DN787"/>
    <mergeCell ref="DJ788:DN788"/>
    <mergeCell ref="DZ787:ED787"/>
    <mergeCell ref="DZ788:ED788"/>
    <mergeCell ref="DZ789:ED789"/>
    <mergeCell ref="DZ790:ED790"/>
    <mergeCell ref="DZ791:ED791"/>
    <mergeCell ref="DZ792:ED792"/>
    <mergeCell ref="DZ793:ED793"/>
    <mergeCell ref="DZ794:ED794"/>
    <mergeCell ref="DZ795:ED795"/>
    <mergeCell ref="DZ796:ED796"/>
    <mergeCell ref="EE791:EI791"/>
    <mergeCell ref="EE792:EI792"/>
    <mergeCell ref="EE793:EI793"/>
    <mergeCell ref="EE794:EI794"/>
    <mergeCell ref="EO788:ES788"/>
    <mergeCell ref="EO789:ES789"/>
    <mergeCell ref="EO790:ES790"/>
    <mergeCell ref="EO791:ES791"/>
    <mergeCell ref="EO792:ES792"/>
    <mergeCell ref="EO793:ES793"/>
    <mergeCell ref="EO794:ES794"/>
    <mergeCell ref="EO795:ES795"/>
    <mergeCell ref="EO797:ES797"/>
    <mergeCell ref="EO796:ES796"/>
    <mergeCell ref="DO791:DS791"/>
    <mergeCell ref="EJ788:EN788"/>
    <mergeCell ref="EJ789:EN789"/>
    <mergeCell ref="EJ790:EN790"/>
    <mergeCell ref="EJ791:EN791"/>
    <mergeCell ref="EJ792:EN792"/>
    <mergeCell ref="EJ793:EN793"/>
    <mergeCell ref="EJ794:EN794"/>
    <mergeCell ref="EJ795:EN795"/>
    <mergeCell ref="EJ796:EN796"/>
    <mergeCell ref="EJ797:EN797"/>
    <mergeCell ref="DU795:DY795"/>
    <mergeCell ref="DU796:DY796"/>
    <mergeCell ref="DE789:DI789"/>
    <mergeCell ref="DO787:DS787"/>
    <mergeCell ref="DO788:DS788"/>
    <mergeCell ref="DO789:DS789"/>
    <mergeCell ref="DO790:DS790"/>
    <mergeCell ref="DO793:DS793"/>
    <mergeCell ref="DO794:DS794"/>
    <mergeCell ref="DO795:DS795"/>
    <mergeCell ref="DO796:DS796"/>
    <mergeCell ref="DO797:DS797"/>
    <mergeCell ref="EE795:EI795"/>
    <mergeCell ref="EE796:EI796"/>
    <mergeCell ref="EE797:EI797"/>
    <mergeCell ref="EE790:EI790"/>
    <mergeCell ref="DU797:DY797"/>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EE787:EI787"/>
    <mergeCell ref="EE788:EI788"/>
    <mergeCell ref="EE789:EI789"/>
    <mergeCell ref="DO802:DS802"/>
    <mergeCell ref="EJ787:EN787"/>
    <mergeCell ref="DU787:DY787"/>
    <mergeCell ref="DU788:DY788"/>
    <mergeCell ref="DU789:DY789"/>
    <mergeCell ref="DU790:DY790"/>
    <mergeCell ref="DU791:DY791"/>
    <mergeCell ref="DU792:DY792"/>
    <mergeCell ref="DU793:DY793"/>
    <mergeCell ref="DU794:DY794"/>
    <mergeCell ref="CP794:CT794"/>
    <mergeCell ref="CP795:CT795"/>
    <mergeCell ref="CP796:CT796"/>
    <mergeCell ref="CP793:CT793"/>
    <mergeCell ref="CP792:CT792"/>
    <mergeCell ref="CP791:CT791"/>
    <mergeCell ref="CP790:CT790"/>
    <mergeCell ref="DJ775:DN775"/>
    <mergeCell ref="DO792:DS792"/>
    <mergeCell ref="DE787:DI787"/>
    <mergeCell ref="DE788:DI788"/>
    <mergeCell ref="CP797:CT797"/>
    <mergeCell ref="CU776:CY776"/>
    <mergeCell ref="CZ797:DD797"/>
    <mergeCell ref="DE790:DI790"/>
    <mergeCell ref="DE791:DI791"/>
    <mergeCell ref="DE792:DI792"/>
    <mergeCell ref="DE793:DI793"/>
    <mergeCell ref="DE794:DI794"/>
    <mergeCell ref="DO777:DS777"/>
    <mergeCell ref="CP789:CT789"/>
    <mergeCell ref="CP787:CT787"/>
    <mergeCell ref="DJ789:DN789"/>
    <mergeCell ref="DJ790:DN790"/>
    <mergeCell ref="DJ791:DN791"/>
    <mergeCell ref="DJ792:DN792"/>
    <mergeCell ref="DJ793:DN793"/>
    <mergeCell ref="DJ794:DN794"/>
    <mergeCell ref="DJ795:DN795"/>
    <mergeCell ref="DJ796:DN796"/>
    <mergeCell ref="DJ797:DN797"/>
    <mergeCell ref="CU789:CY789"/>
    <mergeCell ref="CU790:CY790"/>
    <mergeCell ref="CU791:CY791"/>
    <mergeCell ref="CU792:CY792"/>
    <mergeCell ref="CU793:CY793"/>
    <mergeCell ref="CU794:CY794"/>
    <mergeCell ref="CU795:CY795"/>
    <mergeCell ref="CU796:CY796"/>
    <mergeCell ref="CU797:CY797"/>
    <mergeCell ref="CZ789:DD789"/>
    <mergeCell ref="CZ790:DD790"/>
    <mergeCell ref="CZ791:DD791"/>
    <mergeCell ref="CZ792:DD792"/>
    <mergeCell ref="CZ793:DD793"/>
    <mergeCell ref="CZ794:DD794"/>
    <mergeCell ref="CZ795:DD795"/>
    <mergeCell ref="CZ796:DD796"/>
    <mergeCell ref="CU787:CY787"/>
    <mergeCell ref="CU788:CY788"/>
    <mergeCell ref="CZ787:DD787"/>
    <mergeCell ref="CZ788:DD788"/>
    <mergeCell ref="CM748:CN748"/>
    <mergeCell ref="CG749:CH749"/>
    <mergeCell ref="CK752:CL752"/>
    <mergeCell ref="CP747:CT747"/>
    <mergeCell ref="CZ732:DD732"/>
    <mergeCell ref="CK744:CL744"/>
    <mergeCell ref="CM744:CN744"/>
    <mergeCell ref="CP777:CT777"/>
    <mergeCell ref="CP773:CT773"/>
    <mergeCell ref="CU752:CY752"/>
    <mergeCell ref="CZ745:DD745"/>
    <mergeCell ref="AK737:AO737"/>
    <mergeCell ref="CI752:CJ752"/>
    <mergeCell ref="AK747:AO747"/>
    <mergeCell ref="CU751:CY751"/>
    <mergeCell ref="CP746:CT746"/>
    <mergeCell ref="CP750:CT750"/>
    <mergeCell ref="CU750:CY750"/>
    <mergeCell ref="CP751:CT751"/>
    <mergeCell ref="CM751:CN751"/>
    <mergeCell ref="CI753:CJ753"/>
    <mergeCell ref="CM753:CN753"/>
    <mergeCell ref="AK743:AO743"/>
    <mergeCell ref="AK744:AO744"/>
    <mergeCell ref="CP748:CT748"/>
    <mergeCell ref="CU748:CY748"/>
    <mergeCell ref="CU746:CY746"/>
    <mergeCell ref="CK733:CL733"/>
    <mergeCell ref="CK737:CL737"/>
    <mergeCell ref="CG732:CH732"/>
    <mergeCell ref="CG748:CH748"/>
    <mergeCell ref="CG738:CH738"/>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46:DI746"/>
    <mergeCell ref="ET752:EX752"/>
    <mergeCell ref="EO751:ES751"/>
    <mergeCell ref="CZ752:DD752"/>
    <mergeCell ref="ET753:EX753"/>
    <mergeCell ref="CG745:CH745"/>
    <mergeCell ref="CI745:CJ745"/>
    <mergeCell ref="CK751:CL751"/>
    <mergeCell ref="DE750:DI750"/>
    <mergeCell ref="DJ750:DN750"/>
    <mergeCell ref="CI750:CJ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T749:EX749"/>
    <mergeCell ref="DU750:DY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EE749:EI749"/>
    <mergeCell ref="EJ749:EN749"/>
    <mergeCell ref="FJ746:FN746"/>
    <mergeCell ref="FO746:FS746"/>
    <mergeCell ref="EO749:ES749"/>
    <mergeCell ref="EE747:EI747"/>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CP745:CT745"/>
    <mergeCell ref="CM746:CN746"/>
    <mergeCell ref="CZ741:DD741"/>
    <mergeCell ref="DE745:DI745"/>
    <mergeCell ref="FT741:FX741"/>
    <mergeCell ref="CI748:CJ748"/>
    <mergeCell ref="CK742:CL742"/>
    <mergeCell ref="CK748:CL748"/>
    <mergeCell ref="EW636:FA636"/>
    <mergeCell ref="ER637:EV637"/>
    <mergeCell ref="AH534:AK534"/>
    <mergeCell ref="AC538:AF538"/>
    <mergeCell ref="C555:L555"/>
    <mergeCell ref="AH540:AK540"/>
    <mergeCell ref="M551:P553"/>
    <mergeCell ref="AC536:AF536"/>
    <mergeCell ref="AC542:AF542"/>
    <mergeCell ref="AH535:AK535"/>
    <mergeCell ref="Z554:AD554"/>
    <mergeCell ref="Z559:AD559"/>
    <mergeCell ref="Z562:AD562"/>
    <mergeCell ref="W557:Y557"/>
    <mergeCell ref="AE557:AH557"/>
    <mergeCell ref="T562:V562"/>
    <mergeCell ref="T554:V554"/>
    <mergeCell ref="C557:L557"/>
    <mergeCell ref="C627:L627"/>
    <mergeCell ref="Z551:AD553"/>
    <mergeCell ref="Z579:AK579"/>
    <mergeCell ref="Z578:AK578"/>
    <mergeCell ref="Z580:AK580"/>
    <mergeCell ref="Z610:AK610"/>
    <mergeCell ref="C561:L561"/>
    <mergeCell ref="AI564:AL564"/>
    <mergeCell ref="T561:V561"/>
    <mergeCell ref="W559:Y559"/>
    <mergeCell ref="B566:AL566"/>
    <mergeCell ref="AE560:AH560"/>
    <mergeCell ref="W560:Y560"/>
    <mergeCell ref="C556:L556"/>
    <mergeCell ref="CZ744:DD744"/>
    <mergeCell ref="AK732:AO732"/>
    <mergeCell ref="AK733:AO733"/>
    <mergeCell ref="AK734:AO734"/>
    <mergeCell ref="AK735:AO735"/>
    <mergeCell ref="CI743:CJ743"/>
    <mergeCell ref="AH506:AK506"/>
    <mergeCell ref="AH508:AK508"/>
    <mergeCell ref="AC500:AF500"/>
    <mergeCell ref="AH532:AK532"/>
    <mergeCell ref="AC522:AF522"/>
    <mergeCell ref="AC524:AF524"/>
    <mergeCell ref="D470:V470"/>
    <mergeCell ref="M554:P554"/>
    <mergeCell ref="M627:P627"/>
    <mergeCell ref="AO629:AS629"/>
    <mergeCell ref="AO638:AS638"/>
    <mergeCell ref="R705:T705"/>
    <mergeCell ref="P655:R655"/>
    <mergeCell ref="T714:W717"/>
    <mergeCell ref="G646:R646"/>
    <mergeCell ref="Z652:AK652"/>
    <mergeCell ref="CI742:CJ742"/>
    <mergeCell ref="AG441:AJ441"/>
    <mergeCell ref="AC515:AF515"/>
    <mergeCell ref="AC514:AF514"/>
    <mergeCell ref="AH538:AK538"/>
    <mergeCell ref="DZ741:ED741"/>
    <mergeCell ref="DJ747:DN747"/>
    <mergeCell ref="DO747:DS747"/>
    <mergeCell ref="CK743:CL743"/>
    <mergeCell ref="CM743:CN743"/>
    <mergeCell ref="CP740:CT740"/>
    <mergeCell ref="CZ733:DD733"/>
    <mergeCell ref="CZ736:DD736"/>
    <mergeCell ref="CM731:CN731"/>
    <mergeCell ref="X743:AB743"/>
    <mergeCell ref="X744:AB744"/>
    <mergeCell ref="AH743:AJ743"/>
    <mergeCell ref="AH744:AJ744"/>
    <mergeCell ref="X738:AB738"/>
    <mergeCell ref="X729:AB729"/>
    <mergeCell ref="AC501:AF501"/>
    <mergeCell ref="AM560:AS560"/>
    <mergeCell ref="AM557:AS557"/>
    <mergeCell ref="DU745:DY745"/>
    <mergeCell ref="DZ745:ED745"/>
    <mergeCell ref="DX666:EB666"/>
    <mergeCell ref="EC666:EG666"/>
    <mergeCell ref="Q494:AK494"/>
    <mergeCell ref="AM554:AS554"/>
    <mergeCell ref="AE551:AH553"/>
    <mergeCell ref="AI551:AL553"/>
    <mergeCell ref="AM555:AS555"/>
    <mergeCell ref="AO639:AS639"/>
    <mergeCell ref="AG438:AJ438"/>
    <mergeCell ref="B501:H502"/>
    <mergeCell ref="O523:AA523"/>
    <mergeCell ref="AH513:AK513"/>
    <mergeCell ref="AC531:AF531"/>
    <mergeCell ref="AC539:AF539"/>
    <mergeCell ref="L508:AB508"/>
    <mergeCell ref="O520:AA520"/>
    <mergeCell ref="AH518:AK518"/>
    <mergeCell ref="AH514:AK514"/>
    <mergeCell ref="AH539:AK539"/>
    <mergeCell ref="AH541:AK541"/>
    <mergeCell ref="AC535:AF535"/>
    <mergeCell ref="Q551:S553"/>
    <mergeCell ref="T551:V553"/>
    <mergeCell ref="AH510:AK510"/>
    <mergeCell ref="AH529:AK529"/>
    <mergeCell ref="AC510:AF510"/>
    <mergeCell ref="AC521:AF521"/>
    <mergeCell ref="AH527:AK527"/>
    <mergeCell ref="AC517:AF517"/>
    <mergeCell ref="AG443:AJ443"/>
    <mergeCell ref="AG444:AJ444"/>
    <mergeCell ref="AC541:AF541"/>
    <mergeCell ref="D440:AF440"/>
    <mergeCell ref="AC526:AF526"/>
    <mergeCell ref="AH503:AK503"/>
    <mergeCell ref="AC537:AF537"/>
    <mergeCell ref="AC540:AF540"/>
    <mergeCell ref="AH537:AK537"/>
    <mergeCell ref="AC534:AF534"/>
    <mergeCell ref="AH542:AK542"/>
    <mergeCell ref="CK746:CL746"/>
    <mergeCell ref="CG739:CH739"/>
    <mergeCell ref="CG740:CH740"/>
    <mergeCell ref="B723:F723"/>
    <mergeCell ref="W554:Y554"/>
    <mergeCell ref="W555:Y555"/>
    <mergeCell ref="T555:V555"/>
    <mergeCell ref="Z556:AD556"/>
    <mergeCell ref="AI555:AL555"/>
    <mergeCell ref="K714:N717"/>
    <mergeCell ref="G721:J721"/>
    <mergeCell ref="G722:J722"/>
    <mergeCell ref="Z644:AK644"/>
    <mergeCell ref="Z645:AK645"/>
    <mergeCell ref="Z646:AK646"/>
    <mergeCell ref="AG673:AH673"/>
    <mergeCell ref="G671:L671"/>
    <mergeCell ref="T738:W738"/>
    <mergeCell ref="CI717:CJ717"/>
    <mergeCell ref="J704:X704"/>
    <mergeCell ref="K720:N720"/>
    <mergeCell ref="AK727:AO727"/>
    <mergeCell ref="AH724:AJ724"/>
    <mergeCell ref="B741:F741"/>
    <mergeCell ref="AH748:AJ748"/>
    <mergeCell ref="X741:AB741"/>
    <mergeCell ref="B742:F742"/>
    <mergeCell ref="AE555:AH555"/>
    <mergeCell ref="Q555:S555"/>
    <mergeCell ref="AI558:AL558"/>
    <mergeCell ref="Q557:S557"/>
    <mergeCell ref="Z557:AD557"/>
    <mergeCell ref="G660:R660"/>
    <mergeCell ref="Z661:AK661"/>
    <mergeCell ref="Z662:AK662"/>
    <mergeCell ref="H664:R664"/>
    <mergeCell ref="G662:R662"/>
    <mergeCell ref="N657:O657"/>
    <mergeCell ref="Z660:AK660"/>
    <mergeCell ref="N673:O673"/>
    <mergeCell ref="Z677:AK677"/>
    <mergeCell ref="AG681:AH681"/>
    <mergeCell ref="G663:L663"/>
    <mergeCell ref="N649:O649"/>
    <mergeCell ref="Z655:AE655"/>
    <mergeCell ref="Z687:AE687"/>
    <mergeCell ref="AH718:AJ718"/>
    <mergeCell ref="AC718:AG718"/>
    <mergeCell ref="Z683:AK683"/>
    <mergeCell ref="AA688:AK688"/>
    <mergeCell ref="H672:R672"/>
    <mergeCell ref="O720:S720"/>
    <mergeCell ref="AG575:AH575"/>
    <mergeCell ref="Z571:AK571"/>
    <mergeCell ref="B743:F743"/>
    <mergeCell ref="G669:R669"/>
    <mergeCell ref="AF630:AJ630"/>
    <mergeCell ref="AK634:AN634"/>
    <mergeCell ref="Z633:AB633"/>
    <mergeCell ref="CK720:CL720"/>
    <mergeCell ref="W630:Y630"/>
    <mergeCell ref="N583:O583"/>
    <mergeCell ref="AC528:AF528"/>
    <mergeCell ref="D446:AF446"/>
    <mergeCell ref="D447:AF447"/>
    <mergeCell ref="W466:Y466"/>
    <mergeCell ref="T634:V634"/>
    <mergeCell ref="AF634:AJ634"/>
    <mergeCell ref="O532:AA532"/>
    <mergeCell ref="B551:L553"/>
    <mergeCell ref="AH505:AK505"/>
    <mergeCell ref="M635:P635"/>
    <mergeCell ref="M555:P555"/>
    <mergeCell ref="AC505:AF505"/>
    <mergeCell ref="AH522:AK522"/>
    <mergeCell ref="D468:V468"/>
    <mergeCell ref="AC512:AF512"/>
    <mergeCell ref="B489:P490"/>
    <mergeCell ref="AC506:AF506"/>
    <mergeCell ref="Q489:R490"/>
    <mergeCell ref="E707:AK707"/>
    <mergeCell ref="W706:AK706"/>
    <mergeCell ref="H680:R680"/>
    <mergeCell ref="Z668:AK668"/>
    <mergeCell ref="G676:R676"/>
    <mergeCell ref="AC455:AF455"/>
    <mergeCell ref="F457:AB458"/>
    <mergeCell ref="D466:V466"/>
    <mergeCell ref="AI557:AL557"/>
    <mergeCell ref="AI572:AK572"/>
    <mergeCell ref="T564:V564"/>
    <mergeCell ref="AI554:AL554"/>
    <mergeCell ref="Q554:S554"/>
    <mergeCell ref="CZ717:DD717"/>
    <mergeCell ref="AC637:AE637"/>
    <mergeCell ref="CP722:CT722"/>
    <mergeCell ref="CP718:CT718"/>
    <mergeCell ref="CI718:CJ718"/>
    <mergeCell ref="W637:Y637"/>
    <mergeCell ref="AG657:AH657"/>
    <mergeCell ref="T720:W720"/>
    <mergeCell ref="AA573:AK573"/>
    <mergeCell ref="G580:R580"/>
    <mergeCell ref="W561:Y561"/>
    <mergeCell ref="W562:Y562"/>
    <mergeCell ref="AI556:AL556"/>
    <mergeCell ref="T559:V559"/>
    <mergeCell ref="T557:V557"/>
    <mergeCell ref="G609:R609"/>
    <mergeCell ref="Z588:AK588"/>
    <mergeCell ref="M628:P628"/>
    <mergeCell ref="G645:R645"/>
    <mergeCell ref="Z628:AB628"/>
    <mergeCell ref="Q559:S559"/>
    <mergeCell ref="P581:R581"/>
    <mergeCell ref="CM718:CN718"/>
    <mergeCell ref="CK718:CL718"/>
    <mergeCell ref="CK719:CL719"/>
    <mergeCell ref="X718:AB718"/>
    <mergeCell ref="Z634:AB634"/>
    <mergeCell ref="V388:AJ388"/>
    <mergeCell ref="D443:AF443"/>
    <mergeCell ref="AG445:AJ445"/>
    <mergeCell ref="B520:H542"/>
    <mergeCell ref="Q487:AK487"/>
    <mergeCell ref="Q486:AK486"/>
    <mergeCell ref="AH502:AK502"/>
    <mergeCell ref="AC499:AK499"/>
    <mergeCell ref="W468:Y468"/>
    <mergeCell ref="B503:H508"/>
    <mergeCell ref="D450:AF450"/>
    <mergeCell ref="C635:L635"/>
    <mergeCell ref="AG395:AJ395"/>
    <mergeCell ref="AI392:AJ392"/>
    <mergeCell ref="AG394:AJ394"/>
    <mergeCell ref="E420:AJ420"/>
    <mergeCell ref="AH524:AK524"/>
    <mergeCell ref="AH525:AK525"/>
    <mergeCell ref="Q492:AK492"/>
    <mergeCell ref="Q390:U390"/>
    <mergeCell ref="I410:AE410"/>
    <mergeCell ref="AI389:AJ389"/>
    <mergeCell ref="AD411:AE411"/>
    <mergeCell ref="F427:AH428"/>
    <mergeCell ref="S401:U401"/>
    <mergeCell ref="AG401:AJ401"/>
    <mergeCell ref="AG449:AJ449"/>
    <mergeCell ref="AC456:AF456"/>
    <mergeCell ref="AH531:AK531"/>
    <mergeCell ref="AC533:AF533"/>
    <mergeCell ref="Q393:U393"/>
    <mergeCell ref="AC504:AF504"/>
    <mergeCell ref="M355:N355"/>
    <mergeCell ref="I421:K421"/>
    <mergeCell ref="P418:R418"/>
    <mergeCell ref="AF418:AH418"/>
    <mergeCell ref="D406:AJ407"/>
    <mergeCell ref="D437:AF437"/>
    <mergeCell ref="N373:AF374"/>
    <mergeCell ref="AJ355:AK355"/>
    <mergeCell ref="O529:AA529"/>
    <mergeCell ref="AH533:AK533"/>
    <mergeCell ref="C632:L632"/>
    <mergeCell ref="P687:R687"/>
    <mergeCell ref="S413:T413"/>
    <mergeCell ref="Z555:AD555"/>
    <mergeCell ref="O535:AA535"/>
    <mergeCell ref="AH523:AK523"/>
    <mergeCell ref="AE554:AH554"/>
    <mergeCell ref="G668:R668"/>
    <mergeCell ref="G678:R678"/>
    <mergeCell ref="P679:R679"/>
    <mergeCell ref="G661:R661"/>
    <mergeCell ref="Z659:AK659"/>
    <mergeCell ref="AK635:AN635"/>
    <mergeCell ref="AI679:AK679"/>
    <mergeCell ref="Z663:AE663"/>
    <mergeCell ref="Z643:AK643"/>
    <mergeCell ref="AC519:AF519"/>
    <mergeCell ref="AG442:AJ442"/>
    <mergeCell ref="AG377:AH377"/>
    <mergeCell ref="E418:G418"/>
    <mergeCell ref="AG440:AJ440"/>
    <mergeCell ref="AM551:AS553"/>
    <mergeCell ref="J387:U387"/>
    <mergeCell ref="AE424:AF424"/>
    <mergeCell ref="N371:Q371"/>
    <mergeCell ref="V382:W382"/>
    <mergeCell ref="J367:K367"/>
    <mergeCell ref="S405:AJ405"/>
    <mergeCell ref="AG379:AH379"/>
    <mergeCell ref="S392:U392"/>
    <mergeCell ref="AG390:AJ390"/>
    <mergeCell ref="Q391:U391"/>
    <mergeCell ref="N372:Q372"/>
    <mergeCell ref="AF430:AG430"/>
    <mergeCell ref="AG437:AJ437"/>
    <mergeCell ref="J388:U388"/>
    <mergeCell ref="S377:T377"/>
    <mergeCell ref="D442:AF442"/>
    <mergeCell ref="Q389:U389"/>
    <mergeCell ref="S402:U402"/>
    <mergeCell ref="Z432:AA432"/>
    <mergeCell ref="AG393:AJ393"/>
    <mergeCell ref="AG391:AJ391"/>
    <mergeCell ref="K404:AJ404"/>
    <mergeCell ref="AC386:AJ386"/>
    <mergeCell ref="N378:P378"/>
    <mergeCell ref="W418:Y418"/>
    <mergeCell ref="AG439:AJ439"/>
    <mergeCell ref="K403:AJ403"/>
    <mergeCell ref="D439:AF439"/>
    <mergeCell ref="AI397:AJ397"/>
    <mergeCell ref="T399:AJ399"/>
    <mergeCell ref="J386:U386"/>
    <mergeCell ref="T398:AJ398"/>
    <mergeCell ref="AC370:AF37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P339:R339"/>
    <mergeCell ref="H340:M340"/>
    <mergeCell ref="AA339:AF339"/>
    <mergeCell ref="AC347:AE347"/>
    <mergeCell ref="P344:AE344"/>
    <mergeCell ref="AA338:AK338"/>
    <mergeCell ref="N370:Q370"/>
    <mergeCell ref="M251:AE251"/>
    <mergeCell ref="X180:Y180"/>
    <mergeCell ref="AP205:AQ205"/>
    <mergeCell ref="AI229:AJ229"/>
    <mergeCell ref="P347:Z347"/>
    <mergeCell ref="AA341:AK341"/>
    <mergeCell ref="AC387:AJ3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P349:AE349"/>
    <mergeCell ref="AH262:AK262"/>
    <mergeCell ref="AA335:AK335"/>
    <mergeCell ref="AA340:AF340"/>
    <mergeCell ref="V377:W377"/>
    <mergeCell ref="AJ356:AK356"/>
    <mergeCell ref="AD377:AE377"/>
    <mergeCell ref="AC371:AF371"/>
    <mergeCell ref="AG380:AH380"/>
    <mergeCell ref="P343:AE343"/>
    <mergeCell ref="M356:N356"/>
    <mergeCell ref="H338:R338"/>
    <mergeCell ref="Y364:Z364"/>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AI226:AJ226"/>
    <mergeCell ref="Y120:AK120"/>
    <mergeCell ref="O160:T160"/>
    <mergeCell ref="A86:AT87"/>
    <mergeCell ref="A89:AT90"/>
    <mergeCell ref="A92:AT98"/>
    <mergeCell ref="AI339:AK339"/>
    <mergeCell ref="P348:Z348"/>
    <mergeCell ref="H311:R311"/>
    <mergeCell ref="H308:M308"/>
    <mergeCell ref="P307:R307"/>
    <mergeCell ref="U247:W247"/>
    <mergeCell ref="T196:U196"/>
    <mergeCell ref="D220:Z220"/>
    <mergeCell ref="T193:AI193"/>
    <mergeCell ref="AI227:AJ227"/>
    <mergeCell ref="Y123:AK123"/>
    <mergeCell ref="M237:AE237"/>
    <mergeCell ref="AA249:AK249"/>
    <mergeCell ref="M248:AE248"/>
    <mergeCell ref="AF243:AK243"/>
    <mergeCell ref="AI178:AK178"/>
    <mergeCell ref="U175:V175"/>
    <mergeCell ref="P205:U205"/>
    <mergeCell ref="AF178:AG178"/>
    <mergeCell ref="I190:N190"/>
    <mergeCell ref="M246:AE246"/>
    <mergeCell ref="AC245:AE245"/>
    <mergeCell ref="X176:Y176"/>
    <mergeCell ref="P346:AE346"/>
    <mergeCell ref="M245:T245"/>
    <mergeCell ref="Z255:AE255"/>
    <mergeCell ref="M255:R255"/>
    <mergeCell ref="A282:AT283"/>
    <mergeCell ref="AA238:AK238"/>
    <mergeCell ref="H337:R337"/>
    <mergeCell ref="P345:AE345"/>
    <mergeCell ref="A100:AT103"/>
    <mergeCell ref="I184:AE184"/>
    <mergeCell ref="Y117:AK117"/>
    <mergeCell ref="T190:AE190"/>
    <mergeCell ref="M232:AK232"/>
    <mergeCell ref="A105:AT106"/>
    <mergeCell ref="L113:O113"/>
    <mergeCell ref="O158:R158"/>
    <mergeCell ref="W159:X159"/>
    <mergeCell ref="A169:AT170"/>
    <mergeCell ref="P113:S113"/>
    <mergeCell ref="R177:S177"/>
    <mergeCell ref="M243:AE243"/>
    <mergeCell ref="D204:M204"/>
    <mergeCell ref="M238:T238"/>
    <mergeCell ref="T197:U197"/>
    <mergeCell ref="W253:X253"/>
    <mergeCell ref="W245:X245"/>
    <mergeCell ref="M234:T234"/>
    <mergeCell ref="W234:X234"/>
    <mergeCell ref="T212:U212"/>
    <mergeCell ref="I185:AE185"/>
    <mergeCell ref="U236:W236"/>
    <mergeCell ref="T189:AE189"/>
    <mergeCell ref="M244:AE244"/>
    <mergeCell ref="M239:AE239"/>
    <mergeCell ref="F150:T150"/>
    <mergeCell ref="M247:R247"/>
    <mergeCell ref="O159:T159"/>
    <mergeCell ref="AH254:AK254"/>
    <mergeCell ref="M259:AE259"/>
    <mergeCell ref="L275:AD275"/>
    <mergeCell ref="L276:S276"/>
    <mergeCell ref="L279:AD279"/>
    <mergeCell ref="L280:AD280"/>
    <mergeCell ref="AC253:AE253"/>
    <mergeCell ref="AH246:AK246"/>
    <mergeCell ref="M252:AE252"/>
    <mergeCell ref="M263:R263"/>
    <mergeCell ref="M265:T265"/>
    <mergeCell ref="D270:H270"/>
    <mergeCell ref="X270:AC270"/>
    <mergeCell ref="Z263:AE263"/>
    <mergeCell ref="AF251:AK251"/>
    <mergeCell ref="M249:T249"/>
    <mergeCell ref="Z247:AE247"/>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32:AF332"/>
    <mergeCell ref="AA328:AK328"/>
    <mergeCell ref="AA327:AK327"/>
    <mergeCell ref="H332:M332"/>
    <mergeCell ref="AI315:AK315"/>
    <mergeCell ref="AA329:AK329"/>
    <mergeCell ref="AA321:AK321"/>
    <mergeCell ref="H325:R325"/>
    <mergeCell ref="H307:M307"/>
    <mergeCell ref="H329:R329"/>
    <mergeCell ref="H330:R330"/>
    <mergeCell ref="P331:R331"/>
    <mergeCell ref="AA324:AF324"/>
    <mergeCell ref="AA291:AF291"/>
    <mergeCell ref="AI291:AK291"/>
    <mergeCell ref="T278:V278"/>
    <mergeCell ref="P291:R291"/>
    <mergeCell ref="AA287:AK287"/>
    <mergeCell ref="AA306:AK306"/>
    <mergeCell ref="AA303:AK303"/>
    <mergeCell ref="AA323:AF323"/>
    <mergeCell ref="H320:R320"/>
    <mergeCell ref="H296:R296"/>
    <mergeCell ref="H323:M323"/>
    <mergeCell ref="AA330:AK330"/>
    <mergeCell ref="H324:M324"/>
    <mergeCell ref="AA325:AK325"/>
    <mergeCell ref="H315:M315"/>
    <mergeCell ref="H321:R321"/>
    <mergeCell ref="H322:R322"/>
    <mergeCell ref="L278:Q278"/>
    <mergeCell ref="AA289:AK289"/>
    <mergeCell ref="H328:R328"/>
    <mergeCell ref="AI323:AK323"/>
    <mergeCell ref="AA320:AK320"/>
    <mergeCell ref="H317:R317"/>
    <mergeCell ref="P323:R323"/>
    <mergeCell ref="H305:R305"/>
    <mergeCell ref="AA288:AK288"/>
    <mergeCell ref="H287:R287"/>
    <mergeCell ref="AA311:AK311"/>
    <mergeCell ref="AA314:AK314"/>
    <mergeCell ref="AA313:AK313"/>
    <mergeCell ref="AA312:AK312"/>
    <mergeCell ref="AA315:AF315"/>
    <mergeCell ref="AA317:AK317"/>
    <mergeCell ref="AA290:AK290"/>
    <mergeCell ref="AA298:AK298"/>
    <mergeCell ref="AA292:AF292"/>
    <mergeCell ref="H313:R313"/>
    <mergeCell ref="AA322:AK322"/>
    <mergeCell ref="H292:M292"/>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T267:X267"/>
    <mergeCell ref="AA319:AK319"/>
    <mergeCell ref="H314:R314"/>
    <mergeCell ref="H316:M316"/>
    <mergeCell ref="AA293:AK293"/>
    <mergeCell ref="H290:R290"/>
    <mergeCell ref="V276:W276"/>
    <mergeCell ref="AA301:AK301"/>
    <mergeCell ref="H309:R309"/>
    <mergeCell ref="AA296:AK296"/>
    <mergeCell ref="H331:M331"/>
    <mergeCell ref="H341:R341"/>
    <mergeCell ref="H335:R335"/>
    <mergeCell ref="AA333:AK333"/>
    <mergeCell ref="H339:M339"/>
    <mergeCell ref="D469:V469"/>
    <mergeCell ref="W473:Y473"/>
    <mergeCell ref="Q394:U394"/>
    <mergeCell ref="AD412:AE412"/>
    <mergeCell ref="H414:AE415"/>
    <mergeCell ref="E368:AH369"/>
    <mergeCell ref="Q365:AG365"/>
    <mergeCell ref="W465:Y465"/>
    <mergeCell ref="V381:W381"/>
    <mergeCell ref="AE425:AF425"/>
    <mergeCell ref="W469:Y469"/>
    <mergeCell ref="D438:AF438"/>
    <mergeCell ref="AA336:AK336"/>
    <mergeCell ref="H333:R333"/>
    <mergeCell ref="P421:R421"/>
    <mergeCell ref="R412:S412"/>
    <mergeCell ref="D449:AF449"/>
    <mergeCell ref="Q429:R429"/>
    <mergeCell ref="D448:AF448"/>
    <mergeCell ref="AE402:AJ402"/>
    <mergeCell ref="AC385:AJ385"/>
    <mergeCell ref="H336:R336"/>
    <mergeCell ref="D441:AF441"/>
    <mergeCell ref="AG447:AJ447"/>
    <mergeCell ref="AC454:AF454"/>
    <mergeCell ref="P425:Q425"/>
    <mergeCell ref="I418:K418"/>
    <mergeCell ref="Q488:AK488"/>
    <mergeCell ref="AC532:AF532"/>
    <mergeCell ref="M495:P495"/>
    <mergeCell ref="AH512:AK512"/>
    <mergeCell ref="AH520:AK520"/>
    <mergeCell ref="O526:AA526"/>
    <mergeCell ref="AC529:AF529"/>
    <mergeCell ref="AH530:AK530"/>
    <mergeCell ref="AC508:AF508"/>
    <mergeCell ref="AH507:AK507"/>
    <mergeCell ref="AG450:AJ450"/>
    <mergeCell ref="D467:V467"/>
    <mergeCell ref="D465:V465"/>
    <mergeCell ref="AC509:AF509"/>
    <mergeCell ref="Q485:AK485"/>
    <mergeCell ref="AC525:AF525"/>
    <mergeCell ref="W474:Y474"/>
    <mergeCell ref="AC518:AF518"/>
    <mergeCell ref="AH504:AK504"/>
    <mergeCell ref="AH517:AK517"/>
    <mergeCell ref="W471:Y471"/>
    <mergeCell ref="AC516:AF516"/>
    <mergeCell ref="AC523:AF523"/>
    <mergeCell ref="AH516:AK516"/>
    <mergeCell ref="D471:V471"/>
    <mergeCell ref="Q491:AK491"/>
    <mergeCell ref="AH495:AK495"/>
    <mergeCell ref="D472:V472"/>
    <mergeCell ref="W472:Y472"/>
    <mergeCell ref="M358:N358"/>
    <mergeCell ref="AH519:AK519"/>
    <mergeCell ref="AH536:AK536"/>
    <mergeCell ref="AG448:AJ448"/>
    <mergeCell ref="AH528:AK528"/>
    <mergeCell ref="AH501:AK501"/>
    <mergeCell ref="G474:V474"/>
    <mergeCell ref="AH526:AK526"/>
    <mergeCell ref="R411:S411"/>
    <mergeCell ref="T556:V556"/>
    <mergeCell ref="AC520:AF520"/>
    <mergeCell ref="AC527:AF527"/>
    <mergeCell ref="W551:Y553"/>
    <mergeCell ref="C554:L554"/>
    <mergeCell ref="AC503:AF503"/>
    <mergeCell ref="AC513:AF513"/>
    <mergeCell ref="AH515:AK515"/>
    <mergeCell ref="AH521:AK521"/>
    <mergeCell ref="AC530:AF530"/>
    <mergeCell ref="W556:Y556"/>
    <mergeCell ref="AG446:AJ446"/>
    <mergeCell ref="W467:Y467"/>
    <mergeCell ref="W470:Y470"/>
    <mergeCell ref="Q556:S556"/>
    <mergeCell ref="S489:AK490"/>
    <mergeCell ref="P424:Q424"/>
    <mergeCell ref="D473:V473"/>
    <mergeCell ref="AH500:AK500"/>
    <mergeCell ref="Q493:AK493"/>
    <mergeCell ref="AC507:AF507"/>
    <mergeCell ref="D445:AF445"/>
    <mergeCell ref="D451:AJ452"/>
    <mergeCell ref="AJ357:AK357"/>
    <mergeCell ref="D444:AF444"/>
    <mergeCell ref="Z569:AK569"/>
    <mergeCell ref="N607:O607"/>
    <mergeCell ref="G593:R593"/>
    <mergeCell ref="G605:L605"/>
    <mergeCell ref="H606:R606"/>
    <mergeCell ref="AI597:AK597"/>
    <mergeCell ref="C565:L565"/>
    <mergeCell ref="W558:Y558"/>
    <mergeCell ref="AE558:AH558"/>
    <mergeCell ref="Z570:AK570"/>
    <mergeCell ref="T565:V565"/>
    <mergeCell ref="C560:L560"/>
    <mergeCell ref="Z560:AD560"/>
    <mergeCell ref="AI563:AL563"/>
    <mergeCell ref="Z563:AD563"/>
    <mergeCell ref="T560:V560"/>
    <mergeCell ref="Z561:AD561"/>
    <mergeCell ref="AG599:AH599"/>
    <mergeCell ref="AC502:AF502"/>
    <mergeCell ref="B514:H516"/>
    <mergeCell ref="B517:H519"/>
    <mergeCell ref="Q558:S558"/>
    <mergeCell ref="P597:R597"/>
    <mergeCell ref="G597:L597"/>
    <mergeCell ref="G602:R602"/>
    <mergeCell ref="G586:R586"/>
    <mergeCell ref="Z581:AE581"/>
    <mergeCell ref="AA582:AK582"/>
    <mergeCell ref="Z586:AK586"/>
    <mergeCell ref="G581:L581"/>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G714:J717"/>
    <mergeCell ref="AG689:AH689"/>
    <mergeCell ref="G686:R686"/>
    <mergeCell ref="N689:O689"/>
    <mergeCell ref="G685:R685"/>
    <mergeCell ref="G731:J731"/>
    <mergeCell ref="B729:F729"/>
    <mergeCell ref="AK742:AO742"/>
    <mergeCell ref="M825:P825"/>
    <mergeCell ref="AK746:AO746"/>
    <mergeCell ref="O735:S735"/>
    <mergeCell ref="C825:H825"/>
    <mergeCell ref="G727:J727"/>
    <mergeCell ref="G687:L687"/>
    <mergeCell ref="T722:W722"/>
    <mergeCell ref="K729:N729"/>
    <mergeCell ref="B718:F718"/>
    <mergeCell ref="G720:J720"/>
    <mergeCell ref="B721:F721"/>
    <mergeCell ref="B753:F753"/>
    <mergeCell ref="O752:S752"/>
    <mergeCell ref="AH726:AJ726"/>
    <mergeCell ref="O718:S718"/>
    <mergeCell ref="AI687:AK687"/>
    <mergeCell ref="B736:F736"/>
    <mergeCell ref="B733:F733"/>
    <mergeCell ref="B731:F731"/>
    <mergeCell ref="O747:S747"/>
    <mergeCell ref="T747:W747"/>
    <mergeCell ref="AC748:AG748"/>
    <mergeCell ref="AH736:AJ736"/>
    <mergeCell ref="B752:F752"/>
    <mergeCell ref="O750:S750"/>
    <mergeCell ref="AK748:AO748"/>
    <mergeCell ref="G751:J751"/>
    <mergeCell ref="Y801:AC801"/>
    <mergeCell ref="Y800:AC800"/>
    <mergeCell ref="X722:AB722"/>
    <mergeCell ref="AE698:AI698"/>
    <mergeCell ref="AC714:AG717"/>
    <mergeCell ref="AH745:AJ745"/>
    <mergeCell ref="AH746:AJ746"/>
    <mergeCell ref="AH747:AJ747"/>
    <mergeCell ref="T769:W772"/>
    <mergeCell ref="AC793:AG793"/>
    <mergeCell ref="X775:AB775"/>
    <mergeCell ref="X776:AB776"/>
    <mergeCell ref="AC775:AG775"/>
    <mergeCell ref="AC783:AG786"/>
    <mergeCell ref="J791:N791"/>
    <mergeCell ref="X792:AB792"/>
    <mergeCell ref="X721:AB721"/>
    <mergeCell ref="X727:AB727"/>
    <mergeCell ref="G728:J728"/>
    <mergeCell ref="K727:N727"/>
    <mergeCell ref="K726:N726"/>
    <mergeCell ref="K730:N730"/>
    <mergeCell ref="K728:N728"/>
    <mergeCell ref="O756:R756"/>
    <mergeCell ref="AG756:AJ756"/>
    <mergeCell ref="T724:W724"/>
    <mergeCell ref="X742:AB742"/>
    <mergeCell ref="AH742:AJ742"/>
    <mergeCell ref="X728:AB728"/>
    <mergeCell ref="O728:S728"/>
    <mergeCell ref="T730:W730"/>
    <mergeCell ref="G739:J739"/>
    <mergeCell ref="AH722:AJ722"/>
    <mergeCell ref="G734:J734"/>
    <mergeCell ref="X740:AB740"/>
    <mergeCell ref="O729:S729"/>
    <mergeCell ref="O731:S731"/>
    <mergeCell ref="AH735:AJ735"/>
    <mergeCell ref="X734:AB734"/>
    <mergeCell ref="K737:N737"/>
    <mergeCell ref="U826:X826"/>
    <mergeCell ref="X794:AB794"/>
    <mergeCell ref="O714:S717"/>
    <mergeCell ref="M828:P828"/>
    <mergeCell ref="J779:K779"/>
    <mergeCell ref="J787:N787"/>
    <mergeCell ref="T796:W796"/>
    <mergeCell ref="K724:N724"/>
    <mergeCell ref="X719:AB719"/>
    <mergeCell ref="M823:P824"/>
    <mergeCell ref="Y827:AB827"/>
    <mergeCell ref="AG827:AJ827"/>
    <mergeCell ref="Z817:AE817"/>
    <mergeCell ref="X748:AB748"/>
    <mergeCell ref="X749:AB749"/>
    <mergeCell ref="X750:AB750"/>
    <mergeCell ref="AC749:AG749"/>
    <mergeCell ref="AC750:AG750"/>
    <mergeCell ref="AC788:AG788"/>
    <mergeCell ref="G738:J738"/>
    <mergeCell ref="O783:S786"/>
    <mergeCell ref="X746:AB746"/>
    <mergeCell ref="T732:W732"/>
    <mergeCell ref="T731:W731"/>
    <mergeCell ref="AH719:AJ719"/>
    <mergeCell ref="O751:S751"/>
    <mergeCell ref="T744:W744"/>
    <mergeCell ref="AH749:AJ749"/>
    <mergeCell ref="AC796:AG796"/>
    <mergeCell ref="O730:S730"/>
    <mergeCell ref="T742:W742"/>
    <mergeCell ref="X745:AB745"/>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BD904:BE904"/>
    <mergeCell ref="BD906:BF906"/>
    <mergeCell ref="BD905:BF905"/>
    <mergeCell ref="BD910:BE910"/>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C892:AH892"/>
    <mergeCell ref="W866:AC866"/>
    <mergeCell ref="W859:AC859"/>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U936:Z936"/>
    <mergeCell ref="AA919:AF919"/>
    <mergeCell ref="U925:Z925"/>
    <mergeCell ref="A910:AT911"/>
    <mergeCell ref="F936:T936"/>
    <mergeCell ref="U922:Z922"/>
    <mergeCell ref="AA924:AF924"/>
    <mergeCell ref="F930:T930"/>
    <mergeCell ref="F931:T931"/>
    <mergeCell ref="AA922:AF922"/>
    <mergeCell ref="F927:T927"/>
    <mergeCell ref="F928:T928"/>
    <mergeCell ref="U926:Z926"/>
    <mergeCell ref="F940:T940"/>
    <mergeCell ref="U939:Z939"/>
    <mergeCell ref="U940:Z940"/>
    <mergeCell ref="AA938:AF938"/>
    <mergeCell ref="W849:AC849"/>
    <mergeCell ref="M877:V877"/>
    <mergeCell ref="W869:AC869"/>
    <mergeCell ref="W842:AC842"/>
    <mergeCell ref="W847:AC847"/>
    <mergeCell ref="W876:AC876"/>
    <mergeCell ref="M861:V861"/>
    <mergeCell ref="F926:T926"/>
    <mergeCell ref="K745:N745"/>
    <mergeCell ref="AA920:AF920"/>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K751:N751"/>
    <mergeCell ref="Y830:AB830"/>
    <mergeCell ref="U828:X828"/>
    <mergeCell ref="AG828:AJ828"/>
    <mergeCell ref="Z807:AE807"/>
    <mergeCell ref="M832:P832"/>
    <mergeCell ref="Q823:T824"/>
    <mergeCell ref="T741:W741"/>
    <mergeCell ref="AH729:AJ729"/>
    <mergeCell ref="AK726:AO726"/>
    <mergeCell ref="AH723:AJ723"/>
    <mergeCell ref="T734:W734"/>
    <mergeCell ref="AC727:AG727"/>
    <mergeCell ref="AC728:AG728"/>
    <mergeCell ref="G684:R684"/>
    <mergeCell ref="G670:R670"/>
    <mergeCell ref="Z669:AK669"/>
    <mergeCell ref="CK723:CL723"/>
    <mergeCell ref="B730:F730"/>
    <mergeCell ref="G683:R683"/>
    <mergeCell ref="N681:O681"/>
    <mergeCell ref="B720:F720"/>
    <mergeCell ref="B722:F722"/>
    <mergeCell ref="O719:S719"/>
    <mergeCell ref="K719:N719"/>
    <mergeCell ref="K731:N731"/>
    <mergeCell ref="AH733:AJ733"/>
    <mergeCell ref="G723:J723"/>
    <mergeCell ref="AC736:AG736"/>
    <mergeCell ref="CG729:CH729"/>
    <mergeCell ref="CG723:CH723"/>
    <mergeCell ref="CG720:CH720"/>
    <mergeCell ref="CG733:CH733"/>
    <mergeCell ref="CG731:CH731"/>
    <mergeCell ref="O725:S725"/>
    <mergeCell ref="O726:S726"/>
    <mergeCell ref="K725:N725"/>
    <mergeCell ref="X720:AB720"/>
    <mergeCell ref="CG724:CH724"/>
    <mergeCell ref="CI723:CJ723"/>
    <mergeCell ref="CP728:CT728"/>
    <mergeCell ref="CI736:CJ736"/>
    <mergeCell ref="AA680:AK680"/>
    <mergeCell ref="O722:S722"/>
    <mergeCell ref="AK729:AO729"/>
    <mergeCell ref="X714:AB717"/>
    <mergeCell ref="AE694:AF694"/>
    <mergeCell ref="A709:AT711"/>
    <mergeCell ref="J705:O705"/>
    <mergeCell ref="O727:S727"/>
    <mergeCell ref="X733:AB733"/>
    <mergeCell ref="G732:J732"/>
    <mergeCell ref="X724:AB724"/>
    <mergeCell ref="Z685:AK685"/>
    <mergeCell ref="AH739:AJ739"/>
    <mergeCell ref="AH740:AJ740"/>
    <mergeCell ref="CK738:CL738"/>
    <mergeCell ref="CI731:CJ731"/>
    <mergeCell ref="CI728:CJ728"/>
    <mergeCell ref="G719:J719"/>
    <mergeCell ref="O739:S739"/>
    <mergeCell ref="O740:S740"/>
    <mergeCell ref="CK739:CL739"/>
    <mergeCell ref="CG730:CH730"/>
    <mergeCell ref="CG728:CH728"/>
    <mergeCell ref="B728:F728"/>
    <mergeCell ref="B725:F725"/>
    <mergeCell ref="B724:F724"/>
    <mergeCell ref="B727:F727"/>
    <mergeCell ref="CM735:CN735"/>
    <mergeCell ref="CG741:CH741"/>
    <mergeCell ref="CI741:CJ741"/>
    <mergeCell ref="CP725:CT725"/>
    <mergeCell ref="AC729:AG729"/>
    <mergeCell ref="CK725:CL725"/>
    <mergeCell ref="CI734:CJ734"/>
    <mergeCell ref="CI719:CJ719"/>
    <mergeCell ref="CM739:CN739"/>
    <mergeCell ref="CK722:CL722"/>
    <mergeCell ref="CG737:CH737"/>
    <mergeCell ref="CM720:CN720"/>
    <mergeCell ref="CP723:CT723"/>
    <mergeCell ref="AK739:AO739"/>
    <mergeCell ref="CM729:CN729"/>
    <mergeCell ref="CK730:CL730"/>
    <mergeCell ref="CP731:CT731"/>
    <mergeCell ref="CI729:CJ729"/>
    <mergeCell ref="CM730:CN730"/>
    <mergeCell ref="CK727:CL727"/>
    <mergeCell ref="AH737:AJ737"/>
    <mergeCell ref="AH738:AJ738"/>
    <mergeCell ref="CI724:CJ724"/>
    <mergeCell ref="CK721:CL721"/>
    <mergeCell ref="CI722:CJ722"/>
    <mergeCell ref="CG721:CH721"/>
    <mergeCell ref="CI732:CJ732"/>
    <mergeCell ref="CM728:CN728"/>
    <mergeCell ref="CM738:CN738"/>
    <mergeCell ref="AC732:AG732"/>
    <mergeCell ref="CP721:CT721"/>
    <mergeCell ref="CI730:CJ730"/>
    <mergeCell ref="T726:W726"/>
    <mergeCell ref="DJ734:DN734"/>
    <mergeCell ref="O733:S733"/>
    <mergeCell ref="CG742:CH742"/>
    <mergeCell ref="CG743:CH743"/>
    <mergeCell ref="CM736:CN736"/>
    <mergeCell ref="CI738:CJ738"/>
    <mergeCell ref="CP741:CT741"/>
    <mergeCell ref="CP726:CT726"/>
    <mergeCell ref="CG735:CH735"/>
    <mergeCell ref="CI737:CJ737"/>
    <mergeCell ref="CM741:CN741"/>
    <mergeCell ref="CM724:CN724"/>
    <mergeCell ref="CM725:CN725"/>
    <mergeCell ref="DE727:DI727"/>
    <mergeCell ref="CU733:CY733"/>
    <mergeCell ref="CZ739:DD739"/>
    <mergeCell ref="CK734:CL734"/>
    <mergeCell ref="CM734:CN734"/>
    <mergeCell ref="CU740:CY740"/>
    <mergeCell ref="CI739:CJ739"/>
    <mergeCell ref="CM726:CN726"/>
    <mergeCell ref="CG734:CH734"/>
    <mergeCell ref="CK741:CL741"/>
    <mergeCell ref="CI727:CJ727"/>
    <mergeCell ref="CZ735:DD735"/>
    <mergeCell ref="CU734:CY734"/>
    <mergeCell ref="CP736:CT736"/>
    <mergeCell ref="CM737:CN737"/>
    <mergeCell ref="CU737:CY737"/>
    <mergeCell ref="CZ738:DD738"/>
    <mergeCell ref="CP729:CT729"/>
    <mergeCell ref="T636:V636"/>
    <mergeCell ref="CZ730:DD730"/>
    <mergeCell ref="CU726:CY726"/>
    <mergeCell ref="CZ726:DD726"/>
    <mergeCell ref="CZ728:DD728"/>
    <mergeCell ref="CU730:CY730"/>
    <mergeCell ref="CK728:CL728"/>
    <mergeCell ref="CP734:CT734"/>
    <mergeCell ref="CK735:CL735"/>
    <mergeCell ref="CP732:CT732"/>
    <mergeCell ref="G718:J718"/>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DE730:DI730"/>
    <mergeCell ref="CP720:CT720"/>
    <mergeCell ref="X726:AB726"/>
    <mergeCell ref="T727:W727"/>
    <mergeCell ref="AC632:AE632"/>
    <mergeCell ref="Q632:S632"/>
    <mergeCell ref="Q624:S626"/>
    <mergeCell ref="DJ731:DN731"/>
    <mergeCell ref="DJ729:DN729"/>
    <mergeCell ref="CZ731:DD731"/>
    <mergeCell ref="CK731:CL731"/>
    <mergeCell ref="CK729:CL729"/>
    <mergeCell ref="CU729:CY729"/>
    <mergeCell ref="CP724:CT724"/>
    <mergeCell ref="CP727:CT727"/>
    <mergeCell ref="DE728:DI728"/>
    <mergeCell ref="C559:L559"/>
    <mergeCell ref="DE722:DI722"/>
    <mergeCell ref="CG727:CH727"/>
    <mergeCell ref="B624:L626"/>
    <mergeCell ref="Z613:AE613"/>
    <mergeCell ref="AC629:AE629"/>
    <mergeCell ref="AO633:AS633"/>
    <mergeCell ref="G677:R677"/>
    <mergeCell ref="Z678:AK678"/>
    <mergeCell ref="M629:P629"/>
    <mergeCell ref="W624:Y626"/>
    <mergeCell ref="W628:Y628"/>
    <mergeCell ref="P663:R663"/>
    <mergeCell ref="AO640:AS640"/>
    <mergeCell ref="W636:Y636"/>
    <mergeCell ref="Q638:S638"/>
    <mergeCell ref="H648:R648"/>
    <mergeCell ref="M636:P636"/>
    <mergeCell ref="AA664:AK664"/>
    <mergeCell ref="T635:V635"/>
    <mergeCell ref="AE561:AH561"/>
    <mergeCell ref="M560:P560"/>
    <mergeCell ref="Q563:S563"/>
    <mergeCell ref="AO637:AS637"/>
    <mergeCell ref="G647:L647"/>
    <mergeCell ref="C638:L638"/>
    <mergeCell ref="T630:V630"/>
    <mergeCell ref="G651:R651"/>
    <mergeCell ref="G652:R652"/>
    <mergeCell ref="T638:V638"/>
    <mergeCell ref="T632:V632"/>
    <mergeCell ref="C636:L636"/>
    <mergeCell ref="Z587:AK587"/>
    <mergeCell ref="Z589:AE589"/>
    <mergeCell ref="AA590:AK590"/>
    <mergeCell ref="G578:R578"/>
    <mergeCell ref="AI605:AK605"/>
    <mergeCell ref="G604:R604"/>
    <mergeCell ref="G577:R577"/>
    <mergeCell ref="P605:R605"/>
    <mergeCell ref="AG591:AH591"/>
    <mergeCell ref="G601:R601"/>
    <mergeCell ref="N591:O591"/>
    <mergeCell ref="G595:R595"/>
    <mergeCell ref="Z594:AK594"/>
    <mergeCell ref="Z595:AK595"/>
    <mergeCell ref="G585:R585"/>
    <mergeCell ref="AF628:AJ628"/>
    <mergeCell ref="N599:O599"/>
    <mergeCell ref="N615:O615"/>
    <mergeCell ref="AO631:AS631"/>
    <mergeCell ref="Q630:S630"/>
    <mergeCell ref="G603:R603"/>
    <mergeCell ref="Z597:AE597"/>
    <mergeCell ref="P589:R589"/>
    <mergeCell ref="AE556:AH556"/>
    <mergeCell ref="AE559:AH559"/>
    <mergeCell ref="AI559:AL559"/>
    <mergeCell ref="AE565:AH565"/>
    <mergeCell ref="Q560:S560"/>
    <mergeCell ref="Q565:S565"/>
    <mergeCell ref="Q561:S561"/>
    <mergeCell ref="C562:L562"/>
    <mergeCell ref="M565:P565"/>
    <mergeCell ref="T563:V563"/>
    <mergeCell ref="Z564:AD564"/>
    <mergeCell ref="Z565:AD565"/>
    <mergeCell ref="T558:V558"/>
    <mergeCell ref="M556:P556"/>
    <mergeCell ref="M558:P558"/>
    <mergeCell ref="M557:P557"/>
    <mergeCell ref="W563:Y563"/>
    <mergeCell ref="W564:Y564"/>
    <mergeCell ref="W565:Y565"/>
    <mergeCell ref="AI562:AL562"/>
    <mergeCell ref="M559:P559"/>
    <mergeCell ref="C564:L564"/>
    <mergeCell ref="M564:P564"/>
    <mergeCell ref="AI560:AL560"/>
    <mergeCell ref="Z558:AD558"/>
    <mergeCell ref="M562:P562"/>
    <mergeCell ref="M563:P563"/>
    <mergeCell ref="AI561:AL561"/>
    <mergeCell ref="Q564:S564"/>
    <mergeCell ref="AK633:AN633"/>
    <mergeCell ref="AC635:AE635"/>
    <mergeCell ref="T631:V631"/>
    <mergeCell ref="AI565:AL565"/>
    <mergeCell ref="AE562:AH562"/>
    <mergeCell ref="Q562:S562"/>
    <mergeCell ref="G568:R568"/>
    <mergeCell ref="M561:P561"/>
    <mergeCell ref="P572:R572"/>
    <mergeCell ref="AE564:AH564"/>
    <mergeCell ref="H582:R582"/>
    <mergeCell ref="AM558:AS558"/>
    <mergeCell ref="AM566:AS566"/>
    <mergeCell ref="AM562:AS562"/>
    <mergeCell ref="G572:L572"/>
    <mergeCell ref="C558:L558"/>
    <mergeCell ref="Z572:AE572"/>
    <mergeCell ref="M574:R574"/>
    <mergeCell ref="G596:R596"/>
    <mergeCell ref="H614:R614"/>
    <mergeCell ref="G613:L613"/>
    <mergeCell ref="Z577:AK577"/>
    <mergeCell ref="AF574:AK574"/>
    <mergeCell ref="Z585:AK585"/>
    <mergeCell ref="G579:R579"/>
    <mergeCell ref="G594:R594"/>
    <mergeCell ref="Z568:AK568"/>
    <mergeCell ref="G589:L589"/>
    <mergeCell ref="Z609:AK609"/>
    <mergeCell ref="AA606:AK606"/>
    <mergeCell ref="C563:L563"/>
    <mergeCell ref="G587:R587"/>
    <mergeCell ref="C634:L634"/>
    <mergeCell ref="M624:P626"/>
    <mergeCell ref="Z611:AK611"/>
    <mergeCell ref="AM556:AS556"/>
    <mergeCell ref="Z434:AA434"/>
    <mergeCell ref="H590:R590"/>
    <mergeCell ref="T721:W721"/>
    <mergeCell ref="AE695:AI695"/>
    <mergeCell ref="AO636:AS636"/>
    <mergeCell ref="AH509:AK509"/>
    <mergeCell ref="AM561:AS561"/>
    <mergeCell ref="AM559:AS559"/>
    <mergeCell ref="AK630:AN630"/>
    <mergeCell ref="AK631:AN631"/>
    <mergeCell ref="AK632:AN632"/>
    <mergeCell ref="AK627:AN627"/>
    <mergeCell ref="AF632:AJ632"/>
    <mergeCell ref="AC631:AE631"/>
    <mergeCell ref="AM565:AS565"/>
    <mergeCell ref="AE563:AH563"/>
    <mergeCell ref="AM563:AS563"/>
    <mergeCell ref="AO628:AS628"/>
    <mergeCell ref="W700:AK700"/>
    <mergeCell ref="W631:Y631"/>
    <mergeCell ref="AI589:AK589"/>
    <mergeCell ref="Z596:AK596"/>
    <mergeCell ref="H598:R598"/>
    <mergeCell ref="AG583:AH583"/>
    <mergeCell ref="G588:R588"/>
    <mergeCell ref="H573:R573"/>
    <mergeCell ref="N575:O575"/>
    <mergeCell ref="AF631:AJ631"/>
    <mergeCell ref="AG615:AH615"/>
    <mergeCell ref="AF633:AJ633"/>
    <mergeCell ref="Z602:AK602"/>
    <mergeCell ref="Z612:AK612"/>
    <mergeCell ref="Z630:AB630"/>
    <mergeCell ref="Z603:AK603"/>
    <mergeCell ref="AI663:AK663"/>
    <mergeCell ref="B640:AN640"/>
    <mergeCell ref="B719:F719"/>
    <mergeCell ref="G675:R675"/>
    <mergeCell ref="G659:R659"/>
    <mergeCell ref="P671:R671"/>
    <mergeCell ref="Q627:S627"/>
    <mergeCell ref="AC628:AE628"/>
    <mergeCell ref="CI720:CJ720"/>
    <mergeCell ref="CP719:CT719"/>
    <mergeCell ref="CG719:CH719"/>
    <mergeCell ref="AC720:AG720"/>
    <mergeCell ref="Z604:AK604"/>
    <mergeCell ref="G612:R612"/>
    <mergeCell ref="Q636:S636"/>
    <mergeCell ref="M634:P634"/>
    <mergeCell ref="Z635:AB635"/>
    <mergeCell ref="G644:R644"/>
    <mergeCell ref="Q637:S637"/>
    <mergeCell ref="AA648:AK648"/>
    <mergeCell ref="AK637:AN637"/>
    <mergeCell ref="Z627:AB627"/>
    <mergeCell ref="G610:R610"/>
    <mergeCell ref="A617:AT618"/>
    <mergeCell ref="T628:V628"/>
    <mergeCell ref="G611:R611"/>
    <mergeCell ref="AG607:AH607"/>
    <mergeCell ref="M633:P633"/>
    <mergeCell ref="Z605:AE605"/>
    <mergeCell ref="AF637:AJ637"/>
    <mergeCell ref="AC636:AE636"/>
    <mergeCell ref="Q634:S634"/>
    <mergeCell ref="AK636:AN636"/>
    <mergeCell ref="C637:L637"/>
    <mergeCell ref="T637:V637"/>
    <mergeCell ref="AO632:AS632"/>
    <mergeCell ref="Z654:AK654"/>
    <mergeCell ref="G654:R654"/>
    <mergeCell ref="G653:R653"/>
    <mergeCell ref="AE696:AI696"/>
    <mergeCell ref="K718:N718"/>
    <mergeCell ref="M632:P632"/>
    <mergeCell ref="Q631:S631"/>
    <mergeCell ref="M630:P630"/>
    <mergeCell ref="M631:P631"/>
    <mergeCell ref="C630:L630"/>
    <mergeCell ref="C631:L631"/>
    <mergeCell ref="C628:L628"/>
    <mergeCell ref="W635:Y635"/>
    <mergeCell ref="Z629:AB629"/>
    <mergeCell ref="N665:O665"/>
    <mergeCell ref="AA656:AK656"/>
    <mergeCell ref="AC630:AE630"/>
    <mergeCell ref="W629:Y629"/>
    <mergeCell ref="W633:Y633"/>
    <mergeCell ref="AC633:AE633"/>
    <mergeCell ref="Q633:S633"/>
    <mergeCell ref="AC634:AE634"/>
    <mergeCell ref="AF624:AJ626"/>
    <mergeCell ref="CZ718:DD718"/>
    <mergeCell ref="AC721:AG721"/>
    <mergeCell ref="AH720:AJ720"/>
    <mergeCell ref="AH721:AJ721"/>
    <mergeCell ref="AK719:AO719"/>
    <mergeCell ref="AC638:AE638"/>
    <mergeCell ref="Z653:AK653"/>
    <mergeCell ref="Z667:AK667"/>
    <mergeCell ref="CZ720:DD720"/>
    <mergeCell ref="AE702:AF702"/>
    <mergeCell ref="AK725:AO725"/>
    <mergeCell ref="DX637:EB637"/>
    <mergeCell ref="B639:AN639"/>
    <mergeCell ref="AF638:AJ638"/>
    <mergeCell ref="DJ724:DN724"/>
    <mergeCell ref="DX641:EB641"/>
    <mergeCell ref="C629:L629"/>
    <mergeCell ref="T629:V629"/>
    <mergeCell ref="CU721:CY721"/>
    <mergeCell ref="CP717:CT717"/>
    <mergeCell ref="T633:V633"/>
    <mergeCell ref="CI721:CJ721"/>
    <mergeCell ref="AC627:AE627"/>
    <mergeCell ref="Q628:S628"/>
    <mergeCell ref="AK624:AN626"/>
    <mergeCell ref="G679:L679"/>
    <mergeCell ref="P647:R647"/>
    <mergeCell ref="AI647:AK647"/>
    <mergeCell ref="W634:Y634"/>
    <mergeCell ref="Z684:AK684"/>
    <mergeCell ref="Q629:S629"/>
    <mergeCell ref="W638:Y638"/>
    <mergeCell ref="CU720:CY720"/>
    <mergeCell ref="CU723:CY723"/>
    <mergeCell ref="CM722:CN722"/>
    <mergeCell ref="CG722:CH722"/>
    <mergeCell ref="CM723:CN723"/>
    <mergeCell ref="EJ718:EN718"/>
    <mergeCell ref="DJ718:DN718"/>
    <mergeCell ref="CZ719:DD719"/>
    <mergeCell ref="DX643:EB643"/>
    <mergeCell ref="DX640:EB640"/>
    <mergeCell ref="AK723:AO723"/>
    <mergeCell ref="DZ717:ED717"/>
    <mergeCell ref="AI671:AK671"/>
    <mergeCell ref="DU720:DY720"/>
    <mergeCell ref="DX668:EB668"/>
    <mergeCell ref="EC668:EG668"/>
    <mergeCell ref="DO718:DS718"/>
    <mergeCell ref="DO719:DS719"/>
    <mergeCell ref="DE719:DI719"/>
    <mergeCell ref="AC722:AG722"/>
    <mergeCell ref="AK722:AO722"/>
    <mergeCell ref="CM719:CN719"/>
    <mergeCell ref="CM721:CN721"/>
    <mergeCell ref="EC650:EG650"/>
    <mergeCell ref="EC655:EG655"/>
    <mergeCell ref="DX667:EB667"/>
    <mergeCell ref="EM641:EQ641"/>
    <mergeCell ref="DJ717:DN717"/>
    <mergeCell ref="DX652:EB652"/>
    <mergeCell ref="Z676:AK676"/>
    <mergeCell ref="CU717:CY717"/>
    <mergeCell ref="DE729:DI729"/>
    <mergeCell ref="DO729:DS729"/>
    <mergeCell ref="DU728:DY728"/>
    <mergeCell ref="DJ719:DN719"/>
    <mergeCell ref="EM636:EQ636"/>
    <mergeCell ref="DJ723:DN723"/>
    <mergeCell ref="AO641:AS641"/>
    <mergeCell ref="Z651:AK651"/>
    <mergeCell ref="AK638:AN638"/>
    <mergeCell ref="CM717:CN717"/>
    <mergeCell ref="AO624:AS626"/>
    <mergeCell ref="Z632:AB632"/>
    <mergeCell ref="AE693:AF693"/>
    <mergeCell ref="AK714:AO717"/>
    <mergeCell ref="AK718:AO718"/>
    <mergeCell ref="DE726:DI726"/>
    <mergeCell ref="AK721:AO721"/>
    <mergeCell ref="AI655:AK655"/>
    <mergeCell ref="W703:AK703"/>
    <mergeCell ref="AF636:AJ636"/>
    <mergeCell ref="AE699:AI699"/>
    <mergeCell ref="DE720:DI720"/>
    <mergeCell ref="DE724:DI724"/>
    <mergeCell ref="AA672:AK672"/>
    <mergeCell ref="DO717:DS717"/>
    <mergeCell ref="X725:AB725"/>
    <mergeCell ref="CU722:CY722"/>
    <mergeCell ref="CZ722:DD722"/>
    <mergeCell ref="CG725:CH725"/>
    <mergeCell ref="CZ723:DD723"/>
    <mergeCell ref="DE718:DI718"/>
    <mergeCell ref="EH652:EL652"/>
    <mergeCell ref="CZ721:DD721"/>
    <mergeCell ref="DZ720:ED720"/>
    <mergeCell ref="EJ719:EN719"/>
    <mergeCell ref="DJ720:DN720"/>
    <mergeCell ref="DJ722:DN722"/>
    <mergeCell ref="DE721:DI721"/>
    <mergeCell ref="DE723:DI723"/>
    <mergeCell ref="AK628:AN628"/>
    <mergeCell ref="AM564:AS564"/>
    <mergeCell ref="AI581:AK581"/>
    <mergeCell ref="Z601:AK601"/>
    <mergeCell ref="DE717:DI717"/>
    <mergeCell ref="CU719:CY719"/>
    <mergeCell ref="CG718:CH718"/>
    <mergeCell ref="EE722:EI722"/>
    <mergeCell ref="AC719:AG719"/>
    <mergeCell ref="CZ724:DD724"/>
    <mergeCell ref="AO627:AS627"/>
    <mergeCell ref="EM649:EQ649"/>
    <mergeCell ref="EM654:EQ654"/>
    <mergeCell ref="EM653:EQ653"/>
    <mergeCell ref="CU718:CY718"/>
    <mergeCell ref="EE724:EI724"/>
    <mergeCell ref="Z679:AE679"/>
    <mergeCell ref="Z670:AK670"/>
    <mergeCell ref="DO721:DS721"/>
    <mergeCell ref="Z671:AE671"/>
    <mergeCell ref="AF629:AJ629"/>
    <mergeCell ref="AI613:AK613"/>
    <mergeCell ref="AA614:AK614"/>
    <mergeCell ref="AC624:AE626"/>
    <mergeCell ref="Z631:AB631"/>
    <mergeCell ref="ET724:EX724"/>
    <mergeCell ref="EO726:ES726"/>
    <mergeCell ref="ET726:EX726"/>
    <mergeCell ref="ET722:EX722"/>
    <mergeCell ref="ET720:EX720"/>
    <mergeCell ref="EO728:ES728"/>
    <mergeCell ref="ET728:EX728"/>
    <mergeCell ref="EJ729:EN729"/>
    <mergeCell ref="DU731:DY731"/>
    <mergeCell ref="EO720:ES720"/>
    <mergeCell ref="ET719:EX719"/>
    <mergeCell ref="EJ722:EN722"/>
    <mergeCell ref="DU730:DY730"/>
    <mergeCell ref="EO729:ES729"/>
    <mergeCell ref="EE727:EI727"/>
    <mergeCell ref="EE723:EI723"/>
    <mergeCell ref="EJ723:EN723"/>
    <mergeCell ref="DZ728:ED728"/>
    <mergeCell ref="EJ725:EN725"/>
    <mergeCell ref="DZ726:ED726"/>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CZ729:DD729"/>
    <mergeCell ref="CZ725:DD725"/>
    <mergeCell ref="CZ727:DD727"/>
    <mergeCell ref="CU728:CY728"/>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AC887:AH887"/>
    <mergeCell ref="F932:T932"/>
    <mergeCell ref="AA939:AF939"/>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C830:H830"/>
    <mergeCell ref="F831:L831"/>
    <mergeCell ref="U827:X827"/>
    <mergeCell ref="C827:H827"/>
    <mergeCell ref="U938:Z938"/>
    <mergeCell ref="W843:AC843"/>
    <mergeCell ref="AA928:AF928"/>
    <mergeCell ref="AA936:AF936"/>
    <mergeCell ref="U943:Z943"/>
    <mergeCell ref="U941:Z941"/>
    <mergeCell ref="AA943:AF943"/>
    <mergeCell ref="Q832:T832"/>
    <mergeCell ref="AG830:AJ830"/>
    <mergeCell ref="U832:X832"/>
    <mergeCell ref="F944:T944"/>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17:AE917"/>
    <mergeCell ref="M958:S958"/>
    <mergeCell ref="AA972:AG972"/>
    <mergeCell ref="D1125:AK1127"/>
    <mergeCell ref="A1097:B1097"/>
    <mergeCell ref="AE960:AK960"/>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AC751:AG751"/>
    <mergeCell ref="O745:S745"/>
    <mergeCell ref="C826:H826"/>
    <mergeCell ref="X747:AB747"/>
    <mergeCell ref="AH752:AJ752"/>
    <mergeCell ref="AH751:AJ751"/>
    <mergeCell ref="O746:S746"/>
    <mergeCell ref="T746:W746"/>
    <mergeCell ref="K747:N747"/>
    <mergeCell ref="AH750:AJ750"/>
    <mergeCell ref="AK750:AO750"/>
    <mergeCell ref="E885:AB885"/>
    <mergeCell ref="M831:P831"/>
    <mergeCell ref="U823:X824"/>
    <mergeCell ref="Q831:T831"/>
    <mergeCell ref="M960:S960"/>
    <mergeCell ref="Z901:AE901"/>
    <mergeCell ref="O791:S791"/>
    <mergeCell ref="J783:N786"/>
    <mergeCell ref="T790:W790"/>
    <mergeCell ref="T793:W793"/>
    <mergeCell ref="O775:S775"/>
    <mergeCell ref="J792:N792"/>
    <mergeCell ref="Z806:AE806"/>
    <mergeCell ref="X791:AB791"/>
    <mergeCell ref="J788:N788"/>
    <mergeCell ref="K746:N746"/>
    <mergeCell ref="T751:W751"/>
    <mergeCell ref="O776:S776"/>
    <mergeCell ref="O769:S772"/>
    <mergeCell ref="B754:AH755"/>
    <mergeCell ref="K752:N752"/>
    <mergeCell ref="J774:N774"/>
    <mergeCell ref="AC747:AG747"/>
    <mergeCell ref="J773:N773"/>
    <mergeCell ref="O773:S773"/>
    <mergeCell ref="T752:W752"/>
    <mergeCell ref="J776:N776"/>
    <mergeCell ref="G753:J753"/>
    <mergeCell ref="AD759:AF759"/>
    <mergeCell ref="G750:J750"/>
    <mergeCell ref="O792:S792"/>
    <mergeCell ref="T788:W788"/>
    <mergeCell ref="T789:W789"/>
    <mergeCell ref="O795:S795"/>
    <mergeCell ref="AC791:AG791"/>
    <mergeCell ref="O774:S774"/>
    <mergeCell ref="O794:S794"/>
    <mergeCell ref="X769:AB772"/>
    <mergeCell ref="AC730:AG730"/>
    <mergeCell ref="AH727:AJ727"/>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D1029:AE1029"/>
    <mergeCell ref="B991:AA991"/>
    <mergeCell ref="D994:AE994"/>
    <mergeCell ref="B739:F739"/>
    <mergeCell ref="K735:N735"/>
    <mergeCell ref="K736:N736"/>
    <mergeCell ref="G736:J736"/>
    <mergeCell ref="B751:F751"/>
    <mergeCell ref="O732:S732"/>
    <mergeCell ref="Z809:AE809"/>
    <mergeCell ref="G735:J735"/>
    <mergeCell ref="K743:N743"/>
    <mergeCell ref="D1001:AE1001"/>
    <mergeCell ref="D1002:AE1006"/>
    <mergeCell ref="D1011:AE1011"/>
    <mergeCell ref="O736:S736"/>
    <mergeCell ref="K742:N742"/>
    <mergeCell ref="O742:S742"/>
    <mergeCell ref="B744:F744"/>
    <mergeCell ref="B745:F745"/>
    <mergeCell ref="AC739:AG739"/>
    <mergeCell ref="X732:AB732"/>
    <mergeCell ref="K734:N734"/>
    <mergeCell ref="AK720:AO720"/>
    <mergeCell ref="X736:AB736"/>
    <mergeCell ref="T735:W735"/>
    <mergeCell ref="AK724:AO724"/>
    <mergeCell ref="AK736:AO736"/>
    <mergeCell ref="G748:J748"/>
    <mergeCell ref="G749:J749"/>
    <mergeCell ref="O743:S743"/>
    <mergeCell ref="T743:W743"/>
    <mergeCell ref="K744:N744"/>
    <mergeCell ref="O744:S744"/>
    <mergeCell ref="T748:W748"/>
    <mergeCell ref="K748:N748"/>
    <mergeCell ref="M967:S967"/>
    <mergeCell ref="W878:AC878"/>
    <mergeCell ref="U931:Z931"/>
    <mergeCell ref="F915:T915"/>
    <mergeCell ref="AA946:AF946"/>
    <mergeCell ref="Z814:AE814"/>
    <mergeCell ref="M955:S955"/>
    <mergeCell ref="U928:Z928"/>
    <mergeCell ref="D990:Q990"/>
    <mergeCell ref="AB989:AI989"/>
    <mergeCell ref="AB990:AI990"/>
    <mergeCell ref="D1000:AE1000"/>
    <mergeCell ref="T718:W718"/>
    <mergeCell ref="O721:S721"/>
    <mergeCell ref="K722:N722"/>
    <mergeCell ref="K723:N723"/>
    <mergeCell ref="T723:W723"/>
    <mergeCell ref="K721:N721"/>
    <mergeCell ref="G667:R667"/>
    <mergeCell ref="AC731:AG731"/>
    <mergeCell ref="F975:L975"/>
    <mergeCell ref="AA945:AF945"/>
    <mergeCell ref="U918:Z918"/>
    <mergeCell ref="T973:Z973"/>
    <mergeCell ref="I947:T947"/>
    <mergeCell ref="U948:Z948"/>
    <mergeCell ref="U935:Z935"/>
    <mergeCell ref="AA923:AF923"/>
    <mergeCell ref="AA944:AF944"/>
    <mergeCell ref="F946:H946"/>
    <mergeCell ref="U920:Z920"/>
    <mergeCell ref="J957:S957"/>
    <mergeCell ref="AC885:AH885"/>
    <mergeCell ref="W861:AC861"/>
    <mergeCell ref="C895:AB895"/>
    <mergeCell ref="AE956:AK956"/>
    <mergeCell ref="P945:T945"/>
    <mergeCell ref="G737:J737"/>
    <mergeCell ref="U944:Z944"/>
    <mergeCell ref="AA947:AF947"/>
    <mergeCell ref="AB988:AI988"/>
    <mergeCell ref="R986:AA986"/>
    <mergeCell ref="M959:S959"/>
    <mergeCell ref="M969:S969"/>
    <mergeCell ref="AA935:AF935"/>
    <mergeCell ref="AA918:AF918"/>
    <mergeCell ref="AA969:AG969"/>
    <mergeCell ref="AA949:AF949"/>
    <mergeCell ref="AA967:AG967"/>
    <mergeCell ref="M961:S961"/>
    <mergeCell ref="AA970:AG970"/>
    <mergeCell ref="M970:S970"/>
    <mergeCell ref="AA971:AG971"/>
    <mergeCell ref="T972:Z972"/>
    <mergeCell ref="AE961:AK961"/>
    <mergeCell ref="AA948:AF948"/>
    <mergeCell ref="M968:S968"/>
    <mergeCell ref="AA940:AF940"/>
    <mergeCell ref="AA926:AF926"/>
    <mergeCell ref="U927:Z927"/>
    <mergeCell ref="AA927:AF927"/>
    <mergeCell ref="F929:T929"/>
    <mergeCell ref="U949:Z949"/>
    <mergeCell ref="I949:T949"/>
    <mergeCell ref="U923:Z923"/>
    <mergeCell ref="AA931:AF931"/>
    <mergeCell ref="U932:Z932"/>
    <mergeCell ref="AA932:AF932"/>
    <mergeCell ref="F938:T938"/>
    <mergeCell ref="AB957:AK957"/>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T729:FX729"/>
    <mergeCell ref="FO725:FS725"/>
    <mergeCell ref="M975:S975"/>
    <mergeCell ref="D985:Q985"/>
    <mergeCell ref="D986:Q986"/>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AG1011:AH1011"/>
    <mergeCell ref="D1007:AE1007"/>
    <mergeCell ref="R990:AA990"/>
    <mergeCell ref="AG1013:AH1013"/>
    <mergeCell ref="AG1016:AH1016"/>
    <mergeCell ref="AG1020:AH1020"/>
    <mergeCell ref="D1016:AE1016"/>
    <mergeCell ref="D1008:AE1010"/>
    <mergeCell ref="AF1021:AI1022"/>
    <mergeCell ref="AJ990:AQ990"/>
    <mergeCell ref="X774:AB774"/>
    <mergeCell ref="T773:W773"/>
    <mergeCell ref="FO717:FS717"/>
    <mergeCell ref="FJ721:FN721"/>
    <mergeCell ref="FO721:FS721"/>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Y728:GC728"/>
    <mergeCell ref="EZ729:FD729"/>
    <mergeCell ref="FE729:FI729"/>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O723:FS723"/>
    <mergeCell ref="FT723:FX723"/>
    <mergeCell ref="FY723:GC723"/>
    <mergeCell ref="EZ724:FD724"/>
    <mergeCell ref="FT724:FX724"/>
    <mergeCell ref="FY724:GC724"/>
    <mergeCell ref="FJ724:FN724"/>
    <mergeCell ref="FO724:FS724"/>
    <mergeCell ref="FO720:FS72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J725:FN725"/>
    <mergeCell ref="EZ720:FD720"/>
    <mergeCell ref="FE720:FI720"/>
    <mergeCell ref="FJ720:FN720"/>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T737:FX737"/>
    <mergeCell ref="FE730:FI730"/>
    <mergeCell ref="FJ730:FN730"/>
    <mergeCell ref="FO730:FS730"/>
    <mergeCell ref="FT730:FX730"/>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51:FI751"/>
    <mergeCell ref="FJ751:FN751"/>
    <mergeCell ref="FO751:FS751"/>
    <mergeCell ref="FT740:FX740"/>
    <mergeCell ref="FT733:FX733"/>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EZ739:FD739"/>
    <mergeCell ref="FE739:FI739"/>
    <mergeCell ref="FT735:FX735"/>
    <mergeCell ref="FY735:GC735"/>
    <mergeCell ref="EZ736:FD736"/>
    <mergeCell ref="FE736:FI736"/>
    <mergeCell ref="FJ736:FN736"/>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FO735:FS735"/>
    <mergeCell ref="FE735:FI735"/>
    <mergeCell ref="FJ729:FN729"/>
    <mergeCell ref="FO729:FS729"/>
    <mergeCell ref="ET736:EX736"/>
    <mergeCell ref="EE735:EI735"/>
    <mergeCell ref="EJ734:EN734"/>
    <mergeCell ref="EE733:EI733"/>
    <mergeCell ref="ET732:EX732"/>
    <mergeCell ref="EE728:EI728"/>
    <mergeCell ref="EJ728:EN728"/>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DX645:EB645"/>
    <mergeCell ref="EW641:FA641"/>
    <mergeCell ref="EZ717:FD717"/>
    <mergeCell ref="FE717:FI717"/>
    <mergeCell ref="FJ717:FN717"/>
    <mergeCell ref="EW670:FA670"/>
    <mergeCell ref="EW656:FA656"/>
    <mergeCell ref="DU729:DY729"/>
    <mergeCell ref="DJ730:DN730"/>
    <mergeCell ref="DU721:DY721"/>
    <mergeCell ref="EE721:EI721"/>
    <mergeCell ref="EJ721:EN721"/>
    <mergeCell ref="DZ721:ED721"/>
    <mergeCell ref="DZ722:ED722"/>
    <mergeCell ref="DU717:DY717"/>
    <mergeCell ref="DU719:DY719"/>
    <mergeCell ref="EE717:EI717"/>
    <mergeCell ref="EC664:EG664"/>
    <mergeCell ref="EH664:EL664"/>
    <mergeCell ref="EO718:ES718"/>
    <mergeCell ref="EM668:EQ668"/>
    <mergeCell ref="DX670:EB670"/>
    <mergeCell ref="EM664:EQ664"/>
    <mergeCell ref="ER664:EV664"/>
    <mergeCell ref="DX664:EB664"/>
    <mergeCell ref="ET721:EX721"/>
    <mergeCell ref="EE720:EI720"/>
    <mergeCell ref="EO727:ES727"/>
    <mergeCell ref="DZ729:ED729"/>
    <mergeCell ref="DO723:DS723"/>
    <mergeCell ref="DO724:DS724"/>
    <mergeCell ref="DJ721:DN721"/>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DX650:EB650"/>
    <mergeCell ref="EO732:ES732"/>
    <mergeCell ref="ET729:EX729"/>
    <mergeCell ref="EW669:FA669"/>
    <mergeCell ref="EO725:ES725"/>
    <mergeCell ref="EJ724:EN724"/>
    <mergeCell ref="EO723:ES723"/>
    <mergeCell ref="EO722:ES722"/>
    <mergeCell ref="EJ720:EN720"/>
    <mergeCell ref="DZ731:ED731"/>
    <mergeCell ref="DU722:DY722"/>
    <mergeCell ref="ET725:EX725"/>
    <mergeCell ref="DU724:DY724"/>
    <mergeCell ref="DZ719:ED719"/>
    <mergeCell ref="EO730:ES730"/>
    <mergeCell ref="ET730:EX730"/>
    <mergeCell ref="EO724:ES724"/>
    <mergeCell ref="CZ775:DD775"/>
    <mergeCell ref="EO752:ES752"/>
    <mergeCell ref="EJ752:EN752"/>
    <mergeCell ref="ET738:EX738"/>
    <mergeCell ref="DU738:DY738"/>
    <mergeCell ref="CK745:CL745"/>
    <mergeCell ref="DE773:DI773"/>
    <mergeCell ref="CZ777:DD777"/>
    <mergeCell ref="DE777:DI777"/>
    <mergeCell ref="DE775:DI775"/>
    <mergeCell ref="EE751:EI751"/>
    <mergeCell ref="DU751:DY751"/>
    <mergeCell ref="DZ751:ED751"/>
    <mergeCell ref="DU752:DY752"/>
    <mergeCell ref="DZ752:ED752"/>
    <mergeCell ref="ER650:EV650"/>
    <mergeCell ref="EM650:EQ650"/>
    <mergeCell ref="DX653:EB653"/>
    <mergeCell ref="EC653:EG653"/>
    <mergeCell ref="DX654:EB654"/>
    <mergeCell ref="EO719:ES719"/>
    <mergeCell ref="ER662:EV662"/>
    <mergeCell ref="DU727:DY727"/>
    <mergeCell ref="EE726:EI726"/>
    <mergeCell ref="EJ726:EN726"/>
    <mergeCell ref="DO720:DS720"/>
    <mergeCell ref="DU718:DY718"/>
    <mergeCell ref="EC667:EG667"/>
    <mergeCell ref="EH667:EL667"/>
    <mergeCell ref="EM666:EQ666"/>
    <mergeCell ref="ER666:EV666"/>
    <mergeCell ref="EJ727:EN727"/>
    <mergeCell ref="DJ776:DN776"/>
    <mergeCell ref="ER654:EV654"/>
    <mergeCell ref="EM652:EQ652"/>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ET727:EX727"/>
    <mergeCell ref="DZ727:ED727"/>
    <mergeCell ref="ER657:EV657"/>
    <mergeCell ref="EW657:FA657"/>
    <mergeCell ref="EH659:EL659"/>
    <mergeCell ref="ET718:EX718"/>
    <mergeCell ref="DU725:DY725"/>
    <mergeCell ref="DZ725:ED725"/>
    <mergeCell ref="DU723:DY723"/>
    <mergeCell ref="DZ723:ED723"/>
    <mergeCell ref="EE719:EI719"/>
    <mergeCell ref="EW661:FA661"/>
    <mergeCell ref="DX655:EB655"/>
    <mergeCell ref="DZ734:ED734"/>
    <mergeCell ref="DU726:DY726"/>
    <mergeCell ref="DE739:DI739"/>
    <mergeCell ref="DJ737:DN737"/>
    <mergeCell ref="CU741:CY741"/>
    <mergeCell ref="EJ747:EN747"/>
    <mergeCell ref="FO740:FS740"/>
    <mergeCell ref="EC637:EG637"/>
    <mergeCell ref="EH637:EL637"/>
    <mergeCell ref="T624:V626"/>
    <mergeCell ref="ET751:EX751"/>
    <mergeCell ref="EJ751:EN751"/>
    <mergeCell ref="EO739:ES739"/>
    <mergeCell ref="ET739:EX739"/>
    <mergeCell ref="DJ773:DN773"/>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EE753:EI753"/>
    <mergeCell ref="EO753:ES753"/>
    <mergeCell ref="DE738:DI738"/>
    <mergeCell ref="ER639:EV639"/>
    <mergeCell ref="DX644:EB644"/>
    <mergeCell ref="DX642:EB642"/>
    <mergeCell ref="ER651:EV651"/>
    <mergeCell ref="ER652:EV652"/>
    <mergeCell ref="DZ733:ED733"/>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CZ753:DD753"/>
    <mergeCell ref="DE753:DI753"/>
    <mergeCell ref="DO751:DS751"/>
    <mergeCell ref="DO752:DS752"/>
    <mergeCell ref="DJ746:DN746"/>
    <mergeCell ref="DO746:DS746"/>
    <mergeCell ref="DZ753:ED753"/>
    <mergeCell ref="CZ740:DD740"/>
    <mergeCell ref="CZ750:DD750"/>
    <mergeCell ref="CZ776:DD776"/>
    <mergeCell ref="DE741:DI741"/>
    <mergeCell ref="CU773:CY773"/>
    <mergeCell ref="DE774:DI774"/>
    <mergeCell ref="CP775:CT775"/>
    <mergeCell ref="CP776:CT776"/>
    <mergeCell ref="DO774:DS774"/>
    <mergeCell ref="DU753:DY753"/>
    <mergeCell ref="DE776:DI77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DE751:DI751"/>
    <mergeCell ref="EE734:EI734"/>
    <mergeCell ref="DJ738:DN738"/>
    <mergeCell ref="DU739:DY739"/>
    <mergeCell ref="CU744:CY744"/>
    <mergeCell ref="CZ746:DD746"/>
    <mergeCell ref="DE744:DI744"/>
    <mergeCell ref="DE734:DI734"/>
    <mergeCell ref="CM733:CN733"/>
    <mergeCell ref="CI733:CJ733"/>
    <mergeCell ref="CP737:CT737"/>
    <mergeCell ref="CZ734:DD734"/>
    <mergeCell ref="CI735:CJ735"/>
    <mergeCell ref="CU736:CY736"/>
    <mergeCell ref="CP739:CT739"/>
    <mergeCell ref="CP738:CT738"/>
    <mergeCell ref="EJ733:EN733"/>
    <mergeCell ref="CK736:CL736"/>
    <mergeCell ref="DZ738:ED738"/>
    <mergeCell ref="EE738:EI738"/>
    <mergeCell ref="DE731:DI731"/>
    <mergeCell ref="CK732:CL732"/>
    <mergeCell ref="DE737:DI737"/>
    <mergeCell ref="CP733:CT733"/>
    <mergeCell ref="EC642:EG642"/>
    <mergeCell ref="EH642:EL642"/>
    <mergeCell ref="EM642:EQ642"/>
    <mergeCell ref="ER642:EV642"/>
    <mergeCell ref="EC644:EG644"/>
    <mergeCell ref="EH644:EL644"/>
    <mergeCell ref="DX656:EB656"/>
    <mergeCell ref="EC656:EG656"/>
    <mergeCell ref="EH656:EL656"/>
    <mergeCell ref="EM656:EQ656"/>
    <mergeCell ref="EM651:EQ651"/>
    <mergeCell ref="EH655:EL655"/>
    <mergeCell ref="EM655:EQ655"/>
    <mergeCell ref="EH647:EL647"/>
    <mergeCell ref="EM647:EQ647"/>
    <mergeCell ref="DX648:EB648"/>
    <mergeCell ref="DX651:EB651"/>
    <mergeCell ref="EC651:EG651"/>
    <mergeCell ref="EJ717:EN717"/>
    <mergeCell ref="EO736:ES736"/>
    <mergeCell ref="DO735:DS735"/>
    <mergeCell ref="DZ737:ED737"/>
    <mergeCell ref="EO721:ES721"/>
    <mergeCell ref="DU732:DY732"/>
    <mergeCell ref="DU733:DY733"/>
    <mergeCell ref="DX649:EB649"/>
    <mergeCell ref="EM662:EQ662"/>
    <mergeCell ref="EH653:EL653"/>
    <mergeCell ref="ER653:EV653"/>
    <mergeCell ref="EW647:FA647"/>
    <mergeCell ref="ER669:EV669"/>
    <mergeCell ref="EW655:FA655"/>
    <mergeCell ref="EW650:FA650"/>
    <mergeCell ref="ER668:EV668"/>
    <mergeCell ref="EW668:FA668"/>
    <mergeCell ref="EW664:FA664"/>
    <mergeCell ref="EW666:FA666"/>
    <mergeCell ref="EW654:FA654"/>
    <mergeCell ref="DX647:EB647"/>
    <mergeCell ref="ER661:EV661"/>
    <mergeCell ref="EW648:FA648"/>
    <mergeCell ref="EW651:FA651"/>
    <mergeCell ref="ER655:EV655"/>
    <mergeCell ref="EW649:FA649"/>
    <mergeCell ref="EW652:FA652"/>
    <mergeCell ref="EC661:EG661"/>
    <mergeCell ref="EH661:EL661"/>
    <mergeCell ref="EM648:EQ648"/>
    <mergeCell ref="EC652:EG652"/>
    <mergeCell ref="EW660:FA660"/>
    <mergeCell ref="DX661:EB661"/>
    <mergeCell ref="EH648:EL648"/>
    <mergeCell ref="EH651:EL651"/>
    <mergeCell ref="EH650:EL650"/>
    <mergeCell ref="ER649:EV649"/>
    <mergeCell ref="DX662:EB662"/>
    <mergeCell ref="EC662:EG662"/>
    <mergeCell ref="EH662:EL662"/>
    <mergeCell ref="DX659:EB659"/>
    <mergeCell ref="ER660:EV660"/>
    <mergeCell ref="EJ738:EN738"/>
    <mergeCell ref="DO732:DS732"/>
    <mergeCell ref="DZ739:ED739"/>
    <mergeCell ref="EE739:EI739"/>
    <mergeCell ref="DO753:DS753"/>
    <mergeCell ref="DO773:DS773"/>
    <mergeCell ref="DJ751:DN751"/>
    <mergeCell ref="DU734:DY734"/>
    <mergeCell ref="EM670:EQ670"/>
    <mergeCell ref="DZ718:ED718"/>
    <mergeCell ref="EE718:EI718"/>
    <mergeCell ref="EO717:ES717"/>
    <mergeCell ref="EO740:ES740"/>
    <mergeCell ref="DU736:DY736"/>
    <mergeCell ref="DO730:DS730"/>
    <mergeCell ref="DO731:DS731"/>
    <mergeCell ref="DJ728:DN728"/>
    <mergeCell ref="DJ735:DN735"/>
    <mergeCell ref="DU741:DY741"/>
    <mergeCell ref="EO738:ES738"/>
    <mergeCell ref="DO726:DS726"/>
    <mergeCell ref="DO727:DS727"/>
    <mergeCell ref="DO728:DS728"/>
    <mergeCell ref="DO722:DS722"/>
    <mergeCell ref="DO725:DS725"/>
    <mergeCell ref="DJ733:DN733"/>
    <mergeCell ref="DE735:DI735"/>
    <mergeCell ref="EE752:EI752"/>
    <mergeCell ref="DO736:DS736"/>
    <mergeCell ref="DZ750:ED750"/>
    <mergeCell ref="EE750:EI750"/>
    <mergeCell ref="EO737:ES737"/>
    <mergeCell ref="DU737:DY737"/>
    <mergeCell ref="DU735:DY735"/>
    <mergeCell ref="DO737:DS737"/>
    <mergeCell ref="DO738:DS738"/>
    <mergeCell ref="CU739:CY739"/>
    <mergeCell ref="B641:AN641"/>
    <mergeCell ref="G643:R643"/>
    <mergeCell ref="K738:N738"/>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K741:N741"/>
    <mergeCell ref="Z636:AB636"/>
    <mergeCell ref="Z637:AB637"/>
    <mergeCell ref="Z638:AB638"/>
    <mergeCell ref="W627:Y627"/>
    <mergeCell ref="T627:V62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K728:AO728"/>
    <mergeCell ref="M637:P637"/>
    <mergeCell ref="M638:P638"/>
    <mergeCell ref="AJ1045:AQ1048"/>
    <mergeCell ref="AJ1049:AQ1052"/>
    <mergeCell ref="U929:Z929"/>
    <mergeCell ref="B746:F746"/>
    <mergeCell ref="B747:F747"/>
    <mergeCell ref="B748:F748"/>
    <mergeCell ref="B749:F749"/>
    <mergeCell ref="B750:F750"/>
    <mergeCell ref="T750:W750"/>
    <mergeCell ref="AE962:AK962"/>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D1012:AE1012"/>
    <mergeCell ref="AF1027:AI1028"/>
    <mergeCell ref="M962:S962"/>
    <mergeCell ref="AA925:AF925"/>
    <mergeCell ref="AE958:AK958"/>
    <mergeCell ref="F916:T917"/>
    <mergeCell ref="F939:T939"/>
    <mergeCell ref="A1085:B1085"/>
    <mergeCell ref="A1081:B1081"/>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X735:AB735"/>
    <mergeCell ref="A1061:AQ1061"/>
    <mergeCell ref="AF1017:AI1019"/>
    <mergeCell ref="AF1014:AI1015"/>
    <mergeCell ref="C757:AM758"/>
    <mergeCell ref="G742:J742"/>
    <mergeCell ref="G743:J743"/>
    <mergeCell ref="G744:J744"/>
    <mergeCell ref="G745:J745"/>
    <mergeCell ref="G746:J746"/>
    <mergeCell ref="G747:J747"/>
    <mergeCell ref="C1084:D1084"/>
    <mergeCell ref="C1085:D1085"/>
    <mergeCell ref="G655:L655"/>
    <mergeCell ref="H656:R656"/>
    <mergeCell ref="AC733:AG733"/>
    <mergeCell ref="AG649:AH649"/>
    <mergeCell ref="H688:R688"/>
    <mergeCell ref="O737:S737"/>
    <mergeCell ref="O738:S738"/>
    <mergeCell ref="T740:W740"/>
    <mergeCell ref="AK730:AO730"/>
    <mergeCell ref="AC724:AG724"/>
    <mergeCell ref="T736:W736"/>
    <mergeCell ref="B740:F740"/>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C1087:D1087"/>
    <mergeCell ref="C1088:D1088"/>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73" zoomScale="110" zoomScaleNormal="110" workbookViewId="0">
      <selection activeCell="A70" sqref="A70"/>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81640625" style="158" hidden="1"/>
    <col min="16384" max="16384" width="8.984375E-2" style="158" customWidth="1"/>
  </cols>
  <sheetData>
    <row r="1" spans="1:21" s="110" customFormat="1" ht="13.5">
      <c r="A1" s="168" t="s">
        <v>549</v>
      </c>
      <c r="B1" s="125"/>
      <c r="C1" s="125"/>
      <c r="D1" s="125"/>
      <c r="E1" s="126"/>
      <c r="F1" s="1877" t="s">
        <v>621</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2)Deferred Developer Fee</v>
      </c>
      <c r="H2" s="139" t="str">
        <f>Application!B629&amp;Application!C629</f>
        <v>3)HCD-MHP</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3575000</v>
      </c>
      <c r="C4" s="147">
        <v>3575000</v>
      </c>
      <c r="D4" s="147"/>
      <c r="E4" s="147">
        <f>C4</f>
        <v>3575000</v>
      </c>
      <c r="F4" s="147"/>
      <c r="G4" s="147"/>
      <c r="H4" s="147"/>
      <c r="I4" s="147"/>
      <c r="J4" s="147"/>
      <c r="K4" s="147"/>
      <c r="L4" s="147"/>
      <c r="M4" s="147"/>
      <c r="N4" s="147"/>
      <c r="O4" s="147"/>
      <c r="P4" s="147"/>
      <c r="Q4" s="147"/>
      <c r="R4" s="516">
        <f>SUM(E4:Q4)</f>
        <v>3575000</v>
      </c>
      <c r="S4" s="148"/>
      <c r="T4" s="148"/>
      <c r="U4" s="143"/>
    </row>
    <row r="5" spans="1:21" s="144" customFormat="1">
      <c r="A5" s="145" t="s">
        <v>28</v>
      </c>
      <c r="B5" s="146">
        <f>SUM(C5+D5)</f>
        <v>150000</v>
      </c>
      <c r="C5" s="147">
        <v>150000</v>
      </c>
      <c r="D5" s="147"/>
      <c r="E5" s="147">
        <f>C5</f>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3725000</v>
      </c>
      <c r="C8" s="146">
        <f t="shared" ref="C8:Q8" si="0">SUM(C4:C7)</f>
        <v>3725000</v>
      </c>
      <c r="D8" s="146">
        <f t="shared" si="0"/>
        <v>0</v>
      </c>
      <c r="E8" s="146">
        <f t="shared" si="0"/>
        <v>3725000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3725000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4225000</v>
      </c>
      <c r="C12" s="146">
        <f t="shared" si="2"/>
        <v>4225000</v>
      </c>
      <c r="D12" s="146">
        <f t="shared" si="2"/>
        <v>0</v>
      </c>
      <c r="E12" s="146">
        <f t="shared" si="2"/>
        <v>4225000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4225000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C29-H29</f>
        <v>10000</v>
      </c>
      <c r="F29" s="147"/>
      <c r="G29" s="147"/>
      <c r="H29" s="147">
        <v>990000</v>
      </c>
      <c r="I29" s="147"/>
      <c r="J29" s="147"/>
      <c r="K29" s="147"/>
      <c r="L29" s="147"/>
      <c r="M29" s="147"/>
      <c r="N29" s="147"/>
      <c r="O29" s="147"/>
      <c r="P29" s="147"/>
      <c r="Q29" s="147"/>
      <c r="R29" s="516">
        <f t="shared" ref="R29:R37" si="7">SUM(E29:Q29)</f>
        <v>1000000</v>
      </c>
      <c r="S29" s="147">
        <v>1000000</v>
      </c>
      <c r="T29" s="147"/>
      <c r="U29" s="143"/>
    </row>
    <row r="30" spans="1:21" s="144" customFormat="1">
      <c r="A30" s="145" t="s">
        <v>599</v>
      </c>
      <c r="B30" s="146">
        <f t="shared" si="6"/>
        <v>13833661</v>
      </c>
      <c r="C30" s="147">
        <f>13833660+1</f>
        <v>13833661</v>
      </c>
      <c r="D30" s="147"/>
      <c r="E30" s="147">
        <f>C30-H30-F30</f>
        <v>819509</v>
      </c>
      <c r="F30" s="147">
        <f>4004152-2000000</f>
        <v>2004152</v>
      </c>
      <c r="G30" s="147"/>
      <c r="H30" s="147">
        <f>14010000-3000000</f>
        <v>11010000</v>
      </c>
      <c r="I30" s="147"/>
      <c r="J30" s="147"/>
      <c r="K30" s="147"/>
      <c r="L30" s="147"/>
      <c r="M30" s="147"/>
      <c r="N30" s="147"/>
      <c r="O30" s="147"/>
      <c r="P30" s="147"/>
      <c r="Q30" s="147"/>
      <c r="R30" s="516">
        <f t="shared" si="7"/>
        <v>13833661</v>
      </c>
      <c r="S30" s="147">
        <f>13833660+1</f>
        <v>13833661</v>
      </c>
      <c r="T30" s="147"/>
      <c r="U30" s="143"/>
    </row>
    <row r="31" spans="1:21" s="144" customFormat="1">
      <c r="A31" s="145" t="s">
        <v>600</v>
      </c>
      <c r="B31" s="146">
        <f t="shared" si="6"/>
        <v>1288027</v>
      </c>
      <c r="C31" s="147">
        <v>1288027</v>
      </c>
      <c r="D31" s="147"/>
      <c r="E31" s="147">
        <f>C31-F31</f>
        <v>288027</v>
      </c>
      <c r="F31" s="147">
        <f>1000000</f>
        <v>1000000</v>
      </c>
      <c r="G31" s="147"/>
      <c r="H31" s="147"/>
      <c r="I31" s="147"/>
      <c r="J31" s="147"/>
      <c r="K31" s="147"/>
      <c r="L31" s="147"/>
      <c r="M31" s="147"/>
      <c r="N31" s="147"/>
      <c r="O31" s="147"/>
      <c r="P31" s="147"/>
      <c r="Q31" s="147"/>
      <c r="R31" s="516">
        <f t="shared" si="7"/>
        <v>1288027</v>
      </c>
      <c r="S31" s="147">
        <v>1288027</v>
      </c>
      <c r="T31" s="147"/>
      <c r="U31" s="143"/>
    </row>
    <row r="32" spans="1:21" s="144" customFormat="1">
      <c r="A32" s="145" t="s">
        <v>137</v>
      </c>
      <c r="B32" s="146">
        <f t="shared" si="6"/>
        <v>736016</v>
      </c>
      <c r="C32" s="147">
        <v>736016</v>
      </c>
      <c r="D32" s="147"/>
      <c r="E32" s="147">
        <f>C32-F32</f>
        <v>336016</v>
      </c>
      <c r="F32" s="147">
        <v>400000</v>
      </c>
      <c r="G32" s="147"/>
      <c r="H32" s="147"/>
      <c r="I32" s="147"/>
      <c r="J32" s="147"/>
      <c r="K32" s="147"/>
      <c r="L32" s="147"/>
      <c r="M32" s="147"/>
      <c r="N32" s="147"/>
      <c r="O32" s="147"/>
      <c r="P32" s="147"/>
      <c r="Q32" s="147"/>
      <c r="R32" s="516">
        <f t="shared" si="7"/>
        <v>736016</v>
      </c>
      <c r="S32" s="147">
        <v>736016</v>
      </c>
      <c r="T32" s="147"/>
      <c r="U32" s="143"/>
    </row>
    <row r="33" spans="1:21" s="144" customFormat="1">
      <c r="A33" s="145" t="s">
        <v>138</v>
      </c>
      <c r="B33" s="146">
        <f t="shared" si="6"/>
        <v>552012</v>
      </c>
      <c r="C33" s="147">
        <v>552012</v>
      </c>
      <c r="D33" s="147"/>
      <c r="E33" s="147">
        <f>C33-F33</f>
        <v>152012</v>
      </c>
      <c r="F33" s="147">
        <v>400000</v>
      </c>
      <c r="G33" s="147"/>
      <c r="H33" s="147"/>
      <c r="I33" s="147"/>
      <c r="J33" s="147"/>
      <c r="K33" s="147"/>
      <c r="L33" s="147"/>
      <c r="M33" s="147"/>
      <c r="N33" s="147"/>
      <c r="O33" s="147"/>
      <c r="P33" s="147"/>
      <c r="Q33" s="147"/>
      <c r="R33" s="516">
        <f t="shared" si="7"/>
        <v>552012</v>
      </c>
      <c r="S33" s="147">
        <v>552012</v>
      </c>
      <c r="T33" s="147"/>
      <c r="U33" s="143"/>
    </row>
    <row r="34" spans="1:21" s="144" customFormat="1">
      <c r="A34" s="145" t="s">
        <v>139</v>
      </c>
      <c r="B34" s="146">
        <f t="shared" si="6"/>
        <v>3066732</v>
      </c>
      <c r="C34" s="147">
        <v>3066732</v>
      </c>
      <c r="D34" s="147"/>
      <c r="E34" s="147">
        <f>C34-H34</f>
        <v>66732</v>
      </c>
      <c r="F34" s="147"/>
      <c r="G34" s="147"/>
      <c r="H34" s="147">
        <v>3000000</v>
      </c>
      <c r="I34" s="147"/>
      <c r="J34" s="147"/>
      <c r="K34" s="147"/>
      <c r="L34" s="147"/>
      <c r="M34" s="147"/>
      <c r="N34" s="147"/>
      <c r="O34" s="147"/>
      <c r="P34" s="147"/>
      <c r="Q34" s="147"/>
      <c r="R34" s="516">
        <f t="shared" si="7"/>
        <v>3066732</v>
      </c>
      <c r="S34" s="147">
        <v>3066732</v>
      </c>
      <c r="T34" s="147"/>
      <c r="U34" s="143"/>
    </row>
    <row r="35" spans="1:21" s="144" customFormat="1">
      <c r="A35" s="145" t="s">
        <v>140</v>
      </c>
      <c r="B35" s="146">
        <f t="shared" si="6"/>
        <v>209764</v>
      </c>
      <c r="C35" s="147">
        <v>209764</v>
      </c>
      <c r="D35" s="147"/>
      <c r="E35" s="147">
        <f>C35-F35</f>
        <v>9764</v>
      </c>
      <c r="F35" s="147">
        <v>200000</v>
      </c>
      <c r="G35" s="147"/>
      <c r="H35" s="147"/>
      <c r="I35" s="147"/>
      <c r="J35" s="147"/>
      <c r="K35" s="147"/>
      <c r="L35" s="147"/>
      <c r="M35" s="147"/>
      <c r="N35" s="147"/>
      <c r="O35" s="147"/>
      <c r="P35" s="147"/>
      <c r="Q35" s="147"/>
      <c r="R35" s="516">
        <f t="shared" si="7"/>
        <v>209764</v>
      </c>
      <c r="S35" s="147">
        <v>209764</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20686212</v>
      </c>
      <c r="C38" s="146">
        <f>SUM(C29:C37)</f>
        <v>20686212</v>
      </c>
      <c r="D38" s="146">
        <f t="shared" ref="D38:Q38" si="8">SUM(D29:D37)</f>
        <v>0</v>
      </c>
      <c r="E38" s="146">
        <f t="shared" si="8"/>
        <v>1682060</v>
      </c>
      <c r="F38" s="146">
        <f t="shared" si="8"/>
        <v>4004152</v>
      </c>
      <c r="G38" s="146">
        <f t="shared" si="8"/>
        <v>0</v>
      </c>
      <c r="H38" s="146">
        <f t="shared" si="8"/>
        <v>15000000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20686212</v>
      </c>
      <c r="S38" s="150">
        <f>SUM(S29:S37)</f>
        <v>20686212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640000</v>
      </c>
      <c r="C40" s="147">
        <v>640000</v>
      </c>
      <c r="D40" s="147"/>
      <c r="E40" s="147">
        <f>C40</f>
        <v>640000</v>
      </c>
      <c r="F40" s="147"/>
      <c r="G40" s="147"/>
      <c r="H40" s="147"/>
      <c r="I40" s="147"/>
      <c r="J40" s="147"/>
      <c r="K40" s="147"/>
      <c r="L40" s="147"/>
      <c r="M40" s="147"/>
      <c r="N40" s="147"/>
      <c r="O40" s="147"/>
      <c r="P40" s="147"/>
      <c r="Q40" s="147"/>
      <c r="R40" s="516">
        <f>SUM(E40:Q40)</f>
        <v>640000</v>
      </c>
      <c r="S40" s="147">
        <v>640000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640000</v>
      </c>
      <c r="C42" s="146">
        <f>SUM(C39:C41)</f>
        <v>640000</v>
      </c>
      <c r="D42" s="146">
        <f>SUM(D39:D41)</f>
        <v>0</v>
      </c>
      <c r="E42" s="146">
        <f t="shared" ref="E42:T42" si="9">SUM(E40:E41)</f>
        <v>640000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640000</v>
      </c>
      <c r="S42" s="150">
        <f t="shared" si="9"/>
        <v>640000</v>
      </c>
      <c r="T42" s="150">
        <f t="shared" si="9"/>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3535138</v>
      </c>
      <c r="C45" s="147">
        <v>3535138</v>
      </c>
      <c r="D45" s="147"/>
      <c r="E45" s="147">
        <f>C45</f>
        <v>3535138</v>
      </c>
      <c r="F45" s="147"/>
      <c r="G45" s="147"/>
      <c r="H45" s="147"/>
      <c r="I45" s="147"/>
      <c r="J45" s="147"/>
      <c r="K45" s="147"/>
      <c r="L45" s="147"/>
      <c r="M45" s="147"/>
      <c r="N45" s="147"/>
      <c r="O45" s="147"/>
      <c r="P45" s="147"/>
      <c r="Q45" s="147"/>
      <c r="R45" s="516">
        <f t="shared" ref="R45:R53" si="11">SUM(E45:Q45)</f>
        <v>3535138</v>
      </c>
      <c r="S45" s="147">
        <v>2369123</v>
      </c>
      <c r="T45" s="147"/>
      <c r="U45" s="143"/>
    </row>
    <row r="46" spans="1:21" s="144" customFormat="1">
      <c r="A46" s="145" t="s">
        <v>151</v>
      </c>
      <c r="B46" s="146">
        <f t="shared" si="10"/>
        <v>249115</v>
      </c>
      <c r="C46" s="147">
        <v>249115</v>
      </c>
      <c r="D46" s="147"/>
      <c r="E46" s="147">
        <f t="shared" ref="E46:E53" si="12">C46</f>
        <v>249115</v>
      </c>
      <c r="F46" s="147"/>
      <c r="G46" s="147"/>
      <c r="H46" s="147"/>
      <c r="I46" s="147"/>
      <c r="J46" s="147"/>
      <c r="K46" s="147"/>
      <c r="L46" s="147"/>
      <c r="M46" s="147"/>
      <c r="N46" s="147"/>
      <c r="O46" s="147"/>
      <c r="P46" s="147"/>
      <c r="Q46" s="147"/>
      <c r="R46" s="516">
        <f t="shared" si="11"/>
        <v>249115</v>
      </c>
      <c r="S46" s="147">
        <v>186836</v>
      </c>
      <c r="T46" s="147"/>
      <c r="U46" s="143"/>
    </row>
    <row r="47" spans="1:21" s="144" customFormat="1">
      <c r="A47" s="186" t="s">
        <v>152</v>
      </c>
      <c r="B47" s="146">
        <f t="shared" si="10"/>
        <v>15000</v>
      </c>
      <c r="C47" s="147">
        <v>15000</v>
      </c>
      <c r="D47" s="147"/>
      <c r="E47" s="147">
        <f t="shared" si="12"/>
        <v>15000</v>
      </c>
      <c r="F47" s="147"/>
      <c r="G47" s="147"/>
      <c r="H47" s="147"/>
      <c r="I47" s="147"/>
      <c r="J47" s="147"/>
      <c r="K47" s="147"/>
      <c r="L47" s="147"/>
      <c r="M47" s="147"/>
      <c r="N47" s="147"/>
      <c r="O47" s="147"/>
      <c r="P47" s="147"/>
      <c r="Q47" s="147"/>
      <c r="R47" s="516">
        <f t="shared" si="11"/>
        <v>15000</v>
      </c>
      <c r="S47" s="147">
        <v>11250</v>
      </c>
      <c r="T47" s="147"/>
      <c r="U47" s="143"/>
    </row>
    <row r="48" spans="1:21" s="144" customFormat="1">
      <c r="A48" s="145" t="s">
        <v>153</v>
      </c>
      <c r="B48" s="146">
        <f t="shared" si="10"/>
        <v>188788</v>
      </c>
      <c r="C48" s="147">
        <v>188788</v>
      </c>
      <c r="D48" s="147"/>
      <c r="E48" s="147">
        <f t="shared" si="12"/>
        <v>188788</v>
      </c>
      <c r="F48" s="147"/>
      <c r="G48" s="147"/>
      <c r="H48" s="147"/>
      <c r="I48" s="147"/>
      <c r="J48" s="147"/>
      <c r="K48" s="147"/>
      <c r="L48" s="147"/>
      <c r="M48" s="147"/>
      <c r="N48" s="147"/>
      <c r="O48" s="147"/>
      <c r="P48" s="147"/>
      <c r="Q48" s="147"/>
      <c r="R48" s="516">
        <f t="shared" si="11"/>
        <v>188788</v>
      </c>
      <c r="S48" s="147">
        <v>188788</v>
      </c>
      <c r="T48" s="147"/>
      <c r="U48" s="143"/>
    </row>
    <row r="49" spans="1:21" s="144" customFormat="1">
      <c r="A49" s="145" t="s">
        <v>57</v>
      </c>
      <c r="B49" s="146">
        <f t="shared" si="10"/>
        <v>62279</v>
      </c>
      <c r="C49" s="147">
        <v>62279</v>
      </c>
      <c r="D49" s="147"/>
      <c r="E49" s="147">
        <f t="shared" si="12"/>
        <v>62279</v>
      </c>
      <c r="F49" s="147"/>
      <c r="G49" s="147"/>
      <c r="H49" s="147"/>
      <c r="I49" s="147"/>
      <c r="J49" s="147"/>
      <c r="K49" s="147"/>
      <c r="L49" s="147"/>
      <c r="M49" s="147"/>
      <c r="N49" s="147"/>
      <c r="O49" s="147"/>
      <c r="P49" s="147"/>
      <c r="Q49" s="147"/>
      <c r="R49" s="516">
        <f t="shared" si="11"/>
        <v>62279</v>
      </c>
      <c r="S49" s="147">
        <v>62279</v>
      </c>
      <c r="T49" s="147"/>
      <c r="U49" s="143"/>
    </row>
    <row r="50" spans="1:21" s="144" customFormat="1">
      <c r="A50" s="145" t="s">
        <v>156</v>
      </c>
      <c r="B50" s="146">
        <f t="shared" si="10"/>
        <v>100000</v>
      </c>
      <c r="C50" s="147">
        <v>100000</v>
      </c>
      <c r="D50" s="147"/>
      <c r="E50" s="147">
        <f t="shared" si="12"/>
        <v>100000</v>
      </c>
      <c r="F50" s="147"/>
      <c r="G50" s="147"/>
      <c r="H50" s="147"/>
      <c r="I50" s="147"/>
      <c r="J50" s="147"/>
      <c r="K50" s="147"/>
      <c r="L50" s="147"/>
      <c r="M50" s="147"/>
      <c r="N50" s="147"/>
      <c r="O50" s="147"/>
      <c r="P50" s="147"/>
      <c r="Q50" s="147"/>
      <c r="R50" s="516">
        <f t="shared" si="11"/>
        <v>100000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214000</v>
      </c>
      <c r="C52" s="147">
        <v>214000</v>
      </c>
      <c r="D52" s="147"/>
      <c r="E52" s="147">
        <f t="shared" si="12"/>
        <v>214000</v>
      </c>
      <c r="F52" s="147"/>
      <c r="G52" s="147"/>
      <c r="H52" s="147"/>
      <c r="I52" s="147"/>
      <c r="J52" s="147"/>
      <c r="K52" s="147"/>
      <c r="L52" s="147"/>
      <c r="M52" s="147"/>
      <c r="N52" s="147"/>
      <c r="O52" s="147"/>
      <c r="P52" s="147"/>
      <c r="Q52" s="147"/>
      <c r="R52" s="516">
        <f t="shared" si="11"/>
        <v>214000</v>
      </c>
      <c r="S52" s="147">
        <v>214000</v>
      </c>
      <c r="T52" s="147"/>
      <c r="U52" s="143"/>
    </row>
    <row r="53" spans="1:21" s="144" customFormat="1">
      <c r="A53" s="1149" t="s">
        <v>2741</v>
      </c>
      <c r="B53" s="146">
        <f t="shared" si="10"/>
        <v>25000</v>
      </c>
      <c r="C53" s="147">
        <v>25000</v>
      </c>
      <c r="D53" s="147"/>
      <c r="E53" s="147">
        <f t="shared" si="12"/>
        <v>25000</v>
      </c>
      <c r="F53" s="147"/>
      <c r="G53" s="147"/>
      <c r="H53" s="147"/>
      <c r="I53" s="147"/>
      <c r="J53" s="147"/>
      <c r="K53" s="147"/>
      <c r="L53" s="147"/>
      <c r="M53" s="147"/>
      <c r="N53" s="147"/>
      <c r="O53" s="147"/>
      <c r="P53" s="147"/>
      <c r="Q53" s="147"/>
      <c r="R53" s="516">
        <f t="shared" si="11"/>
        <v>25000</v>
      </c>
      <c r="S53" s="147">
        <v>25000</v>
      </c>
      <c r="T53" s="147"/>
      <c r="U53" s="143"/>
    </row>
    <row r="54" spans="1:21" s="153" customFormat="1">
      <c r="A54" s="149" t="s">
        <v>157</v>
      </c>
      <c r="B54" s="150">
        <f>SUM(C54:D54)</f>
        <v>4389320</v>
      </c>
      <c r="C54" s="150">
        <f t="shared" ref="C54:T54" si="13">SUM(C45:C53)</f>
        <v>4389320</v>
      </c>
      <c r="D54" s="150">
        <f t="shared" si="13"/>
        <v>0</v>
      </c>
      <c r="E54" s="150">
        <f t="shared" si="13"/>
        <v>4389320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4389320</v>
      </c>
      <c r="S54" s="150">
        <f t="shared" si="13"/>
        <v>3132276</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10000</v>
      </c>
      <c r="C58" s="147">
        <v>10000</v>
      </c>
      <c r="D58" s="147"/>
      <c r="E58" s="147">
        <f>C58</f>
        <v>10000</v>
      </c>
      <c r="F58" s="147"/>
      <c r="G58" s="147"/>
      <c r="H58" s="147"/>
      <c r="I58" s="147"/>
      <c r="J58" s="147"/>
      <c r="K58" s="147"/>
      <c r="L58" s="147"/>
      <c r="M58" s="147"/>
      <c r="N58" s="147"/>
      <c r="O58" s="147"/>
      <c r="P58" s="147"/>
      <c r="Q58" s="147"/>
      <c r="R58" s="516">
        <f t="shared" si="15"/>
        <v>10000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2742</v>
      </c>
      <c r="B61" s="146">
        <f t="shared" si="14"/>
        <v>15000</v>
      </c>
      <c r="C61" s="147">
        <v>15000</v>
      </c>
      <c r="D61" s="147"/>
      <c r="E61" s="147">
        <f>C61</f>
        <v>15000</v>
      </c>
      <c r="F61" s="147"/>
      <c r="G61" s="147"/>
      <c r="H61" s="147"/>
      <c r="I61" s="147"/>
      <c r="J61" s="147"/>
      <c r="K61" s="147"/>
      <c r="L61" s="147"/>
      <c r="M61" s="147"/>
      <c r="N61" s="147"/>
      <c r="O61" s="147"/>
      <c r="P61" s="147"/>
      <c r="Q61" s="147"/>
      <c r="R61" s="516">
        <f t="shared" si="15"/>
        <v>15000</v>
      </c>
      <c r="S61" s="148"/>
      <c r="T61" s="148"/>
      <c r="U61" s="143"/>
    </row>
    <row r="62" spans="1:21" s="144" customFormat="1" ht="13.75" customHeight="1">
      <c r="A62" s="149" t="s">
        <v>301</v>
      </c>
      <c r="B62" s="146">
        <f>SUM(C62:D62)</f>
        <v>25000</v>
      </c>
      <c r="C62" s="146">
        <f t="shared" ref="C62:R62" si="16">SUM(C56:C61)</f>
        <v>25000</v>
      </c>
      <c r="D62" s="146">
        <f t="shared" si="16"/>
        <v>0</v>
      </c>
      <c r="E62" s="146">
        <f t="shared" si="16"/>
        <v>25000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25000</v>
      </c>
      <c r="S62" s="148"/>
      <c r="T62" s="148"/>
      <c r="U62" s="143"/>
    </row>
    <row r="63" spans="1:21" s="144" customFormat="1">
      <c r="A63" s="154" t="s">
        <v>302</v>
      </c>
      <c r="B63" s="146">
        <f t="shared" ref="B63:R63" si="17">SUM(B8+B11+B13+B14+B15+B26+B27+B38+B42+B43+B54+B62)</f>
        <v>30615532</v>
      </c>
      <c r="C63" s="146">
        <f t="shared" si="17"/>
        <v>30615532</v>
      </c>
      <c r="D63" s="146">
        <f t="shared" si="17"/>
        <v>0</v>
      </c>
      <c r="E63" s="146">
        <f t="shared" si="17"/>
        <v>11611380</v>
      </c>
      <c r="F63" s="146">
        <f t="shared" si="17"/>
        <v>4004152</v>
      </c>
      <c r="G63" s="146">
        <f t="shared" si="17"/>
        <v>0</v>
      </c>
      <c r="H63" s="146">
        <f t="shared" si="17"/>
        <v>15000000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30615532</v>
      </c>
      <c r="S63" s="146">
        <f>SUM(S10+S13+S14+S15+S26+S27+S38+S42+S43+S54)</f>
        <v>25608488</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9" t="s">
        <v>2765</v>
      </c>
      <c r="B69" s="146">
        <f>SUM(C69+D69)</f>
        <v>144900</v>
      </c>
      <c r="C69" s="147">
        <f>75000+23300+23300+23300</f>
        <v>144900</v>
      </c>
      <c r="D69" s="147"/>
      <c r="E69" s="147">
        <f>C69</f>
        <v>144900</v>
      </c>
      <c r="F69" s="147"/>
      <c r="G69" s="147"/>
      <c r="H69" s="147"/>
      <c r="I69" s="147"/>
      <c r="J69" s="147"/>
      <c r="K69" s="147"/>
      <c r="L69" s="147"/>
      <c r="M69" s="147"/>
      <c r="N69" s="147"/>
      <c r="O69" s="147"/>
      <c r="P69" s="147"/>
      <c r="Q69" s="147"/>
      <c r="R69" s="516">
        <f>SUM(E69:Q69)</f>
        <v>144900</v>
      </c>
      <c r="S69" s="147">
        <v>75000</v>
      </c>
      <c r="T69" s="147"/>
      <c r="U69" s="143"/>
    </row>
    <row r="70" spans="1:21" s="144" customFormat="1">
      <c r="A70" s="149" t="s">
        <v>1645</v>
      </c>
      <c r="B70" s="146">
        <f>SUM(C70:D70)</f>
        <v>244900</v>
      </c>
      <c r="C70" s="146">
        <f>SUM(C65:C69)</f>
        <v>244900</v>
      </c>
      <c r="D70" s="146">
        <f>SUM(D65:D69)</f>
        <v>0</v>
      </c>
      <c r="E70" s="146">
        <f t="shared" ref="E70:T70" si="18">SUM(E65:E69)</f>
        <v>244900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244900</v>
      </c>
      <c r="S70" s="150">
        <f t="shared" si="18"/>
        <v>175000</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179569</v>
      </c>
      <c r="C75" s="147">
        <v>179569</v>
      </c>
      <c r="D75" s="147"/>
      <c r="E75" s="147">
        <f>C75</f>
        <v>179569</v>
      </c>
      <c r="F75" s="147"/>
      <c r="G75" s="147"/>
      <c r="H75" s="147"/>
      <c r="I75" s="147"/>
      <c r="J75" s="147"/>
      <c r="K75" s="147"/>
      <c r="L75" s="147"/>
      <c r="M75" s="147"/>
      <c r="N75" s="147"/>
      <c r="O75" s="147"/>
      <c r="P75" s="147"/>
      <c r="Q75" s="147"/>
      <c r="R75" s="516">
        <f>SUM(E75:Q75)</f>
        <v>179569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179569</v>
      </c>
      <c r="C77" s="146">
        <f>SUM(C72:C76)</f>
        <v>179569</v>
      </c>
      <c r="D77" s="146">
        <f>SUM(D72:D76)</f>
        <v>0</v>
      </c>
      <c r="E77" s="146">
        <f t="shared" ref="E77:Q77" si="19">SUM(E72:E76)</f>
        <v>179569</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179569</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1076250</v>
      </c>
      <c r="C79" s="147">
        <v>1076250</v>
      </c>
      <c r="D79" s="147"/>
      <c r="E79" s="147">
        <f>C79</f>
        <v>1076250</v>
      </c>
      <c r="F79" s="147"/>
      <c r="G79" s="147"/>
      <c r="H79" s="147"/>
      <c r="I79" s="147"/>
      <c r="J79" s="147"/>
      <c r="K79" s="147"/>
      <c r="L79" s="147"/>
      <c r="M79" s="147"/>
      <c r="N79" s="147"/>
      <c r="O79" s="147"/>
      <c r="P79" s="147"/>
      <c r="Q79" s="147"/>
      <c r="R79" s="516">
        <f>SUM(E79:Q79)</f>
        <v>1076250</v>
      </c>
      <c r="S79" s="147">
        <v>1076250</v>
      </c>
      <c r="T79" s="147"/>
      <c r="U79" s="143"/>
    </row>
    <row r="80" spans="1:21" s="144" customFormat="1">
      <c r="A80" s="283" t="s">
        <v>58</v>
      </c>
      <c r="B80" s="146">
        <f>SUM(C80:D80)</f>
        <v>334764</v>
      </c>
      <c r="C80" s="147">
        <v>334764</v>
      </c>
      <c r="D80" s="147"/>
      <c r="E80" s="147">
        <f>C80</f>
        <v>334764</v>
      </c>
      <c r="F80" s="147"/>
      <c r="G80" s="147"/>
      <c r="H80" s="147"/>
      <c r="I80" s="147"/>
      <c r="J80" s="147"/>
      <c r="K80" s="147"/>
      <c r="L80" s="147"/>
      <c r="M80" s="147"/>
      <c r="N80" s="147"/>
      <c r="O80" s="147"/>
      <c r="P80" s="147"/>
      <c r="Q80" s="147"/>
      <c r="R80" s="516">
        <f>SUM(E80:Q80)</f>
        <v>334764</v>
      </c>
      <c r="S80" s="147">
        <v>334764</v>
      </c>
      <c r="T80" s="147"/>
      <c r="U80" s="143"/>
    </row>
    <row r="81" spans="1:21" s="144" customFormat="1">
      <c r="A81" s="149" t="s">
        <v>1209</v>
      </c>
      <c r="B81" s="146">
        <f>SUM(C81:D81)</f>
        <v>1411014</v>
      </c>
      <c r="C81" s="509">
        <f>SUM(C79:C80)</f>
        <v>1411014</v>
      </c>
      <c r="D81" s="509">
        <f t="shared" ref="D81:T81" si="20">SUM(D79:D80)</f>
        <v>0</v>
      </c>
      <c r="E81" s="509">
        <f t="shared" si="20"/>
        <v>1411014</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1411014</v>
      </c>
      <c r="S81" s="509">
        <f t="shared" si="20"/>
        <v>1411014</v>
      </c>
      <c r="T81" s="509">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1">SUM(C83+D83)</f>
        <v>50267</v>
      </c>
      <c r="C83" s="147">
        <v>50267</v>
      </c>
      <c r="D83" s="147"/>
      <c r="E83" s="147">
        <f>C83</f>
        <v>50267</v>
      </c>
      <c r="F83" s="147"/>
      <c r="G83" s="147"/>
      <c r="H83" s="147"/>
      <c r="I83" s="147"/>
      <c r="J83" s="147"/>
      <c r="K83" s="147"/>
      <c r="L83" s="147"/>
      <c r="M83" s="147"/>
      <c r="N83" s="147"/>
      <c r="O83" s="147"/>
      <c r="P83" s="147"/>
      <c r="Q83" s="147"/>
      <c r="R83" s="516">
        <f t="shared" ref="R83:R95" si="22">SUM(E83:Q83)</f>
        <v>50267</v>
      </c>
      <c r="S83" s="148"/>
      <c r="T83" s="148"/>
      <c r="U83" s="143"/>
    </row>
    <row r="84" spans="1:21" s="144" customFormat="1">
      <c r="A84" s="145" t="s">
        <v>767</v>
      </c>
      <c r="B84" s="146">
        <f t="shared" si="21"/>
        <v>50000</v>
      </c>
      <c r="C84" s="147">
        <v>50000</v>
      </c>
      <c r="D84" s="147"/>
      <c r="E84" s="147">
        <f t="shared" ref="E84:E95" si="23">C84</f>
        <v>50000</v>
      </c>
      <c r="F84" s="147"/>
      <c r="G84" s="147"/>
      <c r="H84" s="147"/>
      <c r="I84" s="147"/>
      <c r="J84" s="147"/>
      <c r="K84" s="147"/>
      <c r="L84" s="147"/>
      <c r="M84" s="147"/>
      <c r="N84" s="147"/>
      <c r="O84" s="147"/>
      <c r="P84" s="147"/>
      <c r="Q84" s="147"/>
      <c r="R84" s="516">
        <f t="shared" si="22"/>
        <v>50000</v>
      </c>
      <c r="S84" s="147">
        <v>50000</v>
      </c>
      <c r="T84" s="147"/>
      <c r="U84" s="143"/>
    </row>
    <row r="85" spans="1:21" s="144" customFormat="1">
      <c r="A85" s="145" t="s">
        <v>768</v>
      </c>
      <c r="B85" s="146">
        <f t="shared" si="21"/>
        <v>685934</v>
      </c>
      <c r="C85" s="147">
        <v>685934</v>
      </c>
      <c r="D85" s="147"/>
      <c r="E85" s="147">
        <f t="shared" si="23"/>
        <v>685934</v>
      </c>
      <c r="F85" s="147"/>
      <c r="G85" s="147"/>
      <c r="H85" s="147"/>
      <c r="I85" s="147"/>
      <c r="J85" s="147"/>
      <c r="K85" s="147"/>
      <c r="L85" s="147"/>
      <c r="M85" s="147"/>
      <c r="N85" s="147"/>
      <c r="O85" s="147"/>
      <c r="P85" s="147"/>
      <c r="Q85" s="147"/>
      <c r="R85" s="516">
        <f t="shared" si="22"/>
        <v>685934</v>
      </c>
      <c r="S85" s="147">
        <v>685934</v>
      </c>
      <c r="T85" s="147"/>
      <c r="U85" s="143"/>
    </row>
    <row r="86" spans="1:21" s="144" customFormat="1">
      <c r="A86" s="145" t="s">
        <v>769</v>
      </c>
      <c r="B86" s="146">
        <f t="shared" si="21"/>
        <v>214066</v>
      </c>
      <c r="C86" s="147">
        <v>214066</v>
      </c>
      <c r="D86" s="147"/>
      <c r="E86" s="147">
        <f t="shared" si="23"/>
        <v>214066</v>
      </c>
      <c r="F86" s="147"/>
      <c r="G86" s="147"/>
      <c r="H86" s="147"/>
      <c r="I86" s="147"/>
      <c r="J86" s="147"/>
      <c r="K86" s="147"/>
      <c r="L86" s="147"/>
      <c r="M86" s="147"/>
      <c r="N86" s="147"/>
      <c r="O86" s="147"/>
      <c r="P86" s="147"/>
      <c r="Q86" s="147"/>
      <c r="R86" s="516">
        <f t="shared" si="22"/>
        <v>214066</v>
      </c>
      <c r="S86" s="147">
        <v>214066</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25000</v>
      </c>
      <c r="C88" s="147">
        <v>25000</v>
      </c>
      <c r="D88" s="147"/>
      <c r="E88" s="147">
        <f t="shared" si="23"/>
        <v>25000</v>
      </c>
      <c r="F88" s="147"/>
      <c r="G88" s="147"/>
      <c r="H88" s="147"/>
      <c r="I88" s="147"/>
      <c r="J88" s="147"/>
      <c r="K88" s="147"/>
      <c r="L88" s="147"/>
      <c r="M88" s="147"/>
      <c r="N88" s="147"/>
      <c r="O88" s="147"/>
      <c r="P88" s="147"/>
      <c r="Q88" s="147"/>
      <c r="R88" s="516">
        <f t="shared" si="22"/>
        <v>25000</v>
      </c>
      <c r="S88" s="148"/>
      <c r="T88" s="148"/>
      <c r="U88" s="143"/>
    </row>
    <row r="89" spans="1:21" s="144" customFormat="1">
      <c r="A89" s="145" t="s">
        <v>772</v>
      </c>
      <c r="B89" s="146">
        <f t="shared" si="21"/>
        <v>150000</v>
      </c>
      <c r="C89" s="147">
        <v>150000</v>
      </c>
      <c r="D89" s="147"/>
      <c r="E89" s="147">
        <f t="shared" si="23"/>
        <v>150000</v>
      </c>
      <c r="F89" s="147"/>
      <c r="G89" s="147"/>
      <c r="H89" s="147"/>
      <c r="I89" s="147"/>
      <c r="J89" s="147"/>
      <c r="K89" s="147"/>
      <c r="L89" s="147"/>
      <c r="M89" s="147"/>
      <c r="N89" s="147"/>
      <c r="O89" s="147"/>
      <c r="P89" s="147"/>
      <c r="Q89" s="147"/>
      <c r="R89" s="516">
        <f t="shared" si="22"/>
        <v>150000</v>
      </c>
      <c r="S89" s="147">
        <v>150000</v>
      </c>
      <c r="T89" s="147"/>
      <c r="U89" s="143"/>
    </row>
    <row r="90" spans="1:21" s="144" customFormat="1">
      <c r="A90" s="145" t="s">
        <v>773</v>
      </c>
      <c r="B90" s="146">
        <f t="shared" si="21"/>
        <v>15000</v>
      </c>
      <c r="C90" s="147">
        <v>15000</v>
      </c>
      <c r="D90" s="147"/>
      <c r="E90" s="147">
        <f t="shared" si="23"/>
        <v>15000</v>
      </c>
      <c r="F90" s="147"/>
      <c r="G90" s="147"/>
      <c r="H90" s="147"/>
      <c r="I90" s="147"/>
      <c r="J90" s="147"/>
      <c r="K90" s="147"/>
      <c r="L90" s="147"/>
      <c r="M90" s="147"/>
      <c r="N90" s="147"/>
      <c r="O90" s="147"/>
      <c r="P90" s="147"/>
      <c r="Q90" s="147"/>
      <c r="R90" s="516">
        <f t="shared" si="22"/>
        <v>15000</v>
      </c>
      <c r="S90" s="147">
        <v>15000</v>
      </c>
      <c r="T90" s="147"/>
      <c r="U90" s="143"/>
    </row>
    <row r="91" spans="1:21" s="144" customFormat="1">
      <c r="A91" s="145" t="s">
        <v>372</v>
      </c>
      <c r="B91" s="146">
        <f t="shared" si="21"/>
        <v>50000</v>
      </c>
      <c r="C91" s="147">
        <v>50000</v>
      </c>
      <c r="D91" s="147"/>
      <c r="E91" s="147">
        <f t="shared" si="23"/>
        <v>50000</v>
      </c>
      <c r="F91" s="147"/>
      <c r="G91" s="147"/>
      <c r="H91" s="147"/>
      <c r="I91" s="147"/>
      <c r="J91" s="147"/>
      <c r="K91" s="147"/>
      <c r="L91" s="147"/>
      <c r="M91" s="147"/>
      <c r="N91" s="147"/>
      <c r="O91" s="147"/>
      <c r="P91" s="147"/>
      <c r="Q91" s="147"/>
      <c r="R91" s="516">
        <f t="shared" si="22"/>
        <v>50000</v>
      </c>
      <c r="S91" s="147">
        <v>50000</v>
      </c>
      <c r="T91" s="147"/>
      <c r="U91" s="143"/>
    </row>
    <row r="92" spans="1:21" s="144" customFormat="1">
      <c r="A92" s="283" t="s">
        <v>1211</v>
      </c>
      <c r="B92" s="146">
        <f t="shared" si="21"/>
        <v>20000</v>
      </c>
      <c r="C92" s="147">
        <v>20000</v>
      </c>
      <c r="D92" s="147"/>
      <c r="E92" s="147">
        <f t="shared" si="23"/>
        <v>20000</v>
      </c>
      <c r="F92" s="147"/>
      <c r="G92" s="147"/>
      <c r="H92" s="147"/>
      <c r="I92" s="147"/>
      <c r="J92" s="147"/>
      <c r="K92" s="147"/>
      <c r="L92" s="147"/>
      <c r="M92" s="147"/>
      <c r="N92" s="147"/>
      <c r="O92" s="147"/>
      <c r="P92" s="147"/>
      <c r="Q92" s="147"/>
      <c r="R92" s="516">
        <f t="shared" si="22"/>
        <v>20000</v>
      </c>
      <c r="S92" s="147">
        <v>20000</v>
      </c>
      <c r="T92" s="147"/>
      <c r="U92" s="143"/>
    </row>
    <row r="93" spans="1:21" s="144" customFormat="1" ht="23">
      <c r="A93" s="1149" t="s">
        <v>2743</v>
      </c>
      <c r="B93" s="146">
        <f t="shared" si="21"/>
        <v>362100</v>
      </c>
      <c r="C93" s="147">
        <f>42000+320100</f>
        <v>362100</v>
      </c>
      <c r="D93" s="147"/>
      <c r="E93" s="147">
        <f t="shared" si="23"/>
        <v>362100</v>
      </c>
      <c r="F93" s="147"/>
      <c r="G93" s="147"/>
      <c r="H93" s="147"/>
      <c r="I93" s="147"/>
      <c r="J93" s="147"/>
      <c r="K93" s="147"/>
      <c r="L93" s="147"/>
      <c r="M93" s="147"/>
      <c r="N93" s="147"/>
      <c r="O93" s="147"/>
      <c r="P93" s="147"/>
      <c r="Q93" s="147"/>
      <c r="R93" s="516">
        <f t="shared" si="22"/>
        <v>362100</v>
      </c>
      <c r="S93" s="147">
        <v>42000</v>
      </c>
      <c r="T93" s="147"/>
      <c r="U93" s="143"/>
    </row>
    <row r="94" spans="1:21" s="144" customFormat="1" ht="23">
      <c r="A94" s="1149" t="s">
        <v>2744</v>
      </c>
      <c r="B94" s="146">
        <f t="shared" si="21"/>
        <v>303500</v>
      </c>
      <c r="C94" s="147">
        <f>50000+3500+250000</f>
        <v>303500</v>
      </c>
      <c r="D94" s="147"/>
      <c r="E94" s="147">
        <f t="shared" si="23"/>
        <v>303500</v>
      </c>
      <c r="F94" s="147"/>
      <c r="G94" s="147"/>
      <c r="H94" s="147"/>
      <c r="I94" s="147"/>
      <c r="J94" s="147"/>
      <c r="K94" s="147"/>
      <c r="L94" s="147"/>
      <c r="M94" s="147"/>
      <c r="N94" s="147"/>
      <c r="O94" s="147"/>
      <c r="P94" s="147"/>
      <c r="Q94" s="147"/>
      <c r="R94" s="516">
        <f t="shared" si="22"/>
        <v>303500</v>
      </c>
      <c r="S94" s="147">
        <f>3500+250000</f>
        <v>253500</v>
      </c>
      <c r="T94" s="147"/>
      <c r="U94" s="143"/>
    </row>
    <row r="95" spans="1:21" s="144" customFormat="1">
      <c r="A95" s="1149" t="s">
        <v>2745</v>
      </c>
      <c r="B95" s="146">
        <f t="shared" si="21"/>
        <v>200000</v>
      </c>
      <c r="C95" s="147">
        <v>200000</v>
      </c>
      <c r="D95" s="147"/>
      <c r="E95" s="147">
        <f t="shared" si="23"/>
        <v>200000</v>
      </c>
      <c r="F95" s="147"/>
      <c r="G95" s="147"/>
      <c r="H95" s="147"/>
      <c r="I95" s="147"/>
      <c r="J95" s="147"/>
      <c r="K95" s="147"/>
      <c r="L95" s="147"/>
      <c r="M95" s="147"/>
      <c r="N95" s="147"/>
      <c r="O95" s="147"/>
      <c r="P95" s="147"/>
      <c r="Q95" s="147"/>
      <c r="R95" s="516">
        <f t="shared" si="22"/>
        <v>200000</v>
      </c>
      <c r="S95" s="147">
        <v>200000</v>
      </c>
      <c r="T95" s="147"/>
      <c r="U95" s="143"/>
    </row>
    <row r="96" spans="1:21" s="144" customFormat="1">
      <c r="A96" s="149" t="s">
        <v>774</v>
      </c>
      <c r="B96" s="146">
        <f>SUM(C96:D96)</f>
        <v>2125867</v>
      </c>
      <c r="C96" s="146">
        <f t="shared" ref="C96:R96" si="24">SUM(C83:C95)</f>
        <v>2125867</v>
      </c>
      <c r="D96" s="146">
        <f t="shared" si="24"/>
        <v>0</v>
      </c>
      <c r="E96" s="146">
        <f t="shared" si="24"/>
        <v>2125867</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2125867</v>
      </c>
      <c r="S96" s="150">
        <f>SUM(S84:S87,S89:S95)</f>
        <v>1680500</v>
      </c>
      <c r="T96" s="146">
        <f>SUM(T84:T87,T89:T95)</f>
        <v>0</v>
      </c>
      <c r="U96" s="143"/>
    </row>
    <row r="97" spans="1:21" s="144" customFormat="1">
      <c r="A97" s="149" t="s">
        <v>775</v>
      </c>
      <c r="B97" s="146">
        <f>SUM(C97:D97)</f>
        <v>34576882</v>
      </c>
      <c r="C97" s="146">
        <f t="shared" ref="C97:R97" si="25">SUM(C63+C70+C77+C81+C96)</f>
        <v>34576882</v>
      </c>
      <c r="D97" s="146">
        <f t="shared" si="25"/>
        <v>0</v>
      </c>
      <c r="E97" s="146">
        <f t="shared" si="25"/>
        <v>15572730</v>
      </c>
      <c r="F97" s="146">
        <f t="shared" si="25"/>
        <v>4004152</v>
      </c>
      <c r="G97" s="146">
        <f t="shared" si="25"/>
        <v>0</v>
      </c>
      <c r="H97" s="146">
        <f t="shared" si="25"/>
        <v>15000000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34576882</v>
      </c>
      <c r="S97" s="146">
        <f>SUM(S63+S70+S81+S96)</f>
        <v>28875002</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4331250</v>
      </c>
      <c r="C99" s="979">
        <v>4331250</v>
      </c>
      <c r="D99" s="979"/>
      <c r="E99" s="979">
        <f>C99-G99</f>
        <v>2500000</v>
      </c>
      <c r="F99" s="147"/>
      <c r="G99" s="147">
        <v>1831250</v>
      </c>
      <c r="H99" s="147"/>
      <c r="I99" s="147"/>
      <c r="J99" s="147"/>
      <c r="K99" s="147"/>
      <c r="L99" s="147"/>
      <c r="M99" s="147"/>
      <c r="N99" s="147"/>
      <c r="O99" s="147"/>
      <c r="P99" s="147"/>
      <c r="Q99" s="147"/>
      <c r="R99" s="516">
        <f>SUM(E99:Q99)</f>
        <v>4331250</v>
      </c>
      <c r="S99" s="147">
        <f>4331250</f>
        <v>4331250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4331250</v>
      </c>
      <c r="C104" s="146">
        <f>SUM(C99:C103)</f>
        <v>4331250</v>
      </c>
      <c r="D104" s="146">
        <f t="shared" ref="D104:T104" si="26">SUM(D99:D103)</f>
        <v>0</v>
      </c>
      <c r="E104" s="146">
        <f t="shared" si="26"/>
        <v>2500000</v>
      </c>
      <c r="F104" s="146">
        <f t="shared" si="26"/>
        <v>0</v>
      </c>
      <c r="G104" s="146">
        <f t="shared" si="26"/>
        <v>1831250</v>
      </c>
      <c r="H104" s="146">
        <f t="shared" si="26"/>
        <v>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4331250</v>
      </c>
      <c r="S104" s="150">
        <f t="shared" si="26"/>
        <v>4331250</v>
      </c>
      <c r="T104" s="150">
        <f t="shared" si="26"/>
        <v>0</v>
      </c>
      <c r="U104" s="143"/>
    </row>
    <row r="105" spans="1:21" s="144" customFormat="1">
      <c r="A105" s="149" t="s">
        <v>780</v>
      </c>
      <c r="B105" s="150">
        <f>SUM(C105:D105)</f>
        <v>38908132</v>
      </c>
      <c r="C105" s="150">
        <f t="shared" ref="C105:R105" si="27">SUM(C97+C104)</f>
        <v>38908132</v>
      </c>
      <c r="D105" s="150">
        <f t="shared" si="27"/>
        <v>0</v>
      </c>
      <c r="E105" s="150">
        <f t="shared" si="27"/>
        <v>18072730</v>
      </c>
      <c r="F105" s="150">
        <f t="shared" si="27"/>
        <v>4004152</v>
      </c>
      <c r="G105" s="150">
        <f t="shared" si="27"/>
        <v>1831250</v>
      </c>
      <c r="H105" s="150">
        <f t="shared" si="27"/>
        <v>15000000</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38908132</v>
      </c>
      <c r="S105" s="150">
        <f>S97+S104</f>
        <v>33206252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33206252</v>
      </c>
      <c r="T107" s="150">
        <f>T105+T106</f>
        <v>0</v>
      </c>
    </row>
    <row r="108" spans="1:21" s="189" customFormat="1">
      <c r="A108" s="162" t="s">
        <v>879</v>
      </c>
      <c r="B108" s="157"/>
      <c r="C108" s="157"/>
      <c r="D108" s="157"/>
      <c r="E108" s="301">
        <f>Application!AO640</f>
        <v>18072730</v>
      </c>
      <c r="F108" s="301">
        <f>Application!AO627</f>
        <v>4004152</v>
      </c>
      <c r="G108" s="301">
        <f>Application!AO628</f>
        <v>1831250</v>
      </c>
      <c r="H108" s="301">
        <f>Application!AO629</f>
        <v>15000000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83" t="s">
        <v>990</v>
      </c>
      <c r="E122" s="1883"/>
      <c r="F122" s="188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85" t="s">
        <v>1224</v>
      </c>
      <c r="E123" s="1817"/>
      <c r="F123" s="1817"/>
      <c r="G123" s="1817"/>
      <c r="H123" s="1817"/>
      <c r="I123" s="1817"/>
      <c r="J123" s="1817"/>
      <c r="K123" s="1817"/>
      <c r="L123" s="1817"/>
      <c r="M123" s="1817"/>
      <c r="N123" s="1817"/>
      <c r="O123" s="1817"/>
      <c r="P123" s="1817"/>
      <c r="Q123" s="1817"/>
      <c r="R123" s="1817"/>
      <c r="S123" s="1817"/>
      <c r="T123" s="324"/>
      <c r="U123" s="326"/>
    </row>
    <row r="124" spans="1:21" ht="12.5">
      <c r="A124" s="117" t="s">
        <v>992</v>
      </c>
      <c r="B124" s="333"/>
      <c r="C124" s="117"/>
      <c r="D124" s="1817"/>
      <c r="E124" s="1817"/>
      <c r="F124" s="1817"/>
      <c r="G124" s="1817"/>
      <c r="H124" s="1817"/>
      <c r="I124" s="1817"/>
      <c r="J124" s="1817"/>
      <c r="K124" s="1817"/>
      <c r="L124" s="1817"/>
      <c r="M124" s="1817"/>
      <c r="N124" s="1817"/>
      <c r="O124" s="1817"/>
      <c r="P124" s="1817"/>
      <c r="Q124" s="1817"/>
      <c r="R124" s="1817"/>
      <c r="S124" s="1817"/>
      <c r="T124" s="324"/>
      <c r="U124" s="326"/>
    </row>
    <row r="125" spans="1:21" ht="12.5">
      <c r="A125" s="117" t="s">
        <v>993</v>
      </c>
      <c r="B125" s="333"/>
      <c r="C125" s="117"/>
      <c r="D125" s="1817"/>
      <c r="E125" s="1817"/>
      <c r="F125" s="1817"/>
      <c r="G125" s="1817"/>
      <c r="H125" s="1817"/>
      <c r="I125" s="1817"/>
      <c r="J125" s="1817"/>
      <c r="K125" s="1817"/>
      <c r="L125" s="1817"/>
      <c r="M125" s="1817"/>
      <c r="N125" s="1817"/>
      <c r="O125" s="1817"/>
      <c r="P125" s="1817"/>
      <c r="Q125" s="1817"/>
      <c r="R125" s="1817"/>
      <c r="S125" s="1817"/>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80"/>
      <c r="E128" s="1880"/>
      <c r="F128" s="1880"/>
      <c r="G128" s="1880"/>
      <c r="H128" s="1880"/>
      <c r="I128" s="117"/>
      <c r="J128" s="1881"/>
      <c r="K128" s="1881"/>
      <c r="L128" s="117"/>
      <c r="M128" s="117"/>
      <c r="N128" s="117"/>
      <c r="O128" s="117"/>
      <c r="P128" s="117"/>
      <c r="Q128" s="117"/>
      <c r="R128" s="117"/>
      <c r="S128" s="117"/>
      <c r="T128" s="324"/>
      <c r="U128" s="326"/>
    </row>
    <row r="129" spans="1:21" ht="12.5">
      <c r="A129" s="117" t="s">
        <v>300</v>
      </c>
      <c r="B129" s="333"/>
      <c r="C129" s="117"/>
      <c r="D129" s="1882" t="s">
        <v>997</v>
      </c>
      <c r="E129" s="1882"/>
      <c r="F129" s="1882"/>
      <c r="G129" s="1882"/>
      <c r="H129" s="188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39"/>
      <c r="E131" s="1839"/>
      <c r="F131" s="1839"/>
      <c r="G131" s="1839"/>
      <c r="H131" s="1839"/>
      <c r="I131" s="117"/>
      <c r="J131" s="1839"/>
      <c r="K131" s="1839"/>
      <c r="L131" s="1839"/>
      <c r="M131" s="1839"/>
      <c r="N131" s="117"/>
      <c r="O131" s="117"/>
      <c r="P131" s="117"/>
      <c r="Q131" s="117"/>
      <c r="R131" s="117"/>
      <c r="S131" s="117"/>
      <c r="T131" s="324"/>
      <c r="U131" s="326"/>
    </row>
    <row r="132" spans="1:21" ht="12" customHeight="1">
      <c r="A132" s="336"/>
      <c r="B132" s="117"/>
      <c r="C132" s="117"/>
      <c r="D132" s="1886" t="s">
        <v>1000</v>
      </c>
      <c r="E132" s="1886"/>
      <c r="F132" s="1886"/>
      <c r="G132" s="1886"/>
      <c r="H132" s="1886"/>
      <c r="I132" s="117"/>
      <c r="J132" s="1886" t="s">
        <v>1001</v>
      </c>
      <c r="K132" s="1886"/>
      <c r="L132" s="1886"/>
      <c r="M132" s="188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7"/>
      <c r="B138" s="1880"/>
      <c r="C138" s="1880"/>
      <c r="D138" s="328"/>
      <c r="E138" s="1881"/>
      <c r="F138" s="1881"/>
      <c r="G138" s="117"/>
      <c r="H138" s="117"/>
      <c r="I138" s="117"/>
      <c r="J138" s="117"/>
      <c r="K138" s="117"/>
      <c r="L138" s="117"/>
      <c r="M138" s="117"/>
      <c r="N138" s="117"/>
      <c r="O138" s="117"/>
      <c r="P138" s="117"/>
      <c r="Q138" s="117"/>
      <c r="R138" s="117"/>
      <c r="S138" s="117"/>
      <c r="T138" s="330"/>
      <c r="U138" s="331"/>
    </row>
    <row r="139" spans="1:21" ht="13">
      <c r="A139" s="1884" t="s">
        <v>1004</v>
      </c>
      <c r="B139" s="1884"/>
      <c r="C139" s="1884"/>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10" workbookViewId="0">
      <selection activeCell="F11" sqref="F11"/>
    </sheetView>
  </sheetViews>
  <sheetFormatPr defaultColWidth="0" defaultRowHeight="11.5" zeroHeight="1"/>
  <cols>
    <col min="1" max="1" width="32.63281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63281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63281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63281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63281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63281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63281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63281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63281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63281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63281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63281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63281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63281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63281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63281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63281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63281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63281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63281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63281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63281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63281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63281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63281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63281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63281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63281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63281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63281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63281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63281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63281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63281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63281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63281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63281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63281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63281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63281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63281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63281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63281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63281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63281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63281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63281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63281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63281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63281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63281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63281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63281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63281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63281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63281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63281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63281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63281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63281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63281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63281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63281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
      <c r="A1" s="1890" t="s">
        <v>1227</v>
      </c>
      <c r="B1" s="1891"/>
      <c r="C1" s="1891"/>
      <c r="D1" s="1891"/>
      <c r="E1" s="1891"/>
      <c r="F1" s="1891"/>
      <c r="G1" s="1891"/>
      <c r="H1" s="1891"/>
      <c r="I1" s="1891"/>
      <c r="J1" s="1892"/>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3575000</v>
      </c>
      <c r="C4" s="362">
        <f>B4</f>
        <v>3575000</v>
      </c>
      <c r="D4" s="362"/>
      <c r="E4" s="363"/>
      <c r="F4" s="363"/>
      <c r="G4" s="363"/>
      <c r="H4" s="363"/>
      <c r="I4" s="363"/>
      <c r="J4" s="363"/>
      <c r="K4" s="359"/>
    </row>
    <row r="5" spans="1:11" s="360" customFormat="1">
      <c r="A5" s="364" t="s">
        <v>28</v>
      </c>
      <c r="B5" s="361">
        <f>'Sources and Uses Budget'!C5</f>
        <v>150000</v>
      </c>
      <c r="C5" s="362">
        <f t="shared" ref="C5:C7" si="0">B5</f>
        <v>150000</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3725000</v>
      </c>
      <c r="C8" s="361">
        <f>SUM(C4:C7)</f>
        <v>3725000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4225000</v>
      </c>
      <c r="C12" s="361">
        <f>SUM(C8+C11)</f>
        <v>4225000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13833661</v>
      </c>
      <c r="C30" s="362">
        <f t="shared" ref="C30:C35" si="1">B30</f>
        <v>13833661</v>
      </c>
      <c r="D30" s="362"/>
      <c r="E30" s="361">
        <f>'Sources and Uses Budget'!S30</f>
        <v>13833661</v>
      </c>
      <c r="F30" s="362">
        <f t="shared" ref="F30:F35" si="2">E30</f>
        <v>13833661</v>
      </c>
      <c r="G30" s="362"/>
      <c r="H30" s="361">
        <f>'Sources and Uses Budget'!T30</f>
        <v>0</v>
      </c>
      <c r="I30" s="362"/>
      <c r="J30" s="362"/>
      <c r="K30" s="359"/>
    </row>
    <row r="31" spans="1:11" s="360" customFormat="1">
      <c r="A31" s="145" t="s">
        <v>600</v>
      </c>
      <c r="B31" s="361">
        <f>'Sources and Uses Budget'!C31</f>
        <v>1288027</v>
      </c>
      <c r="C31" s="362">
        <f t="shared" si="1"/>
        <v>1288027</v>
      </c>
      <c r="D31" s="362"/>
      <c r="E31" s="361">
        <f>'Sources and Uses Budget'!S31</f>
        <v>1288027</v>
      </c>
      <c r="F31" s="362">
        <f t="shared" si="2"/>
        <v>1288027</v>
      </c>
      <c r="G31" s="362"/>
      <c r="H31" s="361">
        <f>'Sources and Uses Budget'!T31</f>
        <v>0</v>
      </c>
      <c r="I31" s="362"/>
      <c r="J31" s="362"/>
      <c r="K31" s="359"/>
    </row>
    <row r="32" spans="1:11" s="360" customFormat="1">
      <c r="A32" s="145" t="s">
        <v>137</v>
      </c>
      <c r="B32" s="361">
        <f>'Sources and Uses Budget'!C32</f>
        <v>736016</v>
      </c>
      <c r="C32" s="362">
        <f t="shared" si="1"/>
        <v>736016</v>
      </c>
      <c r="D32" s="362"/>
      <c r="E32" s="361">
        <f>'Sources and Uses Budget'!S32</f>
        <v>736016</v>
      </c>
      <c r="F32" s="362">
        <f t="shared" si="2"/>
        <v>736016</v>
      </c>
      <c r="G32" s="362"/>
      <c r="H32" s="361">
        <f>'Sources and Uses Budget'!T32</f>
        <v>0</v>
      </c>
      <c r="I32" s="362"/>
      <c r="J32" s="362"/>
      <c r="K32" s="359"/>
    </row>
    <row r="33" spans="1:11" s="360" customFormat="1">
      <c r="A33" s="145" t="s">
        <v>138</v>
      </c>
      <c r="B33" s="361">
        <f>'Sources and Uses Budget'!C33</f>
        <v>552012</v>
      </c>
      <c r="C33" s="362">
        <f t="shared" si="1"/>
        <v>552012</v>
      </c>
      <c r="D33" s="362"/>
      <c r="E33" s="361">
        <f>'Sources and Uses Budget'!S33</f>
        <v>552012</v>
      </c>
      <c r="F33" s="362">
        <f t="shared" si="2"/>
        <v>552012</v>
      </c>
      <c r="G33" s="362"/>
      <c r="H33" s="361">
        <f>'Sources and Uses Budget'!T33</f>
        <v>0</v>
      </c>
      <c r="I33" s="362"/>
      <c r="J33" s="362"/>
      <c r="K33" s="359"/>
    </row>
    <row r="34" spans="1:11" s="360" customFormat="1">
      <c r="A34" s="145" t="s">
        <v>139</v>
      </c>
      <c r="B34" s="361">
        <f>'Sources and Uses Budget'!C34</f>
        <v>3066732</v>
      </c>
      <c r="C34" s="362">
        <f t="shared" si="1"/>
        <v>3066732</v>
      </c>
      <c r="D34" s="362"/>
      <c r="E34" s="361">
        <f>'Sources and Uses Budget'!S34</f>
        <v>3066732</v>
      </c>
      <c r="F34" s="362">
        <f t="shared" si="2"/>
        <v>3066732</v>
      </c>
      <c r="G34" s="362"/>
      <c r="H34" s="361">
        <f>'Sources and Uses Budget'!T34</f>
        <v>0</v>
      </c>
      <c r="I34" s="362"/>
      <c r="J34" s="362"/>
      <c r="K34" s="359"/>
    </row>
    <row r="35" spans="1:11" s="360" customFormat="1">
      <c r="A35" s="145" t="s">
        <v>140</v>
      </c>
      <c r="B35" s="361">
        <f>'Sources and Uses Budget'!C35</f>
        <v>209764</v>
      </c>
      <c r="C35" s="362">
        <f t="shared" si="1"/>
        <v>209764</v>
      </c>
      <c r="D35" s="362"/>
      <c r="E35" s="361">
        <f>'Sources and Uses Budget'!S35</f>
        <v>209764</v>
      </c>
      <c r="F35" s="362">
        <f t="shared" si="2"/>
        <v>209764</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20686212</v>
      </c>
      <c r="C38" s="361">
        <f>SUM(C29:C37)</f>
        <v>20686212</v>
      </c>
      <c r="D38" s="361">
        <f>SUM(D29:D37)</f>
        <v>0</v>
      </c>
      <c r="E38" s="361">
        <f>'Sources and Uses Budget'!S38</f>
        <v>20686212</v>
      </c>
      <c r="F38" s="367">
        <f>SUM(F29:F37)</f>
        <v>20686212</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640000</v>
      </c>
      <c r="C40" s="362">
        <f>B40</f>
        <v>640000</v>
      </c>
      <c r="D40" s="362"/>
      <c r="E40" s="361">
        <f>'Sources and Uses Budget'!S40</f>
        <v>640000</v>
      </c>
      <c r="F40" s="362">
        <f>E40</f>
        <v>640000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640000</v>
      </c>
      <c r="C42" s="361">
        <f>SUM(C39:C41)</f>
        <v>640000</v>
      </c>
      <c r="D42" s="361">
        <f>SUM(D39:D41)</f>
        <v>0</v>
      </c>
      <c r="E42" s="361">
        <f>'Sources and Uses Budget'!S42</f>
        <v>640000</v>
      </c>
      <c r="F42" s="367">
        <f>SUM(F40:F41)</f>
        <v>640000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3535138</v>
      </c>
      <c r="C45" s="362">
        <f>B45</f>
        <v>3535138</v>
      </c>
      <c r="D45" s="362"/>
      <c r="E45" s="361">
        <f>'Sources and Uses Budget'!S45</f>
        <v>2369123</v>
      </c>
      <c r="F45" s="362">
        <f>E45</f>
        <v>2369123</v>
      </c>
      <c r="G45" s="362"/>
      <c r="H45" s="361">
        <f>'Sources and Uses Budget'!T45</f>
        <v>0</v>
      </c>
      <c r="I45" s="362"/>
      <c r="J45" s="362"/>
      <c r="K45" s="359"/>
    </row>
    <row r="46" spans="1:11" s="360" customFormat="1">
      <c r="A46" s="364" t="s">
        <v>151</v>
      </c>
      <c r="B46" s="361">
        <f>'Sources and Uses Budget'!C46</f>
        <v>249115</v>
      </c>
      <c r="C46" s="362">
        <f>B46</f>
        <v>249115</v>
      </c>
      <c r="D46" s="362"/>
      <c r="E46" s="361">
        <f>'Sources and Uses Budget'!S46</f>
        <v>186836</v>
      </c>
      <c r="F46" s="362">
        <f>E46</f>
        <v>186836</v>
      </c>
      <c r="G46" s="362"/>
      <c r="H46" s="361">
        <f>'Sources and Uses Budget'!T46</f>
        <v>0</v>
      </c>
      <c r="I46" s="362"/>
      <c r="J46" s="362"/>
      <c r="K46" s="359"/>
    </row>
    <row r="47" spans="1:11" s="360" customFormat="1" ht="12" customHeight="1">
      <c r="A47" s="364" t="s">
        <v>152</v>
      </c>
      <c r="B47" s="361">
        <f>'Sources and Uses Budget'!C47</f>
        <v>15000</v>
      </c>
      <c r="C47" s="362">
        <f t="shared" ref="C47:C53" si="3">B47</f>
        <v>15000</v>
      </c>
      <c r="D47" s="362"/>
      <c r="E47" s="361">
        <f>'Sources and Uses Budget'!S47</f>
        <v>11250</v>
      </c>
      <c r="F47" s="362">
        <f t="shared" ref="F47:F53" si="4">E47</f>
        <v>11250</v>
      </c>
      <c r="G47" s="362"/>
      <c r="H47" s="361">
        <f>'Sources and Uses Budget'!T47</f>
        <v>0</v>
      </c>
      <c r="I47" s="362"/>
      <c r="J47" s="362"/>
      <c r="K47" s="359"/>
    </row>
    <row r="48" spans="1:11" s="360" customFormat="1">
      <c r="A48" s="364" t="s">
        <v>153</v>
      </c>
      <c r="B48" s="361">
        <f>'Sources and Uses Budget'!C48</f>
        <v>188788</v>
      </c>
      <c r="C48" s="362">
        <f t="shared" si="3"/>
        <v>188788</v>
      </c>
      <c r="D48" s="362"/>
      <c r="E48" s="361">
        <f>'Sources and Uses Budget'!S48</f>
        <v>188788</v>
      </c>
      <c r="F48" s="362">
        <f t="shared" si="4"/>
        <v>188788</v>
      </c>
      <c r="G48" s="362"/>
      <c r="H48" s="361">
        <f>'Sources and Uses Budget'!T48</f>
        <v>0</v>
      </c>
      <c r="I48" s="362"/>
      <c r="J48" s="362"/>
      <c r="K48" s="359"/>
    </row>
    <row r="49" spans="1:11" s="360" customFormat="1">
      <c r="A49" s="283" t="s">
        <v>57</v>
      </c>
      <c r="B49" s="361">
        <f>'Sources and Uses Budget'!C49</f>
        <v>62279</v>
      </c>
      <c r="C49" s="362">
        <f t="shared" si="3"/>
        <v>62279</v>
      </c>
      <c r="D49" s="362"/>
      <c r="E49" s="361">
        <f>'Sources and Uses Budget'!S49</f>
        <v>62279</v>
      </c>
      <c r="F49" s="362">
        <f t="shared" si="4"/>
        <v>62279</v>
      </c>
      <c r="G49" s="362"/>
      <c r="H49" s="361">
        <f>'Sources and Uses Budget'!T49</f>
        <v>0</v>
      </c>
      <c r="I49" s="362"/>
      <c r="J49" s="362"/>
      <c r="K49" s="359"/>
    </row>
    <row r="50" spans="1:11" s="360" customFormat="1">
      <c r="A50" s="364" t="s">
        <v>156</v>
      </c>
      <c r="B50" s="361">
        <f>'Sources and Uses Budget'!C50</f>
        <v>100000</v>
      </c>
      <c r="C50" s="362">
        <f t="shared" si="3"/>
        <v>100000</v>
      </c>
      <c r="D50" s="362"/>
      <c r="E50" s="361">
        <f>'Sources and Uses Budget'!S50</f>
        <v>75000</v>
      </c>
      <c r="F50" s="362">
        <f t="shared" si="4"/>
        <v>75000</v>
      </c>
      <c r="G50" s="362"/>
      <c r="H50" s="361">
        <f>'Sources and Uses Budget'!T50</f>
        <v>0</v>
      </c>
      <c r="I50" s="362"/>
      <c r="J50" s="362"/>
      <c r="K50" s="359"/>
    </row>
    <row r="51" spans="1:11" s="360" customFormat="1">
      <c r="A51" s="364" t="s">
        <v>154</v>
      </c>
      <c r="B51" s="361">
        <f>'Sources and Uses Budget'!C51</f>
        <v>0</v>
      </c>
      <c r="C51" s="362">
        <f t="shared" si="3"/>
        <v>0</v>
      </c>
      <c r="D51" s="362"/>
      <c r="E51" s="361">
        <f>'Sources and Uses Budget'!S51</f>
        <v>0</v>
      </c>
      <c r="F51" s="362">
        <f t="shared" si="4"/>
        <v>0</v>
      </c>
      <c r="G51" s="362"/>
      <c r="H51" s="361">
        <f>'Sources and Uses Budget'!T51</f>
        <v>0</v>
      </c>
      <c r="I51" s="362"/>
      <c r="J51" s="362"/>
      <c r="K51" s="359"/>
    </row>
    <row r="52" spans="1:11" s="360" customFormat="1">
      <c r="A52" s="364" t="s">
        <v>155</v>
      </c>
      <c r="B52" s="361">
        <f>'Sources and Uses Budget'!C52</f>
        <v>214000</v>
      </c>
      <c r="C52" s="362">
        <f t="shared" si="3"/>
        <v>214000</v>
      </c>
      <c r="D52" s="362"/>
      <c r="E52" s="361">
        <f>'Sources and Uses Budget'!S52</f>
        <v>214000</v>
      </c>
      <c r="F52" s="362">
        <f t="shared" si="4"/>
        <v>214000</v>
      </c>
      <c r="G52" s="362"/>
      <c r="H52" s="361">
        <f>'Sources and Uses Budget'!T52</f>
        <v>0</v>
      </c>
      <c r="I52" s="362"/>
      <c r="J52" s="362"/>
      <c r="K52" s="359"/>
    </row>
    <row r="53" spans="1:11" s="360" customFormat="1">
      <c r="A53" s="364" t="str">
        <f>'Sources and Uses Budget'!$A53</f>
        <v>Other: (Employment Reporting)</v>
      </c>
      <c r="B53" s="361">
        <f>'Sources and Uses Budget'!C53</f>
        <v>25000</v>
      </c>
      <c r="C53" s="362">
        <f t="shared" si="3"/>
        <v>25000</v>
      </c>
      <c r="D53" s="362"/>
      <c r="E53" s="361">
        <f>'Sources and Uses Budget'!S53</f>
        <v>25000</v>
      </c>
      <c r="F53" s="362">
        <f t="shared" si="4"/>
        <v>25000</v>
      </c>
      <c r="G53" s="362"/>
      <c r="H53" s="361">
        <f>'Sources and Uses Budget'!T53</f>
        <v>0</v>
      </c>
      <c r="I53" s="362"/>
      <c r="J53" s="362"/>
      <c r="K53" s="359"/>
    </row>
    <row r="54" spans="1:11" s="369" customFormat="1">
      <c r="A54" s="365" t="s">
        <v>157</v>
      </c>
      <c r="B54" s="361">
        <f>'Sources and Uses Budget'!C54</f>
        <v>4389320</v>
      </c>
      <c r="C54" s="367">
        <f>SUM(C45:C53)</f>
        <v>4389320</v>
      </c>
      <c r="D54" s="367">
        <f>SUM(D45:D53)</f>
        <v>0</v>
      </c>
      <c r="E54" s="361">
        <f>'Sources and Uses Budget'!S54</f>
        <v>3132276</v>
      </c>
      <c r="F54" s="367">
        <f>SUM(F45:F53)</f>
        <v>3132276</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for Perm Loan)</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30615532</v>
      </c>
      <c r="C63" s="361">
        <f>SUM(C8+C11+C13+C14+C15+C26+C27+C38+C42+C43+C54+C62)</f>
        <v>30615532</v>
      </c>
      <c r="D63" s="361">
        <f>SUM(D8+D11+D13+D14+D15+D26+D27+D38+D42+D43+D54+D62)</f>
        <v>0</v>
      </c>
      <c r="E63" s="361">
        <f>'Sources and Uses Budget'!S63</f>
        <v>25608488</v>
      </c>
      <c r="F63" s="361">
        <f>SUM(F10+F13+F14+F15+F26+F27+F38+F42+F43+F54)</f>
        <v>25608488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(Lender Legal +Bond Issuer Legal+MGP Legal )</v>
      </c>
      <c r="B69" s="361">
        <f>'Sources and Uses Budget'!C69</f>
        <v>144900</v>
      </c>
      <c r="C69" s="362">
        <f>B69</f>
        <v>144900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244900</v>
      </c>
      <c r="C70" s="361">
        <f>SUM(C64:C69)</f>
        <v>244900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179569</v>
      </c>
      <c r="C75" s="362">
        <f>B75</f>
        <v>179569</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179569</v>
      </c>
      <c r="C77" s="361">
        <f>SUM(C72:C76)</f>
        <v>179569</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1076250</v>
      </c>
      <c r="C79" s="362">
        <f>B79</f>
        <v>1076250</v>
      </c>
      <c r="D79" s="362"/>
      <c r="E79" s="361">
        <f>'Sources and Uses Budget'!S79</f>
        <v>1076250</v>
      </c>
      <c r="F79" s="362">
        <f>E79</f>
        <v>1076250</v>
      </c>
      <c r="G79" s="362"/>
      <c r="H79" s="361">
        <f>'Sources and Uses Budget'!T79</f>
        <v>0</v>
      </c>
      <c r="I79" s="362"/>
      <c r="J79" s="362"/>
      <c r="K79" s="359"/>
    </row>
    <row r="80" spans="1:11" s="360" customFormat="1">
      <c r="A80" s="364" t="s">
        <v>58</v>
      </c>
      <c r="B80" s="361">
        <f>'Sources and Uses Budget'!C80</f>
        <v>334764</v>
      </c>
      <c r="C80" s="362">
        <f>B80</f>
        <v>334764</v>
      </c>
      <c r="D80" s="362"/>
      <c r="E80" s="361">
        <f>'Sources and Uses Budget'!S80</f>
        <v>334764</v>
      </c>
      <c r="F80" s="362">
        <f>E80</f>
        <v>334764</v>
      </c>
      <c r="G80" s="362"/>
      <c r="H80" s="361">
        <f>'Sources and Uses Budget'!T80</f>
        <v>0</v>
      </c>
      <c r="I80" s="362"/>
      <c r="J80" s="362"/>
      <c r="K80" s="359"/>
    </row>
    <row r="81" spans="1:11" s="360" customFormat="1">
      <c r="A81" s="365" t="s">
        <v>1209</v>
      </c>
      <c r="B81" s="361">
        <f>'Sources and Uses Budget'!C81</f>
        <v>1411014</v>
      </c>
      <c r="C81" s="361">
        <f>SUM(C79:C80)</f>
        <v>1411014</v>
      </c>
      <c r="D81" s="361">
        <f>SUM(D79:D80)</f>
        <v>0</v>
      </c>
      <c r="E81" s="361">
        <f>'Sources and Uses Budget'!S81</f>
        <v>1411014</v>
      </c>
      <c r="F81" s="361">
        <f>SUM(F79:F80)</f>
        <v>1411014</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50267</v>
      </c>
      <c r="C83" s="362">
        <f>B83</f>
        <v>50267</v>
      </c>
      <c r="D83" s="362"/>
      <c r="E83" s="363"/>
      <c r="F83" s="363"/>
      <c r="G83" s="363"/>
      <c r="H83" s="363"/>
      <c r="I83" s="363"/>
      <c r="J83" s="363"/>
      <c r="K83" s="359"/>
    </row>
    <row r="84" spans="1:11" s="360" customFormat="1">
      <c r="A84" s="145" t="s">
        <v>767</v>
      </c>
      <c r="B84" s="361">
        <f>'Sources and Uses Budget'!C84</f>
        <v>50000</v>
      </c>
      <c r="C84" s="362">
        <f t="shared" ref="C84:C95" si="5">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685934</v>
      </c>
      <c r="C85" s="362">
        <f t="shared" si="5"/>
        <v>685934</v>
      </c>
      <c r="D85" s="362"/>
      <c r="E85" s="361">
        <f>'Sources and Uses Budget'!S85</f>
        <v>685934</v>
      </c>
      <c r="F85" s="362">
        <f t="shared" ref="F85:F87" si="6">E85</f>
        <v>685934</v>
      </c>
      <c r="G85" s="362"/>
      <c r="H85" s="361">
        <f>'Sources and Uses Budget'!T85</f>
        <v>0</v>
      </c>
      <c r="I85" s="362"/>
      <c r="J85" s="362"/>
      <c r="K85" s="359"/>
    </row>
    <row r="86" spans="1:11" s="360" customFormat="1">
      <c r="A86" s="145" t="s">
        <v>769</v>
      </c>
      <c r="B86" s="361">
        <f>'Sources and Uses Budget'!C86</f>
        <v>214066</v>
      </c>
      <c r="C86" s="362">
        <f t="shared" si="5"/>
        <v>214066</v>
      </c>
      <c r="D86" s="362"/>
      <c r="E86" s="361">
        <f>'Sources and Uses Budget'!S86</f>
        <v>214066</v>
      </c>
      <c r="F86" s="362">
        <f t="shared" si="6"/>
        <v>214066</v>
      </c>
      <c r="G86" s="362"/>
      <c r="H86" s="361">
        <f>'Sources and Uses Budget'!T86</f>
        <v>0</v>
      </c>
      <c r="I86" s="362"/>
      <c r="J86" s="362"/>
      <c r="K86" s="359"/>
    </row>
    <row r="87" spans="1:11" s="360" customFormat="1">
      <c r="A87" s="145" t="s">
        <v>770</v>
      </c>
      <c r="B87" s="361">
        <f>'Sources and Uses Budget'!C87</f>
        <v>0</v>
      </c>
      <c r="C87" s="362">
        <f t="shared" si="5"/>
        <v>0</v>
      </c>
      <c r="D87" s="362"/>
      <c r="E87" s="361">
        <f>'Sources and Uses Budget'!S87</f>
        <v>0</v>
      </c>
      <c r="F87" s="362">
        <f t="shared" si="6"/>
        <v>0</v>
      </c>
      <c r="G87" s="362"/>
      <c r="H87" s="361">
        <f>'Sources and Uses Budget'!T87</f>
        <v>0</v>
      </c>
      <c r="I87" s="362"/>
      <c r="J87" s="362"/>
      <c r="K87" s="359"/>
    </row>
    <row r="88" spans="1:11" s="360" customFormat="1">
      <c r="A88" s="145" t="s">
        <v>771</v>
      </c>
      <c r="B88" s="361">
        <f>'Sources and Uses Budget'!C88</f>
        <v>25000</v>
      </c>
      <c r="C88" s="362">
        <f t="shared" si="5"/>
        <v>25000</v>
      </c>
      <c r="D88" s="362"/>
      <c r="E88" s="363"/>
      <c r="F88" s="363"/>
      <c r="G88" s="363"/>
      <c r="H88" s="363"/>
      <c r="I88" s="363"/>
      <c r="J88" s="363"/>
      <c r="K88" s="359"/>
    </row>
    <row r="89" spans="1:11" s="360" customFormat="1">
      <c r="A89" s="145" t="s">
        <v>772</v>
      </c>
      <c r="B89" s="361">
        <f>'Sources and Uses Budget'!C89</f>
        <v>150000</v>
      </c>
      <c r="C89" s="362">
        <f t="shared" si="5"/>
        <v>150000</v>
      </c>
      <c r="D89" s="362"/>
      <c r="E89" s="361">
        <f>'Sources and Uses Budget'!S89</f>
        <v>150000</v>
      </c>
      <c r="F89" s="362">
        <f>E89</f>
        <v>150000</v>
      </c>
      <c r="G89" s="362"/>
      <c r="H89" s="361">
        <f>'Sources and Uses Budget'!T89</f>
        <v>0</v>
      </c>
      <c r="I89" s="362"/>
      <c r="J89" s="362"/>
      <c r="K89" s="359"/>
    </row>
    <row r="90" spans="1:11" s="360" customFormat="1">
      <c r="A90" s="145" t="s">
        <v>773</v>
      </c>
      <c r="B90" s="361">
        <f>'Sources and Uses Budget'!C90</f>
        <v>15000</v>
      </c>
      <c r="C90" s="362">
        <f t="shared" si="5"/>
        <v>15000</v>
      </c>
      <c r="D90" s="362"/>
      <c r="E90" s="361">
        <f>'Sources and Uses Budget'!S90</f>
        <v>15000</v>
      </c>
      <c r="F90" s="362">
        <f>E90</f>
        <v>15000</v>
      </c>
      <c r="G90" s="362"/>
      <c r="H90" s="361">
        <f>'Sources and Uses Budget'!T90</f>
        <v>0</v>
      </c>
      <c r="I90" s="362"/>
      <c r="J90" s="362"/>
      <c r="K90" s="359"/>
    </row>
    <row r="91" spans="1:11" s="360" customFormat="1">
      <c r="A91" s="155" t="s">
        <v>372</v>
      </c>
      <c r="B91" s="361">
        <f>'Sources and Uses Budget'!C91</f>
        <v>50000</v>
      </c>
      <c r="C91" s="362">
        <f t="shared" si="5"/>
        <v>50000</v>
      </c>
      <c r="D91" s="362"/>
      <c r="E91" s="361">
        <f>'Sources and Uses Budget'!S91</f>
        <v>50000</v>
      </c>
      <c r="F91" s="362">
        <f t="shared" ref="F91:F95" si="7">E91</f>
        <v>50000</v>
      </c>
      <c r="G91" s="362"/>
      <c r="H91" s="361">
        <f>'Sources and Uses Budget'!T91</f>
        <v>0</v>
      </c>
      <c r="I91" s="362"/>
      <c r="J91" s="362"/>
      <c r="K91" s="359"/>
    </row>
    <row r="92" spans="1:11" s="360" customFormat="1">
      <c r="A92" s="508" t="s">
        <v>1211</v>
      </c>
      <c r="B92" s="361">
        <f>'Sources and Uses Budget'!C92</f>
        <v>20000</v>
      </c>
      <c r="C92" s="362">
        <f t="shared" si="5"/>
        <v>20000</v>
      </c>
      <c r="D92" s="362"/>
      <c r="E92" s="361">
        <f>'Sources and Uses Budget'!S92</f>
        <v>20000</v>
      </c>
      <c r="F92" s="362">
        <f t="shared" si="7"/>
        <v>20000</v>
      </c>
      <c r="G92" s="362"/>
      <c r="H92" s="361">
        <f>'Sources and Uses Budget'!T92</f>
        <v>0</v>
      </c>
      <c r="I92" s="362"/>
      <c r="J92" s="362"/>
      <c r="K92" s="359"/>
    </row>
    <row r="93" spans="1:11" s="360" customFormat="1" ht="23">
      <c r="A93" s="364" t="str">
        <f>'Sources and Uses Budget'!$A93</f>
        <v>Other: (Prevailing Wage Monitoring +Relocation Cost)</v>
      </c>
      <c r="B93" s="361">
        <f>'Sources and Uses Budget'!C93</f>
        <v>362100</v>
      </c>
      <c r="C93" s="362">
        <f t="shared" si="5"/>
        <v>362100</v>
      </c>
      <c r="D93" s="362"/>
      <c r="E93" s="361">
        <f>'Sources and Uses Budget'!S93</f>
        <v>42000</v>
      </c>
      <c r="F93" s="362">
        <f t="shared" si="7"/>
        <v>42000</v>
      </c>
      <c r="G93" s="362"/>
      <c r="H93" s="361">
        <f>'Sources and Uses Budget'!T93</f>
        <v>0</v>
      </c>
      <c r="I93" s="362"/>
      <c r="J93" s="362"/>
      <c r="K93" s="359"/>
    </row>
    <row r="94" spans="1:11" s="360" customFormat="1" ht="34.5">
      <c r="A94" s="364" t="str">
        <f>'Sources and Uses Budget'!$A94</f>
        <v>Other: (Environmental Remediating+CDLAC Fee+Misc. Third Party Costs)</v>
      </c>
      <c r="B94" s="361">
        <f>'Sources and Uses Budget'!C94</f>
        <v>303500</v>
      </c>
      <c r="C94" s="362">
        <f t="shared" si="5"/>
        <v>303500</v>
      </c>
      <c r="D94" s="362"/>
      <c r="E94" s="361">
        <f>'Sources and Uses Budget'!S94</f>
        <v>253500</v>
      </c>
      <c r="F94" s="362">
        <f t="shared" si="7"/>
        <v>253500</v>
      </c>
      <c r="G94" s="362"/>
      <c r="H94" s="361">
        <f>'Sources and Uses Budget'!T94</f>
        <v>0</v>
      </c>
      <c r="I94" s="362"/>
      <c r="J94" s="362"/>
      <c r="K94" s="359"/>
    </row>
    <row r="95" spans="1:11" s="360" customFormat="1">
      <c r="A95" s="364" t="str">
        <f>'Sources and Uses Budget'!$A95</f>
        <v>Other: (Predevelopment Loan Interest)</v>
      </c>
      <c r="B95" s="361">
        <f>'Sources and Uses Budget'!C95</f>
        <v>200000</v>
      </c>
      <c r="C95" s="362">
        <f t="shared" si="5"/>
        <v>200000</v>
      </c>
      <c r="D95" s="362"/>
      <c r="E95" s="361">
        <f>'Sources and Uses Budget'!S95</f>
        <v>200000</v>
      </c>
      <c r="F95" s="362">
        <f t="shared" si="7"/>
        <v>200000</v>
      </c>
      <c r="G95" s="362"/>
      <c r="H95" s="361">
        <f>'Sources and Uses Budget'!T95</f>
        <v>0</v>
      </c>
      <c r="I95" s="362"/>
      <c r="J95" s="362"/>
      <c r="K95" s="359"/>
    </row>
    <row r="96" spans="1:11" s="360" customFormat="1">
      <c r="A96" s="365" t="s">
        <v>774</v>
      </c>
      <c r="B96" s="361">
        <f>'Sources and Uses Budget'!C96</f>
        <v>2125867</v>
      </c>
      <c r="C96" s="361">
        <f>SUM(C83:C95)</f>
        <v>2125867</v>
      </c>
      <c r="D96" s="361">
        <f>SUM(D83:D95)</f>
        <v>0</v>
      </c>
      <c r="E96" s="361">
        <f>'Sources and Uses Budget'!S96</f>
        <v>1680500</v>
      </c>
      <c r="F96" s="367">
        <f>SUM(F84:F87,F89:F95)</f>
        <v>1680500</v>
      </c>
      <c r="G96" s="367">
        <f>SUM(G84:G87,G89:G95)</f>
        <v>0</v>
      </c>
      <c r="H96" s="361">
        <f>'Sources and Uses Budget'!T96</f>
        <v>0</v>
      </c>
      <c r="I96" s="361">
        <f>SUM(I84:I87,I89:I95)</f>
        <v>0</v>
      </c>
      <c r="J96" s="361">
        <f>SUM(J84:J87,J89:J95)</f>
        <v>0</v>
      </c>
      <c r="K96" s="359"/>
    </row>
    <row r="97" spans="1:11" s="360" customFormat="1">
      <c r="A97" s="365" t="s">
        <v>1029</v>
      </c>
      <c r="B97" s="361">
        <f>'Sources and Uses Budget'!C97</f>
        <v>34576882</v>
      </c>
      <c r="C97" s="361">
        <f>SUM(C63+C70+C77+C81+C96)</f>
        <v>34576882</v>
      </c>
      <c r="D97" s="361">
        <f>SUM(D63+D70+D77+D81+D96)</f>
        <v>0</v>
      </c>
      <c r="E97" s="361">
        <f>'Sources and Uses Budget'!S97</f>
        <v>28875002</v>
      </c>
      <c r="F97" s="367">
        <f>SUM(+F63+F70+F81+F96)</f>
        <v>28875002</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4331250</v>
      </c>
      <c r="C99" s="362">
        <f>B99</f>
        <v>4331250</v>
      </c>
      <c r="D99" s="362"/>
      <c r="E99" s="361">
        <f>'Sources and Uses Budget'!S99</f>
        <v>4331250</v>
      </c>
      <c r="F99" s="362">
        <f>E99</f>
        <v>4331250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4331250</v>
      </c>
      <c r="C104" s="361">
        <f>SUM(C99:C103)</f>
        <v>4331250</v>
      </c>
      <c r="D104" s="361">
        <f>SUM(D99:D103)</f>
        <v>0</v>
      </c>
      <c r="E104" s="361">
        <f>'Sources and Uses Budget'!S104</f>
        <v>4331250</v>
      </c>
      <c r="F104" s="367">
        <f>SUM(F99:F103)</f>
        <v>4331250</v>
      </c>
      <c r="G104" s="367">
        <f>SUM(G99:G103)</f>
        <v>0</v>
      </c>
      <c r="H104" s="361">
        <f>'Sources and Uses Budget'!T104</f>
        <v>0</v>
      </c>
      <c r="I104" s="367">
        <f>SUM(I99:I103)</f>
        <v>0</v>
      </c>
      <c r="J104" s="367">
        <f>SUM(J99:J103)</f>
        <v>0</v>
      </c>
      <c r="K104" s="359"/>
    </row>
    <row r="105" spans="1:11" s="360" customFormat="1">
      <c r="A105" s="365" t="s">
        <v>1030</v>
      </c>
      <c r="B105" s="361">
        <f>'Sources and Uses Budget'!C105</f>
        <v>38908132</v>
      </c>
      <c r="C105" s="367">
        <f>SUM(C97+C104)</f>
        <v>38908132</v>
      </c>
      <c r="D105" s="367">
        <f>SUM(D97+D104)</f>
        <v>0</v>
      </c>
      <c r="E105" s="361">
        <f>'Sources and Uses Budget'!S105</f>
        <v>33206252</v>
      </c>
      <c r="F105" s="367">
        <f>F97+F104</f>
        <v>33206252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33206252</v>
      </c>
      <c r="F107" s="367">
        <f>F105+F106</f>
        <v>33206252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8"/>
      <c r="E124" s="1320"/>
      <c r="F124" s="1320"/>
      <c r="G124" s="1320"/>
      <c r="H124" s="1320"/>
      <c r="I124" s="1320"/>
      <c r="J124" s="376"/>
      <c r="K124" s="359"/>
    </row>
    <row r="125" spans="1:11" s="360" customFormat="1" ht="12.5">
      <c r="A125" s="385"/>
      <c r="B125" s="384"/>
      <c r="C125" s="385"/>
      <c r="D125" s="1320"/>
      <c r="E125" s="1320"/>
      <c r="F125" s="1320"/>
      <c r="G125" s="1320"/>
      <c r="H125" s="1320"/>
      <c r="I125" s="1320"/>
      <c r="J125" s="376"/>
      <c r="K125" s="359"/>
    </row>
    <row r="126" spans="1:11" s="360" customFormat="1" ht="12.5">
      <c r="A126" s="385"/>
      <c r="B126" s="384"/>
      <c r="C126" s="385"/>
      <c r="D126" s="1320"/>
      <c r="E126" s="1320"/>
      <c r="F126" s="1320"/>
      <c r="G126" s="1320"/>
      <c r="H126" s="1320"/>
      <c r="I126" s="132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9"/>
      <c r="B139" s="1320"/>
      <c r="C139" s="1320"/>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36328125" style="1187" hidden="1" customWidth="1"/>
    <col min="66" max="66" width="5.6328125" style="1256" bestFit="1" customWidth="1"/>
    <col min="67" max="68" width="5.6328125" style="1256" customWidth="1"/>
    <col min="69" max="69" width="8" style="1256" customWidth="1"/>
    <col min="70" max="70" width="6" style="1256" customWidth="1"/>
    <col min="71" max="71" width="6.08984375" style="1256" customWidth="1"/>
    <col min="72" max="76" width="5.6328125" style="1256" customWidth="1"/>
    <col min="77" max="77" width="6.08984375" style="1256" bestFit="1" customWidth="1"/>
    <col min="78" max="78" width="5.6328125" style="1187" bestFit="1" customWidth="1"/>
    <col min="79" max="16384" width="2.6328125" style="1187"/>
  </cols>
  <sheetData>
    <row r="1" spans="1:65" ht="15.75" customHeight="1">
      <c r="A1" s="2338" t="s">
        <v>2456</v>
      </c>
      <c r="B1" s="2339"/>
      <c r="C1" s="2339"/>
      <c r="D1" s="2339"/>
      <c r="E1" s="2339"/>
      <c r="F1" s="2339"/>
      <c r="G1" s="2339"/>
      <c r="H1" s="2339"/>
      <c r="I1" s="2339"/>
      <c r="J1" s="2339"/>
      <c r="K1" s="2339"/>
      <c r="L1" s="2339"/>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339"/>
      <c r="AO1" s="2339"/>
      <c r="AP1" s="2339"/>
      <c r="AQ1" s="2339"/>
      <c r="AR1" s="2339"/>
      <c r="AS1" s="2339"/>
      <c r="AT1" s="2339"/>
      <c r="AU1" s="2339"/>
      <c r="AV1" s="2339"/>
      <c r="AW1" s="2339"/>
      <c r="AX1" s="2339"/>
      <c r="AY1" s="2339"/>
      <c r="AZ1" s="2339"/>
      <c r="BA1" s="2339"/>
      <c r="BB1" s="2339"/>
      <c r="BC1" s="2339"/>
      <c r="BD1" s="2339"/>
      <c r="BE1" s="2340"/>
    </row>
    <row r="2" spans="1:65" ht="15.75" customHeight="1">
      <c r="A2" s="2341" t="s">
        <v>2455</v>
      </c>
      <c r="B2" s="2342"/>
      <c r="C2" s="2342"/>
      <c r="D2" s="2342"/>
      <c r="E2" s="2342"/>
      <c r="F2" s="2342"/>
      <c r="G2" s="2342"/>
      <c r="H2" s="2342"/>
      <c r="I2" s="2342"/>
      <c r="J2" s="2342"/>
      <c r="K2" s="2342"/>
      <c r="L2" s="2342"/>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2"/>
      <c r="BC2" s="2342"/>
      <c r="BD2" s="2342"/>
      <c r="BE2" s="234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30" t="str">
        <f>IF(Application!H18="","",Application!H18)</f>
        <v xml:space="preserve">Colorado Crest Apartments </v>
      </c>
      <c r="M4" s="2331"/>
      <c r="N4" s="2331"/>
      <c r="O4" s="2331"/>
      <c r="P4" s="2331"/>
      <c r="Q4" s="2331"/>
      <c r="R4" s="2331"/>
      <c r="S4" s="2331"/>
      <c r="T4" s="2331"/>
      <c r="U4" s="2331"/>
      <c r="V4" s="2331"/>
      <c r="W4" s="2331"/>
      <c r="X4" s="2331"/>
      <c r="Y4" s="2331"/>
      <c r="Z4" s="2331"/>
      <c r="AA4" s="2331"/>
      <c r="AB4" s="2331"/>
      <c r="AC4" s="2332"/>
      <c r="AD4" s="1190"/>
      <c r="AE4" s="1190"/>
      <c r="AF4" s="2326" t="s">
        <v>2454</v>
      </c>
      <c r="AG4" s="2326"/>
      <c r="AH4" s="2326"/>
      <c r="AI4" s="2326"/>
      <c r="AJ4" s="2326"/>
      <c r="AK4" s="2326"/>
      <c r="AL4" s="2326"/>
      <c r="AM4" s="2326"/>
      <c r="AN4" s="2326"/>
      <c r="AO4" s="2326"/>
      <c r="AP4" s="2327"/>
      <c r="AQ4" s="2328"/>
      <c r="AR4" s="2328"/>
      <c r="AS4" s="2328"/>
      <c r="AT4" s="2328"/>
      <c r="AU4" s="232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26" t="s">
        <v>2453</v>
      </c>
      <c r="AG5" s="2326"/>
      <c r="AH5" s="2326"/>
      <c r="AI5" s="2326"/>
      <c r="AJ5" s="2326"/>
      <c r="AK5" s="2326"/>
      <c r="AL5" s="2326"/>
      <c r="AM5" s="2326"/>
      <c r="AN5" s="2326"/>
      <c r="AO5" s="2326"/>
      <c r="AP5" s="2327"/>
      <c r="AQ5" s="2328"/>
      <c r="AR5" s="2328"/>
      <c r="AS5" s="2328"/>
      <c r="AT5" s="2328"/>
      <c r="AU5" s="2328"/>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30" t="str">
        <f>IF(Application!H16="","",Application!H16)</f>
        <v>Colorado Crest LP</v>
      </c>
      <c r="M6" s="2331"/>
      <c r="N6" s="2331"/>
      <c r="O6" s="2331"/>
      <c r="P6" s="2331"/>
      <c r="Q6" s="2331"/>
      <c r="R6" s="2331"/>
      <c r="S6" s="2331"/>
      <c r="T6" s="2331"/>
      <c r="U6" s="2331"/>
      <c r="V6" s="2331"/>
      <c r="W6" s="2331"/>
      <c r="X6" s="2331"/>
      <c r="Y6" s="2331"/>
      <c r="Z6" s="2331"/>
      <c r="AA6" s="2331"/>
      <c r="AB6" s="2331"/>
      <c r="AC6" s="2332"/>
      <c r="AD6" s="1190"/>
      <c r="AE6" s="1190"/>
      <c r="AF6" s="2333" t="s">
        <v>2451</v>
      </c>
      <c r="AG6" s="2333"/>
      <c r="AH6" s="2333"/>
      <c r="AI6" s="2333"/>
      <c r="AJ6" s="2333"/>
      <c r="AK6" s="2333"/>
      <c r="AL6" s="2333"/>
      <c r="AM6" s="2333"/>
      <c r="AN6" s="2333"/>
      <c r="AO6" s="2333"/>
      <c r="AP6" s="2334"/>
      <c r="AQ6" s="2334"/>
      <c r="AR6" s="2334"/>
      <c r="AS6" s="2334"/>
      <c r="AT6" s="2334"/>
      <c r="AU6" s="2334"/>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33" t="s">
        <v>2450</v>
      </c>
      <c r="AG7" s="2333"/>
      <c r="AH7" s="2333"/>
      <c r="AI7" s="2333"/>
      <c r="AJ7" s="2333"/>
      <c r="AK7" s="2333"/>
      <c r="AL7" s="2333"/>
      <c r="AM7" s="2333"/>
      <c r="AN7" s="2333"/>
      <c r="AO7" s="2333"/>
      <c r="AP7" s="2334"/>
      <c r="AQ7" s="2334"/>
      <c r="AR7" s="2334"/>
      <c r="AS7" s="2334"/>
      <c r="AT7" s="2334"/>
      <c r="AU7" s="2334"/>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35" t="str">
        <f>Application!T197</f>
        <v>No</v>
      </c>
      <c r="AC8" s="2336"/>
      <c r="AD8" s="2337"/>
      <c r="AE8" s="1190"/>
      <c r="AF8" s="2333" t="s">
        <v>2448</v>
      </c>
      <c r="AG8" s="2333"/>
      <c r="AH8" s="2333"/>
      <c r="AI8" s="2333"/>
      <c r="AJ8" s="2333"/>
      <c r="AK8" s="2333"/>
      <c r="AL8" s="2333"/>
      <c r="AM8" s="2333"/>
      <c r="AN8" s="2333"/>
      <c r="AO8" s="2333"/>
      <c r="AP8" s="2334" t="s">
        <v>2098</v>
      </c>
      <c r="AQ8" s="2334"/>
      <c r="AR8" s="2334"/>
      <c r="AS8" s="2334"/>
      <c r="AT8" s="2334"/>
      <c r="AU8" s="2334"/>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26" t="s">
        <v>2447</v>
      </c>
      <c r="AG9" s="2326"/>
      <c r="AH9" s="2326"/>
      <c r="AI9" s="2326"/>
      <c r="AJ9" s="2326"/>
      <c r="AK9" s="2326"/>
      <c r="AL9" s="2326"/>
      <c r="AM9" s="2326"/>
      <c r="AN9" s="2326"/>
      <c r="AO9" s="2326"/>
      <c r="AP9" s="2327"/>
      <c r="AQ9" s="2328"/>
      <c r="AR9" s="2328"/>
      <c r="AS9" s="2328"/>
      <c r="AT9" s="2328"/>
      <c r="AU9" s="2328"/>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2329">
        <f>Application!AO627</f>
        <v>4004152</v>
      </c>
      <c r="O10" s="2329"/>
      <c r="P10" s="2329"/>
      <c r="Q10" s="2329"/>
      <c r="R10" s="2329"/>
      <c r="S10" s="2329"/>
      <c r="T10" s="2329"/>
      <c r="U10" s="1190"/>
      <c r="V10" s="1190"/>
      <c r="W10" s="1190"/>
      <c r="X10" s="1193"/>
      <c r="Y10" s="1193"/>
      <c r="Z10" s="1193"/>
      <c r="AA10" s="1193"/>
      <c r="AB10" s="1193"/>
      <c r="AC10" s="1193"/>
      <c r="AD10" s="1193"/>
      <c r="AE10" s="1193"/>
      <c r="AF10" s="2326" t="s">
        <v>2444</v>
      </c>
      <c r="AG10" s="2326"/>
      <c r="AH10" s="2326"/>
      <c r="AI10" s="2326"/>
      <c r="AJ10" s="2326"/>
      <c r="AK10" s="2326"/>
      <c r="AL10" s="2326"/>
      <c r="AM10" s="2326"/>
      <c r="AN10" s="2326"/>
      <c r="AO10" s="2326"/>
      <c r="AP10" s="2327"/>
      <c r="AQ10" s="2328"/>
      <c r="AR10" s="2328"/>
      <c r="AS10" s="2328"/>
      <c r="AT10" s="2328"/>
      <c r="AU10" s="2328"/>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2329">
        <f>Application!AA934</f>
        <v>0</v>
      </c>
      <c r="O11" s="2329"/>
      <c r="P11" s="2329"/>
      <c r="Q11" s="2329"/>
      <c r="R11" s="2329"/>
      <c r="S11" s="2329"/>
      <c r="T11" s="2329"/>
      <c r="U11" s="1190"/>
      <c r="V11" s="1190"/>
      <c r="W11" s="1190"/>
      <c r="X11" s="1193"/>
      <c r="Y11" s="1193"/>
      <c r="Z11" s="1193"/>
      <c r="AA11" s="1193"/>
      <c r="AB11" s="1193"/>
      <c r="AC11" s="1193"/>
      <c r="AD11" s="1193"/>
      <c r="AE11" s="1193"/>
      <c r="AF11" s="2326" t="s">
        <v>2441</v>
      </c>
      <c r="AG11" s="2326"/>
      <c r="AH11" s="2326"/>
      <c r="AI11" s="2326"/>
      <c r="AJ11" s="2326"/>
      <c r="AK11" s="2326"/>
      <c r="AL11" s="2326"/>
      <c r="AM11" s="2326"/>
      <c r="AN11" s="2326"/>
      <c r="AO11" s="2326"/>
      <c r="AP11" s="2327"/>
      <c r="AQ11" s="2328"/>
      <c r="AR11" s="2328"/>
      <c r="AS11" s="2328"/>
      <c r="AT11" s="2328"/>
      <c r="AU11" s="2328"/>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17" t="s">
        <v>2439</v>
      </c>
      <c r="C13" s="2318"/>
      <c r="D13" s="2318"/>
      <c r="E13" s="2318"/>
      <c r="F13" s="2318"/>
      <c r="G13" s="2318"/>
      <c r="H13" s="2318"/>
      <c r="I13" s="2318"/>
      <c r="J13" s="2318"/>
      <c r="K13" s="2318"/>
      <c r="L13" s="2318"/>
      <c r="M13" s="2318"/>
      <c r="N13" s="2318"/>
      <c r="O13" s="2318"/>
      <c r="P13" s="2319"/>
      <c r="Q13" s="2320" t="s">
        <v>669</v>
      </c>
      <c r="R13" s="2321"/>
      <c r="S13" s="2321"/>
      <c r="T13" s="2322"/>
      <c r="U13" s="1193"/>
      <c r="V13" s="1190"/>
      <c r="W13" s="1190"/>
      <c r="X13" s="1190"/>
      <c r="Y13" s="1190"/>
      <c r="Z13" s="1190"/>
      <c r="AA13" s="2307" t="s">
        <v>2438</v>
      </c>
      <c r="AB13" s="2307"/>
      <c r="AC13" s="2307"/>
      <c r="AD13" s="2307"/>
      <c r="AE13" s="2307"/>
      <c r="AF13" s="2307"/>
      <c r="AG13" s="2307"/>
      <c r="AH13" s="2307"/>
      <c r="AI13" s="2307"/>
      <c r="AJ13" s="2307"/>
      <c r="AK13" s="2307"/>
      <c r="AL13" s="2307"/>
      <c r="AM13" s="2307"/>
      <c r="AN13" s="2307"/>
      <c r="AO13" s="2323">
        <f>Application!W473</f>
        <v>7</v>
      </c>
      <c r="AP13" s="2324"/>
      <c r="AQ13" s="2324"/>
      <c r="AR13" s="2324"/>
      <c r="AS13" s="2324"/>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25" t="s">
        <v>2436</v>
      </c>
      <c r="AB14" s="2325"/>
      <c r="AC14" s="2325"/>
      <c r="AD14" s="2325"/>
      <c r="AE14" s="2325"/>
      <c r="AF14" s="2325"/>
      <c r="AG14" s="2325"/>
      <c r="AH14" s="2325"/>
      <c r="AI14" s="2325"/>
      <c r="AJ14" s="2325"/>
      <c r="AK14" s="2325"/>
      <c r="AL14" s="2325"/>
      <c r="AM14" s="2325"/>
      <c r="AN14" s="2325"/>
      <c r="AO14" s="2308"/>
      <c r="AP14" s="2309"/>
      <c r="AQ14" s="2309"/>
      <c r="AR14" s="2309"/>
      <c r="AS14" s="2309"/>
      <c r="AT14" s="1193"/>
      <c r="AU14" s="1193"/>
      <c r="AV14" s="1193"/>
      <c r="AW14" s="1193"/>
      <c r="AX14" s="1193"/>
      <c r="AY14" s="1193"/>
      <c r="AZ14" s="1193"/>
      <c r="BA14" s="1193"/>
      <c r="BB14" s="1193"/>
      <c r="BC14" s="1193"/>
      <c r="BD14" s="1193"/>
      <c r="BE14" s="1194"/>
    </row>
    <row r="15" spans="1:65" ht="15" thickBot="1">
      <c r="A15" s="1190"/>
      <c r="B15" s="2302" t="s">
        <v>2435</v>
      </c>
      <c r="C15" s="2303"/>
      <c r="D15" s="2303"/>
      <c r="E15" s="2303"/>
      <c r="F15" s="2303"/>
      <c r="G15" s="2303"/>
      <c r="H15" s="2303"/>
      <c r="I15" s="2303"/>
      <c r="J15" s="2303"/>
      <c r="K15" s="2303"/>
      <c r="L15" s="2303"/>
      <c r="M15" s="2303"/>
      <c r="N15" s="2303"/>
      <c r="O15" s="2303"/>
      <c r="P15" s="2303"/>
      <c r="Q15" s="2303"/>
      <c r="R15" s="2304"/>
      <c r="S15" s="2305" t="str">
        <f>IF(Application!AB214="","",Application!AB214)</f>
        <v/>
      </c>
      <c r="T15" s="2305"/>
      <c r="U15" s="2305"/>
      <c r="V15" s="2305"/>
      <c r="W15" s="2306"/>
      <c r="X15" s="1193"/>
      <c r="Y15" s="1190"/>
      <c r="Z15" s="1190"/>
      <c r="AA15" s="2307" t="s">
        <v>2434</v>
      </c>
      <c r="AB15" s="2307"/>
      <c r="AC15" s="2307"/>
      <c r="AD15" s="2307"/>
      <c r="AE15" s="2307"/>
      <c r="AF15" s="2307"/>
      <c r="AG15" s="2307"/>
      <c r="AH15" s="2307"/>
      <c r="AI15" s="2307"/>
      <c r="AJ15" s="2307"/>
      <c r="AK15" s="2307"/>
      <c r="AL15" s="2307"/>
      <c r="AM15" s="2307"/>
      <c r="AN15" s="2307"/>
      <c r="AO15" s="2308"/>
      <c r="AP15" s="2309"/>
      <c r="AQ15" s="2309"/>
      <c r="AR15" s="2309"/>
      <c r="AS15" s="2309"/>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15" t="s">
        <v>2433</v>
      </c>
      <c r="C17" s="2116"/>
      <c r="D17" s="2116"/>
      <c r="E17" s="2116"/>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2116"/>
      <c r="AP17" s="2116"/>
      <c r="AQ17" s="2116"/>
      <c r="AR17" s="2116"/>
      <c r="AS17" s="2116"/>
      <c r="AT17" s="2116"/>
      <c r="AU17" s="2116"/>
      <c r="AV17" s="2116"/>
      <c r="AW17" s="2116"/>
      <c r="AX17" s="2116"/>
      <c r="AY17" s="2117"/>
      <c r="AZ17" s="1190"/>
      <c r="BA17" s="1190"/>
      <c r="BB17" s="1190"/>
      <c r="BC17" s="1190"/>
      <c r="BD17" s="1190"/>
      <c r="BE17" s="1194"/>
      <c r="BF17" s="1188"/>
    </row>
    <row r="18" spans="1:58" ht="15.75" customHeight="1">
      <c r="A18" s="1190"/>
      <c r="B18" s="2310" t="s">
        <v>2432</v>
      </c>
      <c r="C18" s="2311"/>
      <c r="D18" s="2311"/>
      <c r="E18" s="2311"/>
      <c r="F18" s="2311"/>
      <c r="G18" s="2311"/>
      <c r="H18" s="2311"/>
      <c r="I18" s="2312"/>
      <c r="J18" s="2313" t="s">
        <v>1586</v>
      </c>
      <c r="K18" s="2314"/>
      <c r="L18" s="2314"/>
      <c r="M18" s="2314"/>
      <c r="N18" s="2314"/>
      <c r="O18" s="2315"/>
      <c r="P18" s="2313" t="s">
        <v>324</v>
      </c>
      <c r="Q18" s="2314"/>
      <c r="R18" s="2314"/>
      <c r="S18" s="2314"/>
      <c r="T18" s="2314"/>
      <c r="U18" s="2315"/>
      <c r="V18" s="2313" t="s">
        <v>325</v>
      </c>
      <c r="W18" s="2314"/>
      <c r="X18" s="2314"/>
      <c r="Y18" s="2314"/>
      <c r="Z18" s="2314"/>
      <c r="AA18" s="2315"/>
      <c r="AB18" s="2313" t="s">
        <v>163</v>
      </c>
      <c r="AC18" s="2314"/>
      <c r="AD18" s="2314"/>
      <c r="AE18" s="2314"/>
      <c r="AF18" s="2314"/>
      <c r="AG18" s="2315"/>
      <c r="AH18" s="2313" t="s">
        <v>164</v>
      </c>
      <c r="AI18" s="2314"/>
      <c r="AJ18" s="2314"/>
      <c r="AK18" s="2314"/>
      <c r="AL18" s="2314"/>
      <c r="AM18" s="2315"/>
      <c r="AN18" s="2313" t="s">
        <v>165</v>
      </c>
      <c r="AO18" s="2314"/>
      <c r="AP18" s="2314"/>
      <c r="AQ18" s="2314"/>
      <c r="AR18" s="2314"/>
      <c r="AS18" s="2315"/>
      <c r="AT18" s="2313" t="s">
        <v>2431</v>
      </c>
      <c r="AU18" s="2314"/>
      <c r="AV18" s="2314"/>
      <c r="AW18" s="2314"/>
      <c r="AX18" s="2314"/>
      <c r="AY18" s="2316"/>
      <c r="AZ18" s="1190"/>
      <c r="BA18" s="1190"/>
      <c r="BB18" s="1190"/>
      <c r="BC18" s="1190"/>
      <c r="BD18" s="1190"/>
      <c r="BE18" s="1194"/>
    </row>
    <row r="19" spans="1:58" ht="14.5">
      <c r="A19" s="1190"/>
      <c r="B19" s="2296">
        <v>0.3</v>
      </c>
      <c r="C19" s="2297"/>
      <c r="D19" s="2297"/>
      <c r="E19" s="2297"/>
      <c r="F19" s="2297"/>
      <c r="G19" s="2297"/>
      <c r="H19" s="2297"/>
      <c r="I19" s="2298"/>
      <c r="J19" s="2299">
        <f t="shared" ref="J19:J24" si="0">SUM(P19:AS19)</f>
        <v>9</v>
      </c>
      <c r="K19" s="2300"/>
      <c r="L19" s="2300"/>
      <c r="M19" s="2300"/>
      <c r="N19" s="2300"/>
      <c r="O19" s="2301"/>
      <c r="P19" s="2299" cm="1">
        <f t="array" ref="P19">SUMPRODUCT((Application!$B$718:$B$752 = 'CalHFA Addendum'!P$18)*(Application!$AC$718:$AC$752 = 'CalHFA Addendum'!$B19),Application!$G$718:$G$752)</f>
        <v>0</v>
      </c>
      <c r="Q19" s="2300"/>
      <c r="R19" s="2300"/>
      <c r="S19" s="2300"/>
      <c r="T19" s="2300"/>
      <c r="U19" s="2301"/>
      <c r="V19" s="2299" cm="1">
        <f t="array" ref="V19">SUMPRODUCT((Application!$B$714:$B$738 = 'CalHFA Addendum'!V$18)*(Application!$AC$714:$AC$738 = 'CalHFA Addendum'!$B19),Application!$G$714:$G$738)</f>
        <v>3</v>
      </c>
      <c r="W19" s="2300"/>
      <c r="X19" s="2300"/>
      <c r="Y19" s="2300"/>
      <c r="Z19" s="2300"/>
      <c r="AA19" s="2301"/>
      <c r="AB19" s="2299" cm="1">
        <f t="array" ref="AB19">SUMPRODUCT((Application!$B$714:$B$738 = 'CalHFA Addendum'!AB$18)*(Application!$AC$714:$AC$738 = 'CalHFA Addendum'!$B19),Application!$G$714:$G$738)</f>
        <v>3</v>
      </c>
      <c r="AC19" s="2300"/>
      <c r="AD19" s="2300"/>
      <c r="AE19" s="2300"/>
      <c r="AF19" s="2300"/>
      <c r="AG19" s="2301"/>
      <c r="AH19" s="2299" cm="1">
        <f t="array" ref="AH19">SUMPRODUCT((Application!$B$714:$B$738 = 'CalHFA Addendum'!AH$18)*(Application!$AC$714:$AC$738 = 'CalHFA Addendum'!$B19),Application!$G$714:$G$738)</f>
        <v>3</v>
      </c>
      <c r="AI19" s="2300"/>
      <c r="AJ19" s="2300"/>
      <c r="AK19" s="2300"/>
      <c r="AL19" s="2300"/>
      <c r="AM19" s="2301"/>
      <c r="AN19" s="2299" cm="1">
        <f t="array" ref="AN19">SUMPRODUCT((Application!$B$714:$B$738 = 'CalHFA Addendum'!AN$18)*(Application!$AC$714:$AC$738 = 'CalHFA Addendum'!$B19),Application!$G$714:$G$738)</f>
        <v>0</v>
      </c>
      <c r="AO19" s="2300"/>
      <c r="AP19" s="2300"/>
      <c r="AQ19" s="2300"/>
      <c r="AR19" s="2300"/>
      <c r="AS19" s="2301"/>
      <c r="AT19" s="2284">
        <f t="shared" ref="AT19:AT29" si="1">J19/$J$29</f>
        <v>0.2</v>
      </c>
      <c r="AU19" s="2285"/>
      <c r="AV19" s="2285"/>
      <c r="AW19" s="2285"/>
      <c r="AX19" s="2285"/>
      <c r="AY19" s="2286"/>
      <c r="AZ19" s="1195"/>
      <c r="BA19" s="1190"/>
      <c r="BB19" s="1190"/>
      <c r="BC19" s="1190"/>
      <c r="BD19" s="1190"/>
      <c r="BE19" s="1194"/>
    </row>
    <row r="20" spans="1:58" ht="15" customHeight="1">
      <c r="A20" s="1190"/>
      <c r="B20" s="2296">
        <v>0.4</v>
      </c>
      <c r="C20" s="2297"/>
      <c r="D20" s="2297"/>
      <c r="E20" s="2297"/>
      <c r="F20" s="2297"/>
      <c r="G20" s="2297"/>
      <c r="H20" s="2297"/>
      <c r="I20" s="2298"/>
      <c r="J20" s="2299">
        <f t="shared" si="0"/>
        <v>5</v>
      </c>
      <c r="K20" s="2300"/>
      <c r="L20" s="2300"/>
      <c r="M20" s="2300"/>
      <c r="N20" s="2300"/>
      <c r="O20" s="2301"/>
      <c r="P20" s="2299" cm="1">
        <f t="array" ref="P20">SUMPRODUCT((Application!$B$718:$B$752 = 'CalHFA Addendum'!P$18)*(Application!$AC$718:$AC$752 = 'CalHFA Addendum'!$B20),Application!$G$718:$G$752)</f>
        <v>0</v>
      </c>
      <c r="Q20" s="2300"/>
      <c r="R20" s="2300"/>
      <c r="S20" s="2300"/>
      <c r="T20" s="2300"/>
      <c r="U20" s="2301"/>
      <c r="V20" s="2299" cm="1">
        <f t="array" ref="V20">SUMPRODUCT((Application!$B$714:$B$738 = 'CalHFA Addendum'!V$18)*(Application!$AC$714:$AC$738 = 'CalHFA Addendum'!$B20),Application!$G$714:$G$738)</f>
        <v>1</v>
      </c>
      <c r="W20" s="2300"/>
      <c r="X20" s="2300"/>
      <c r="Y20" s="2300"/>
      <c r="Z20" s="2300"/>
      <c r="AA20" s="2301"/>
      <c r="AB20" s="2299" cm="1">
        <f t="array" ref="AB20">SUMPRODUCT((Application!$B$714:$B$738 = 'CalHFA Addendum'!AB$18)*(Application!$AC$714:$AC$738 = 'CalHFA Addendum'!$B20),Application!$G$714:$G$738)</f>
        <v>2</v>
      </c>
      <c r="AC20" s="2300"/>
      <c r="AD20" s="2300"/>
      <c r="AE20" s="2300"/>
      <c r="AF20" s="2300"/>
      <c r="AG20" s="2301"/>
      <c r="AH20" s="2299" cm="1">
        <f t="array" ref="AH20">SUMPRODUCT((Application!$B$714:$B$738 = 'CalHFA Addendum'!AH$18)*(Application!$AC$714:$AC$738 = 'CalHFA Addendum'!$B20),Application!$G$714:$G$738)</f>
        <v>2</v>
      </c>
      <c r="AI20" s="2300"/>
      <c r="AJ20" s="2300"/>
      <c r="AK20" s="2300"/>
      <c r="AL20" s="2300"/>
      <c r="AM20" s="2301"/>
      <c r="AN20" s="2299" cm="1">
        <f t="array" ref="AN20">SUMPRODUCT((Application!$B$714:$B$738 = 'CalHFA Addendum'!AN$18)*(Application!$AC$714:$AC$738 = 'CalHFA Addendum'!$B20),Application!$G$714:$G$738)</f>
        <v>0</v>
      </c>
      <c r="AO20" s="2300"/>
      <c r="AP20" s="2300"/>
      <c r="AQ20" s="2300"/>
      <c r="AR20" s="2300"/>
      <c r="AS20" s="2301"/>
      <c r="AT20" s="2284">
        <f t="shared" si="1"/>
        <v>0.1111111111111111</v>
      </c>
      <c r="AU20" s="2285"/>
      <c r="AV20" s="2285"/>
      <c r="AW20" s="2285"/>
      <c r="AX20" s="2285"/>
      <c r="AY20" s="2286"/>
      <c r="AZ20" s="1190"/>
      <c r="BA20" s="1190"/>
      <c r="BB20" s="1190"/>
      <c r="BC20" s="1190"/>
      <c r="BD20" s="1190"/>
      <c r="BE20" s="1194"/>
    </row>
    <row r="21" spans="1:58" ht="14.5">
      <c r="A21" s="1190"/>
      <c r="B21" s="2296">
        <v>0.5</v>
      </c>
      <c r="C21" s="2297"/>
      <c r="D21" s="2297"/>
      <c r="E21" s="2297"/>
      <c r="F21" s="2297"/>
      <c r="G21" s="2297"/>
      <c r="H21" s="2297"/>
      <c r="I21" s="2298"/>
      <c r="J21" s="2299">
        <f t="shared" si="0"/>
        <v>18</v>
      </c>
      <c r="K21" s="2300"/>
      <c r="L21" s="2300"/>
      <c r="M21" s="2300"/>
      <c r="N21" s="2300"/>
      <c r="O21" s="2301"/>
      <c r="P21" s="2299" cm="1">
        <f t="array" ref="P21">SUMPRODUCT((Application!$B$714:$B$738 = 'CalHFA Addendum'!P$18)*(Application!$AC$714:$AC$738 = 'CalHFA Addendum'!$B21),Application!$G$714:$G$738)</f>
        <v>0</v>
      </c>
      <c r="Q21" s="2300"/>
      <c r="R21" s="2300"/>
      <c r="S21" s="2300"/>
      <c r="T21" s="2300"/>
      <c r="U21" s="2301"/>
      <c r="V21" s="2299" cm="1">
        <f t="array" ref="V21">SUMPRODUCT((Application!$B$714:$B$738 = 'CalHFA Addendum'!V$18)*(Application!$AC$714:$AC$738 = 'CalHFA Addendum'!$B21),Application!$G$714:$G$738)</f>
        <v>5</v>
      </c>
      <c r="W21" s="2300"/>
      <c r="X21" s="2300"/>
      <c r="Y21" s="2300"/>
      <c r="Z21" s="2300"/>
      <c r="AA21" s="2301"/>
      <c r="AB21" s="2299" cm="1">
        <f t="array" ref="AB21">SUMPRODUCT((Application!$B$714:$B$738 = 'CalHFA Addendum'!AB$18)*(Application!$AC$714:$AC$738 = 'CalHFA Addendum'!$B21),Application!$G$714:$G$738)</f>
        <v>5</v>
      </c>
      <c r="AC21" s="2300"/>
      <c r="AD21" s="2300"/>
      <c r="AE21" s="2300"/>
      <c r="AF21" s="2300"/>
      <c r="AG21" s="2301"/>
      <c r="AH21" s="2299" cm="1">
        <f t="array" ref="AH21">SUMPRODUCT((Application!$B$714:$B$738 = 'CalHFA Addendum'!AH$18)*(Application!$AC$714:$AC$738 = 'CalHFA Addendum'!$B21),Application!$G$714:$G$738)</f>
        <v>8</v>
      </c>
      <c r="AI21" s="2300"/>
      <c r="AJ21" s="2300"/>
      <c r="AK21" s="2300"/>
      <c r="AL21" s="2300"/>
      <c r="AM21" s="2301"/>
      <c r="AN21" s="2299" cm="1">
        <f t="array" ref="AN21">SUMPRODUCT((Application!$B$714:$B$738 = 'CalHFA Addendum'!AN$18)*(Application!$AC$714:$AC$738 = 'CalHFA Addendum'!$B21),Application!$G$714:$G$738)</f>
        <v>0</v>
      </c>
      <c r="AO21" s="2300"/>
      <c r="AP21" s="2300"/>
      <c r="AQ21" s="2300"/>
      <c r="AR21" s="2300"/>
      <c r="AS21" s="2301"/>
      <c r="AT21" s="2284">
        <f t="shared" si="1"/>
        <v>0.4</v>
      </c>
      <c r="AU21" s="2285"/>
      <c r="AV21" s="2285"/>
      <c r="AW21" s="2285"/>
      <c r="AX21" s="2285"/>
      <c r="AY21" s="2286"/>
      <c r="AZ21" s="1190"/>
      <c r="BA21" s="1190"/>
      <c r="BB21" s="1190"/>
      <c r="BC21" s="1190"/>
      <c r="BD21" s="1190"/>
      <c r="BE21" s="1194"/>
    </row>
    <row r="22" spans="1:58" ht="14.5">
      <c r="A22" s="1190"/>
      <c r="B22" s="2296">
        <v>0.6</v>
      </c>
      <c r="C22" s="2297"/>
      <c r="D22" s="2297"/>
      <c r="E22" s="2297"/>
      <c r="F22" s="2297"/>
      <c r="G22" s="2297"/>
      <c r="H22" s="2297"/>
      <c r="I22" s="2298"/>
      <c r="J22" s="2299">
        <f t="shared" si="0"/>
        <v>12</v>
      </c>
      <c r="K22" s="2300"/>
      <c r="L22" s="2300"/>
      <c r="M22" s="2300"/>
      <c r="N22" s="2300"/>
      <c r="O22" s="2301"/>
      <c r="P22" s="2299" cm="1">
        <f t="array" ref="P22">SUMPRODUCT((Application!$B$714:$B$738 = 'CalHFA Addendum'!P$18)*(Application!$AC$714:$AC$738 = 'CalHFA Addendum'!$B22),Application!$G$714:$G$738)</f>
        <v>0</v>
      </c>
      <c r="Q22" s="2300"/>
      <c r="R22" s="2300"/>
      <c r="S22" s="2300"/>
      <c r="T22" s="2300"/>
      <c r="U22" s="2301"/>
      <c r="V22" s="2299" cm="1">
        <f t="array" ref="V22">SUMPRODUCT((Application!$B$714:$B$738 = 'CalHFA Addendum'!V$18)*(Application!$AC$714:$AC$738 = 'CalHFA Addendum'!$B22),Application!$G$714:$G$738)</f>
        <v>6</v>
      </c>
      <c r="W22" s="2300"/>
      <c r="X22" s="2300"/>
      <c r="Y22" s="2300"/>
      <c r="Z22" s="2300"/>
      <c r="AA22" s="2301"/>
      <c r="AB22" s="2299" cm="1">
        <f t="array" ref="AB22">SUMPRODUCT((Application!$B$714:$B$738 = 'CalHFA Addendum'!AB$18)*(Application!$AC$714:$AC$738 = 'CalHFA Addendum'!$B22),Application!$G$714:$G$738)</f>
        <v>2</v>
      </c>
      <c r="AC22" s="2300"/>
      <c r="AD22" s="2300"/>
      <c r="AE22" s="2300"/>
      <c r="AF22" s="2300"/>
      <c r="AG22" s="2301"/>
      <c r="AH22" s="2299" cm="1">
        <f t="array" ref="AH22">SUMPRODUCT((Application!$B$714:$B$738 = 'CalHFA Addendum'!AH$18)*(Application!$AC$714:$AC$738 = 'CalHFA Addendum'!$B22),Application!$G$714:$G$738)</f>
        <v>4</v>
      </c>
      <c r="AI22" s="2300"/>
      <c r="AJ22" s="2300"/>
      <c r="AK22" s="2300"/>
      <c r="AL22" s="2300"/>
      <c r="AM22" s="2301"/>
      <c r="AN22" s="2299" cm="1">
        <f t="array" ref="AN22">SUMPRODUCT((Application!$B$714:$B$738 = 'CalHFA Addendum'!AN$18)*(Application!$AC$714:$AC$738 = 'CalHFA Addendum'!$B22),Application!$G$714:$G$738)</f>
        <v>0</v>
      </c>
      <c r="AO22" s="2300"/>
      <c r="AP22" s="2300"/>
      <c r="AQ22" s="2300"/>
      <c r="AR22" s="2300"/>
      <c r="AS22" s="2301"/>
      <c r="AT22" s="2284">
        <f t="shared" si="1"/>
        <v>0.26666666666666666</v>
      </c>
      <c r="AU22" s="2285"/>
      <c r="AV22" s="2285"/>
      <c r="AW22" s="2285"/>
      <c r="AX22" s="2285"/>
      <c r="AY22" s="2286"/>
      <c r="AZ22" s="1190"/>
      <c r="BA22" s="1190"/>
      <c r="BB22" s="1190"/>
      <c r="BC22" s="1190"/>
      <c r="BD22" s="1190"/>
      <c r="BE22" s="1194"/>
    </row>
    <row r="23" spans="1:58" ht="14.5">
      <c r="A23" s="1190"/>
      <c r="B23" s="2296">
        <v>0.7</v>
      </c>
      <c r="C23" s="2297"/>
      <c r="D23" s="2297"/>
      <c r="E23" s="2297"/>
      <c r="F23" s="2297"/>
      <c r="G23" s="2297"/>
      <c r="H23" s="2297"/>
      <c r="I23" s="2298"/>
      <c r="J23" s="2299">
        <f t="shared" si="0"/>
        <v>0</v>
      </c>
      <c r="K23" s="2300"/>
      <c r="L23" s="2300"/>
      <c r="M23" s="2300"/>
      <c r="N23" s="2300"/>
      <c r="O23" s="2301"/>
      <c r="P23" s="2299" cm="1">
        <f t="array" ref="P23">SUMPRODUCT((Application!$B$714:$B$738 = 'CalHFA Addendum'!P$18)*(Application!$AC$714:$AC$738 = 'CalHFA Addendum'!$B23),Application!$G$714:$G$738)</f>
        <v>0</v>
      </c>
      <c r="Q23" s="2300"/>
      <c r="R23" s="2300"/>
      <c r="S23" s="2300"/>
      <c r="T23" s="2300"/>
      <c r="U23" s="2301"/>
      <c r="V23" s="2299" cm="1">
        <f t="array" ref="V23">SUMPRODUCT((Application!$B$714:$B$738 = 'CalHFA Addendum'!V$18)*(Application!$AC$714:$AC$738 = 'CalHFA Addendum'!$B23),Application!$G$714:$G$738)</f>
        <v>0</v>
      </c>
      <c r="W23" s="2300"/>
      <c r="X23" s="2300"/>
      <c r="Y23" s="2300"/>
      <c r="Z23" s="2300"/>
      <c r="AA23" s="2301"/>
      <c r="AB23" s="2299" cm="1">
        <f t="array" ref="AB23">SUMPRODUCT((Application!$B$714:$B$738 = 'CalHFA Addendum'!AB$18)*(Application!$AC$714:$AC$738 = 'CalHFA Addendum'!$B23),Application!$G$714:$G$738)</f>
        <v>0</v>
      </c>
      <c r="AC23" s="2300"/>
      <c r="AD23" s="2300"/>
      <c r="AE23" s="2300"/>
      <c r="AF23" s="2300"/>
      <c r="AG23" s="2301"/>
      <c r="AH23" s="2299" cm="1">
        <f t="array" ref="AH23">SUMPRODUCT((Application!$B$714:$B$738 = 'CalHFA Addendum'!AH$18)*(Application!$AC$714:$AC$738 = 'CalHFA Addendum'!$B23),Application!$G$714:$G$738)</f>
        <v>0</v>
      </c>
      <c r="AI23" s="2300"/>
      <c r="AJ23" s="2300"/>
      <c r="AK23" s="2300"/>
      <c r="AL23" s="2300"/>
      <c r="AM23" s="2301"/>
      <c r="AN23" s="2299" cm="1">
        <f t="array" ref="AN23">SUMPRODUCT((Application!$B$714:$B$738 = 'CalHFA Addendum'!AN$18)*(Application!$AC$714:$AC$738 = 'CalHFA Addendum'!$B23),Application!$G$714:$G$738)</f>
        <v>0</v>
      </c>
      <c r="AO23" s="2300"/>
      <c r="AP23" s="2300"/>
      <c r="AQ23" s="2300"/>
      <c r="AR23" s="2300"/>
      <c r="AS23" s="2301"/>
      <c r="AT23" s="2284">
        <f t="shared" si="1"/>
        <v>0</v>
      </c>
      <c r="AU23" s="2285"/>
      <c r="AV23" s="2285"/>
      <c r="AW23" s="2285"/>
      <c r="AX23" s="2285"/>
      <c r="AY23" s="2286"/>
      <c r="AZ23" s="1190"/>
      <c r="BA23" s="1190"/>
      <c r="BB23" s="1190"/>
      <c r="BC23" s="1190"/>
      <c r="BD23" s="1190"/>
      <c r="BE23" s="1194"/>
    </row>
    <row r="24" spans="1:58" ht="14.5">
      <c r="A24" s="1190"/>
      <c r="B24" s="2296">
        <v>0.8</v>
      </c>
      <c r="C24" s="2297"/>
      <c r="D24" s="2297"/>
      <c r="E24" s="2297"/>
      <c r="F24" s="2297"/>
      <c r="G24" s="2297"/>
      <c r="H24" s="2297"/>
      <c r="I24" s="2298"/>
      <c r="J24" s="2299">
        <f t="shared" si="0"/>
        <v>0</v>
      </c>
      <c r="K24" s="2300"/>
      <c r="L24" s="2300"/>
      <c r="M24" s="2300"/>
      <c r="N24" s="2300"/>
      <c r="O24" s="2301"/>
      <c r="P24" s="2299" cm="1">
        <f t="array" ref="P24">SUMPRODUCT((Application!$B$714:$B$738 = 'CalHFA Addendum'!P$18)*(Application!$AC$714:$AC$738 = 'CalHFA Addendum'!$B24),Application!$G$714:$G$738)</f>
        <v>0</v>
      </c>
      <c r="Q24" s="2300"/>
      <c r="R24" s="2300"/>
      <c r="S24" s="2300"/>
      <c r="T24" s="2300"/>
      <c r="U24" s="2301"/>
      <c r="V24" s="2299" cm="1">
        <f t="array" ref="V24">SUMPRODUCT((Application!$B$714:$B$738 = 'CalHFA Addendum'!V$18)*(Application!$AC$714:$AC$738 = 'CalHFA Addendum'!$B24),Application!$G$714:$G$738)</f>
        <v>0</v>
      </c>
      <c r="W24" s="2300"/>
      <c r="X24" s="2300"/>
      <c r="Y24" s="2300"/>
      <c r="Z24" s="2300"/>
      <c r="AA24" s="2301"/>
      <c r="AB24" s="2299" cm="1">
        <f t="array" ref="AB24">SUMPRODUCT((Application!$B$714:$B$738 = 'CalHFA Addendum'!AB$18)*(Application!$AC$714:$AC$738 = 'CalHFA Addendum'!$B24),Application!$G$714:$G$738)</f>
        <v>0</v>
      </c>
      <c r="AC24" s="2300"/>
      <c r="AD24" s="2300"/>
      <c r="AE24" s="2300"/>
      <c r="AF24" s="2300"/>
      <c r="AG24" s="2301"/>
      <c r="AH24" s="2299" cm="1">
        <f t="array" ref="AH24">SUMPRODUCT((Application!$B$714:$B$738 = 'CalHFA Addendum'!AH$18)*(Application!$AC$714:$AC$738 = 'CalHFA Addendum'!$B24),Application!$G$714:$G$738)</f>
        <v>0</v>
      </c>
      <c r="AI24" s="2300"/>
      <c r="AJ24" s="2300"/>
      <c r="AK24" s="2300"/>
      <c r="AL24" s="2300"/>
      <c r="AM24" s="2301"/>
      <c r="AN24" s="2299" cm="1">
        <f t="array" ref="AN24">SUMPRODUCT((Application!$B$714:$B$738 = 'CalHFA Addendum'!AN$18)*(Application!$AC$714:$AC$738 = 'CalHFA Addendum'!$B24),Application!$G$714:$G$738)</f>
        <v>0</v>
      </c>
      <c r="AO24" s="2300"/>
      <c r="AP24" s="2300"/>
      <c r="AQ24" s="2300"/>
      <c r="AR24" s="2300"/>
      <c r="AS24" s="2301"/>
      <c r="AT24" s="2284">
        <f t="shared" si="1"/>
        <v>0</v>
      </c>
      <c r="AU24" s="2285"/>
      <c r="AV24" s="2285"/>
      <c r="AW24" s="2285"/>
      <c r="AX24" s="2285"/>
      <c r="AY24" s="2286"/>
      <c r="AZ24" s="1190"/>
      <c r="BA24" s="1190"/>
      <c r="BB24" s="1190"/>
      <c r="BC24" s="1190"/>
      <c r="BD24" s="1190"/>
      <c r="BE24" s="1194"/>
    </row>
    <row r="25" spans="1:58" ht="14.5">
      <c r="A25" s="1190"/>
      <c r="B25" s="2296">
        <v>0.9</v>
      </c>
      <c r="C25" s="2297"/>
      <c r="D25" s="2297"/>
      <c r="E25" s="2297"/>
      <c r="F25" s="2297"/>
      <c r="G25" s="2297"/>
      <c r="H25" s="2297"/>
      <c r="I25" s="2298"/>
      <c r="J25" s="2281"/>
      <c r="K25" s="2282"/>
      <c r="L25" s="2282"/>
      <c r="M25" s="2282"/>
      <c r="N25" s="2282"/>
      <c r="O25" s="2283"/>
      <c r="P25" s="2281"/>
      <c r="Q25" s="2282"/>
      <c r="R25" s="2282"/>
      <c r="S25" s="2282"/>
      <c r="T25" s="2282"/>
      <c r="U25" s="2283"/>
      <c r="V25" s="2281"/>
      <c r="W25" s="2282"/>
      <c r="X25" s="2282"/>
      <c r="Y25" s="2282"/>
      <c r="Z25" s="2282"/>
      <c r="AA25" s="2283"/>
      <c r="AB25" s="2281"/>
      <c r="AC25" s="2282"/>
      <c r="AD25" s="2282"/>
      <c r="AE25" s="2282"/>
      <c r="AF25" s="2282"/>
      <c r="AG25" s="2283"/>
      <c r="AH25" s="2281"/>
      <c r="AI25" s="2282"/>
      <c r="AJ25" s="2282"/>
      <c r="AK25" s="2282"/>
      <c r="AL25" s="2282"/>
      <c r="AM25" s="2283"/>
      <c r="AN25" s="2281"/>
      <c r="AO25" s="2282"/>
      <c r="AP25" s="2282"/>
      <c r="AQ25" s="2282"/>
      <c r="AR25" s="2282"/>
      <c r="AS25" s="2283"/>
      <c r="AT25" s="2284">
        <f t="shared" si="1"/>
        <v>0</v>
      </c>
      <c r="AU25" s="2285"/>
      <c r="AV25" s="2285"/>
      <c r="AW25" s="2285"/>
      <c r="AX25" s="2285"/>
      <c r="AY25" s="2286"/>
      <c r="AZ25" s="1190"/>
      <c r="BA25" s="1190"/>
      <c r="BB25" s="1190"/>
      <c r="BC25" s="1190"/>
      <c r="BD25" s="1190"/>
      <c r="BE25" s="1194"/>
    </row>
    <row r="26" spans="1:58" ht="14.5">
      <c r="A26" s="1190"/>
      <c r="B26" s="2296">
        <v>1</v>
      </c>
      <c r="C26" s="2297"/>
      <c r="D26" s="2297"/>
      <c r="E26" s="2297"/>
      <c r="F26" s="2297"/>
      <c r="G26" s="2297"/>
      <c r="H26" s="2297"/>
      <c r="I26" s="2298"/>
      <c r="J26" s="2281"/>
      <c r="K26" s="2282"/>
      <c r="L26" s="2282"/>
      <c r="M26" s="2282"/>
      <c r="N26" s="2282"/>
      <c r="O26" s="2283"/>
      <c r="P26" s="2281"/>
      <c r="Q26" s="2282"/>
      <c r="R26" s="2282"/>
      <c r="S26" s="2282"/>
      <c r="T26" s="2282"/>
      <c r="U26" s="2283"/>
      <c r="V26" s="2281"/>
      <c r="W26" s="2282"/>
      <c r="X26" s="2282"/>
      <c r="Y26" s="2282"/>
      <c r="Z26" s="2282"/>
      <c r="AA26" s="2283"/>
      <c r="AB26" s="2281"/>
      <c r="AC26" s="2282"/>
      <c r="AD26" s="2282"/>
      <c r="AE26" s="2282"/>
      <c r="AF26" s="2282"/>
      <c r="AG26" s="2283"/>
      <c r="AH26" s="2281"/>
      <c r="AI26" s="2282"/>
      <c r="AJ26" s="2282"/>
      <c r="AK26" s="2282"/>
      <c r="AL26" s="2282"/>
      <c r="AM26" s="2283"/>
      <c r="AN26" s="2281"/>
      <c r="AO26" s="2282"/>
      <c r="AP26" s="2282"/>
      <c r="AQ26" s="2282"/>
      <c r="AR26" s="2282"/>
      <c r="AS26" s="2283"/>
      <c r="AT26" s="2284">
        <f t="shared" si="1"/>
        <v>0</v>
      </c>
      <c r="AU26" s="2285"/>
      <c r="AV26" s="2285"/>
      <c r="AW26" s="2285"/>
      <c r="AX26" s="2285"/>
      <c r="AY26" s="2286"/>
      <c r="AZ26" s="1190"/>
      <c r="BA26" s="1190"/>
      <c r="BB26" s="1190"/>
      <c r="BC26" s="1190"/>
      <c r="BD26" s="1190"/>
      <c r="BE26" s="1194"/>
    </row>
    <row r="27" spans="1:58" ht="14.5">
      <c r="A27" s="1190"/>
      <c r="B27" s="2296">
        <v>1.2</v>
      </c>
      <c r="C27" s="2297"/>
      <c r="D27" s="2297"/>
      <c r="E27" s="2297"/>
      <c r="F27" s="2297"/>
      <c r="G27" s="2297"/>
      <c r="H27" s="2297"/>
      <c r="I27" s="2298"/>
      <c r="J27" s="2281"/>
      <c r="K27" s="2282"/>
      <c r="L27" s="2282"/>
      <c r="M27" s="2282"/>
      <c r="N27" s="2282"/>
      <c r="O27" s="2283"/>
      <c r="P27" s="2281"/>
      <c r="Q27" s="2282"/>
      <c r="R27" s="2282"/>
      <c r="S27" s="2282"/>
      <c r="T27" s="2282"/>
      <c r="U27" s="2283"/>
      <c r="V27" s="2281"/>
      <c r="W27" s="2282"/>
      <c r="X27" s="2282"/>
      <c r="Y27" s="2282"/>
      <c r="Z27" s="2282"/>
      <c r="AA27" s="2283"/>
      <c r="AB27" s="2281"/>
      <c r="AC27" s="2282"/>
      <c r="AD27" s="2282"/>
      <c r="AE27" s="2282"/>
      <c r="AF27" s="2282"/>
      <c r="AG27" s="2283"/>
      <c r="AH27" s="2281"/>
      <c r="AI27" s="2282"/>
      <c r="AJ27" s="2282"/>
      <c r="AK27" s="2282"/>
      <c r="AL27" s="2282"/>
      <c r="AM27" s="2283"/>
      <c r="AN27" s="2281"/>
      <c r="AO27" s="2282"/>
      <c r="AP27" s="2282"/>
      <c r="AQ27" s="2282"/>
      <c r="AR27" s="2282"/>
      <c r="AS27" s="2283"/>
      <c r="AT27" s="2284">
        <f t="shared" si="1"/>
        <v>0</v>
      </c>
      <c r="AU27" s="2285"/>
      <c r="AV27" s="2285"/>
      <c r="AW27" s="2285"/>
      <c r="AX27" s="2285"/>
      <c r="AY27" s="2286"/>
      <c r="AZ27" s="1190"/>
      <c r="BA27" s="1190"/>
      <c r="BB27" s="1190"/>
      <c r="BC27" s="1190"/>
      <c r="BD27" s="1190"/>
      <c r="BE27" s="1194"/>
    </row>
    <row r="28" spans="1:58" ht="15" thickBot="1">
      <c r="A28" s="1190"/>
      <c r="B28" s="2287" t="s">
        <v>2430</v>
      </c>
      <c r="C28" s="2288"/>
      <c r="D28" s="2288"/>
      <c r="E28" s="2288"/>
      <c r="F28" s="2288"/>
      <c r="G28" s="2288"/>
      <c r="H28" s="2288"/>
      <c r="I28" s="2289"/>
      <c r="J28" s="2290">
        <f>SUM(P28:AS28)</f>
        <v>1</v>
      </c>
      <c r="K28" s="2291"/>
      <c r="L28" s="2291"/>
      <c r="M28" s="2291"/>
      <c r="N28" s="2291"/>
      <c r="O28" s="2292"/>
      <c r="P28" s="2290">
        <f>_xlfn.IFNA(VLOOKUP(P$18,Application!$J$773:$S$776,6,FALSE), 0)</f>
        <v>0</v>
      </c>
      <c r="Q28" s="2291"/>
      <c r="R28" s="2291"/>
      <c r="S28" s="2291"/>
      <c r="T28" s="2291"/>
      <c r="U28" s="2292"/>
      <c r="V28" s="2290">
        <f>_xlfn.IFNA(VLOOKUP(V$18,Application!$J$773:$S$776,6,FALSE), 0)</f>
        <v>0</v>
      </c>
      <c r="W28" s="2291"/>
      <c r="X28" s="2291"/>
      <c r="Y28" s="2291"/>
      <c r="Z28" s="2291"/>
      <c r="AA28" s="2292"/>
      <c r="AB28" s="2290">
        <f>_xlfn.IFNA(VLOOKUP(AB$18,Application!$J$773:$S$776,6,FALSE), 0)</f>
        <v>0</v>
      </c>
      <c r="AC28" s="2291"/>
      <c r="AD28" s="2291"/>
      <c r="AE28" s="2291"/>
      <c r="AF28" s="2291"/>
      <c r="AG28" s="2292"/>
      <c r="AH28" s="2290">
        <f>_xlfn.IFNA(VLOOKUP(AH$18,Application!$J$773:$S$776,6,FALSE), 0)</f>
        <v>1</v>
      </c>
      <c r="AI28" s="2291"/>
      <c r="AJ28" s="2291"/>
      <c r="AK28" s="2291"/>
      <c r="AL28" s="2291"/>
      <c r="AM28" s="2292"/>
      <c r="AN28" s="2290">
        <f>_xlfn.IFNA(VLOOKUP(AN$18,Application!$J$773:$S$776,6,FALSE), 0)</f>
        <v>0</v>
      </c>
      <c r="AO28" s="2291"/>
      <c r="AP28" s="2291"/>
      <c r="AQ28" s="2291"/>
      <c r="AR28" s="2291"/>
      <c r="AS28" s="2292"/>
      <c r="AT28" s="2293">
        <f t="shared" si="1"/>
        <v>2.2222222222222223E-2</v>
      </c>
      <c r="AU28" s="2294"/>
      <c r="AV28" s="2294"/>
      <c r="AW28" s="2294"/>
      <c r="AX28" s="2294"/>
      <c r="AY28" s="2295"/>
      <c r="AZ28" s="1190"/>
      <c r="BA28" s="1190"/>
      <c r="BB28" s="1190"/>
      <c r="BC28" s="1190"/>
      <c r="BD28" s="1190"/>
      <c r="BE28" s="1194"/>
    </row>
    <row r="29" spans="1:58" ht="15" thickBot="1">
      <c r="A29" s="1190"/>
      <c r="B29" s="2270" t="s">
        <v>1586</v>
      </c>
      <c r="C29" s="2243"/>
      <c r="D29" s="2243"/>
      <c r="E29" s="2243"/>
      <c r="F29" s="2243"/>
      <c r="G29" s="2243"/>
      <c r="H29" s="2243"/>
      <c r="I29" s="2244"/>
      <c r="J29" s="2242">
        <f>SUM(J19:O28)</f>
        <v>45</v>
      </c>
      <c r="K29" s="2243"/>
      <c r="L29" s="2243"/>
      <c r="M29" s="2243"/>
      <c r="N29" s="2243"/>
      <c r="O29" s="2244"/>
      <c r="P29" s="2242">
        <f>SUM(P19:U28)</f>
        <v>0</v>
      </c>
      <c r="Q29" s="2243"/>
      <c r="R29" s="2243"/>
      <c r="S29" s="2243"/>
      <c r="T29" s="2243"/>
      <c r="U29" s="2244"/>
      <c r="V29" s="2242">
        <f>SUM(V19:AA28)</f>
        <v>15</v>
      </c>
      <c r="W29" s="2243"/>
      <c r="X29" s="2243"/>
      <c r="Y29" s="2243"/>
      <c r="Z29" s="2243"/>
      <c r="AA29" s="2244"/>
      <c r="AB29" s="2242">
        <f>SUM(AB19:AG28)</f>
        <v>12</v>
      </c>
      <c r="AC29" s="2243"/>
      <c r="AD29" s="2243"/>
      <c r="AE29" s="2243"/>
      <c r="AF29" s="2243"/>
      <c r="AG29" s="2244"/>
      <c r="AH29" s="2242">
        <f>SUM(AH19:AM28)</f>
        <v>18</v>
      </c>
      <c r="AI29" s="2243"/>
      <c r="AJ29" s="2243"/>
      <c r="AK29" s="2243"/>
      <c r="AL29" s="2243"/>
      <c r="AM29" s="2244"/>
      <c r="AN29" s="2242">
        <f>SUM(AN19:AS28)</f>
        <v>0</v>
      </c>
      <c r="AO29" s="2243"/>
      <c r="AP29" s="2243"/>
      <c r="AQ29" s="2243"/>
      <c r="AR29" s="2243"/>
      <c r="AS29" s="2244"/>
      <c r="AT29" s="2245">
        <f t="shared" si="1"/>
        <v>1</v>
      </c>
      <c r="AU29" s="2246"/>
      <c r="AV29" s="2246"/>
      <c r="AW29" s="2246"/>
      <c r="AX29" s="2246"/>
      <c r="AY29" s="2247"/>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48" t="s">
        <v>2429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1194"/>
    </row>
    <row r="32" spans="1:58" ht="15" thickBot="1">
      <c r="A32" s="1190"/>
      <c r="B32" s="2251" t="s">
        <v>2428</v>
      </c>
      <c r="C32" s="2252"/>
      <c r="D32" s="2252"/>
      <c r="E32" s="2252"/>
      <c r="F32" s="2252"/>
      <c r="G32" s="2252"/>
      <c r="H32" s="2252"/>
      <c r="I32" s="2252"/>
      <c r="J32" s="2255" t="s">
        <v>2427</v>
      </c>
      <c r="K32" s="2256"/>
      <c r="L32" s="2256"/>
      <c r="M32" s="2256"/>
      <c r="N32" s="2255" t="s">
        <v>2426</v>
      </c>
      <c r="O32" s="2256"/>
      <c r="P32" s="2256"/>
      <c r="Q32" s="2258"/>
      <c r="R32" s="2260" t="s">
        <v>2425</v>
      </c>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2"/>
      <c r="BE32" s="1194"/>
    </row>
    <row r="33" spans="1:58" ht="15" customHeight="1">
      <c r="A33" s="1190"/>
      <c r="B33" s="2253"/>
      <c r="C33" s="2254"/>
      <c r="D33" s="2254"/>
      <c r="E33" s="2254"/>
      <c r="F33" s="2254"/>
      <c r="G33" s="2254"/>
      <c r="H33" s="2254"/>
      <c r="I33" s="2254"/>
      <c r="J33" s="2257"/>
      <c r="K33" s="2257"/>
      <c r="L33" s="2257"/>
      <c r="M33" s="2257"/>
      <c r="N33" s="2257"/>
      <c r="O33" s="2257"/>
      <c r="P33" s="2257"/>
      <c r="Q33" s="2259"/>
      <c r="R33" s="2263" t="s">
        <v>2424</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1194"/>
    </row>
    <row r="34" spans="1:58" ht="15.75" customHeight="1" thickBot="1">
      <c r="A34" s="1190"/>
      <c r="B34" s="2253"/>
      <c r="C34" s="2254"/>
      <c r="D34" s="2254"/>
      <c r="E34" s="2254"/>
      <c r="F34" s="2254"/>
      <c r="G34" s="2254"/>
      <c r="H34" s="2254"/>
      <c r="I34" s="2254"/>
      <c r="J34" s="2257"/>
      <c r="K34" s="2257"/>
      <c r="L34" s="2257"/>
      <c r="M34" s="2257"/>
      <c r="N34" s="2257"/>
      <c r="O34" s="2257"/>
      <c r="P34" s="2257"/>
      <c r="Q34" s="2259"/>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1194"/>
    </row>
    <row r="35" spans="1:58" ht="15.75" customHeight="1">
      <c r="A35" s="1190"/>
      <c r="B35" s="2253"/>
      <c r="C35" s="2254"/>
      <c r="D35" s="2254"/>
      <c r="E35" s="2254"/>
      <c r="F35" s="2254"/>
      <c r="G35" s="2254"/>
      <c r="H35" s="2254"/>
      <c r="I35" s="2254"/>
      <c r="J35" s="2257"/>
      <c r="K35" s="2257"/>
      <c r="L35" s="2257"/>
      <c r="M35" s="2257"/>
      <c r="N35" s="2257"/>
      <c r="O35" s="2257"/>
      <c r="P35" s="2257"/>
      <c r="Q35" s="2257"/>
      <c r="R35" s="2269">
        <v>0.3</v>
      </c>
      <c r="S35" s="2269"/>
      <c r="T35" s="2269"/>
      <c r="U35" s="2269"/>
      <c r="V35" s="2269">
        <v>0.4</v>
      </c>
      <c r="W35" s="2269"/>
      <c r="X35" s="2269"/>
      <c r="Y35" s="2269"/>
      <c r="Z35" s="2269">
        <v>0.5</v>
      </c>
      <c r="AA35" s="2269"/>
      <c r="AB35" s="2269"/>
      <c r="AC35" s="2269"/>
      <c r="AD35" s="2269">
        <v>0.6</v>
      </c>
      <c r="AE35" s="2269"/>
      <c r="AF35" s="2269"/>
      <c r="AG35" s="2269"/>
      <c r="AH35" s="2269">
        <v>0.7</v>
      </c>
      <c r="AI35" s="2269"/>
      <c r="AJ35" s="2269"/>
      <c r="AK35" s="2269"/>
      <c r="AL35" s="2274">
        <v>0.8</v>
      </c>
      <c r="AM35" s="2275"/>
      <c r="AN35" s="2275"/>
      <c r="AO35" s="2276"/>
      <c r="AP35" s="2277">
        <v>1.2</v>
      </c>
      <c r="AQ35" s="2278"/>
      <c r="AR35" s="2279"/>
      <c r="AS35" s="2271" t="s">
        <v>2423</v>
      </c>
      <c r="AT35" s="2272"/>
      <c r="AU35" s="2272"/>
      <c r="AV35" s="2272"/>
      <c r="AW35" s="2272"/>
      <c r="AX35" s="2280"/>
      <c r="AY35" s="2271" t="s">
        <v>2422</v>
      </c>
      <c r="AZ35" s="2272"/>
      <c r="BA35" s="2272"/>
      <c r="BB35" s="2272"/>
      <c r="BC35" s="2272"/>
      <c r="BD35" s="2273"/>
      <c r="BE35" s="1194"/>
    </row>
    <row r="36" spans="1:58" ht="15.75" customHeight="1">
      <c r="A36" s="1190"/>
      <c r="B36" s="2175" t="s">
        <v>2421</v>
      </c>
      <c r="C36" s="2176"/>
      <c r="D36" s="2176"/>
      <c r="E36" s="2176"/>
      <c r="F36" s="2176"/>
      <c r="G36" s="2176"/>
      <c r="H36" s="2176"/>
      <c r="I36" s="2176"/>
      <c r="J36" s="2240" t="s">
        <v>2420</v>
      </c>
      <c r="K36" s="2240"/>
      <c r="L36" s="2240"/>
      <c r="M36" s="2240"/>
      <c r="N36" s="2240">
        <v>55</v>
      </c>
      <c r="O36" s="2240"/>
      <c r="P36" s="2240"/>
      <c r="Q36" s="2240"/>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25"/>
      <c r="AM36" s="2226"/>
      <c r="AN36" s="2226"/>
      <c r="AO36" s="2227"/>
      <c r="AP36" s="2225"/>
      <c r="AQ36" s="2226"/>
      <c r="AR36" s="2227"/>
      <c r="AS36" s="2228">
        <f t="shared" ref="AS36:AS47" si="2">SUM(R36:AR36)</f>
        <v>0</v>
      </c>
      <c r="AT36" s="2229"/>
      <c r="AU36" s="2229"/>
      <c r="AV36" s="2229"/>
      <c r="AW36" s="2229"/>
      <c r="AX36" s="2230"/>
      <c r="AY36" s="2231">
        <f t="shared" ref="AY36:AY47" si="3">AS36/$J$29</f>
        <v>0</v>
      </c>
      <c r="AZ36" s="2232"/>
      <c r="BA36" s="2232"/>
      <c r="BB36" s="2232"/>
      <c r="BC36" s="2232"/>
      <c r="BD36" s="2233"/>
      <c r="BE36" s="1194"/>
    </row>
    <row r="37" spans="1:58" ht="15.75" customHeight="1">
      <c r="A37" s="1190"/>
      <c r="B37" s="2175" t="s">
        <v>2419</v>
      </c>
      <c r="C37" s="2176"/>
      <c r="D37" s="2176"/>
      <c r="E37" s="2176"/>
      <c r="F37" s="2176"/>
      <c r="G37" s="2176"/>
      <c r="H37" s="2176"/>
      <c r="I37" s="2176"/>
      <c r="J37" s="2240" t="s">
        <v>2418</v>
      </c>
      <c r="K37" s="2240"/>
      <c r="L37" s="2240"/>
      <c r="M37" s="2240"/>
      <c r="N37" s="2240">
        <v>55</v>
      </c>
      <c r="O37" s="2240"/>
      <c r="P37" s="2240"/>
      <c r="Q37" s="2240"/>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25"/>
      <c r="AM37" s="2226"/>
      <c r="AN37" s="2226"/>
      <c r="AO37" s="2227"/>
      <c r="AP37" s="2225"/>
      <c r="AQ37" s="2226"/>
      <c r="AR37" s="2227"/>
      <c r="AS37" s="2228">
        <f t="shared" si="2"/>
        <v>0</v>
      </c>
      <c r="AT37" s="2229"/>
      <c r="AU37" s="2229"/>
      <c r="AV37" s="2229"/>
      <c r="AW37" s="2229"/>
      <c r="AX37" s="2230"/>
      <c r="AY37" s="2231">
        <f t="shared" si="3"/>
        <v>0</v>
      </c>
      <c r="AZ37" s="2232"/>
      <c r="BA37" s="2232"/>
      <c r="BB37" s="2232"/>
      <c r="BC37" s="2232"/>
      <c r="BD37" s="2233"/>
      <c r="BE37" s="1194"/>
    </row>
    <row r="38" spans="1:58" ht="15.75" customHeight="1">
      <c r="A38" s="1190"/>
      <c r="B38" s="2175" t="s">
        <v>2417</v>
      </c>
      <c r="C38" s="2176"/>
      <c r="D38" s="2176"/>
      <c r="E38" s="2176"/>
      <c r="F38" s="2176"/>
      <c r="G38" s="2176"/>
      <c r="H38" s="2176"/>
      <c r="I38" s="2176"/>
      <c r="J38" s="2240" t="s">
        <v>2416</v>
      </c>
      <c r="K38" s="2240"/>
      <c r="L38" s="2240"/>
      <c r="M38" s="2240"/>
      <c r="N38" s="2240">
        <v>55</v>
      </c>
      <c r="O38" s="2240"/>
      <c r="P38" s="2240"/>
      <c r="Q38" s="2240"/>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25"/>
      <c r="AM38" s="2226"/>
      <c r="AN38" s="2226"/>
      <c r="AO38" s="2227"/>
      <c r="AP38" s="2225"/>
      <c r="AQ38" s="2226"/>
      <c r="AR38" s="2227"/>
      <c r="AS38" s="2228">
        <f t="shared" si="2"/>
        <v>0</v>
      </c>
      <c r="AT38" s="2229"/>
      <c r="AU38" s="2229"/>
      <c r="AV38" s="2229"/>
      <c r="AW38" s="2229"/>
      <c r="AX38" s="2230"/>
      <c r="AY38" s="2231">
        <f t="shared" si="3"/>
        <v>0</v>
      </c>
      <c r="AZ38" s="2232"/>
      <c r="BA38" s="2232"/>
      <c r="BB38" s="2232"/>
      <c r="BC38" s="2232"/>
      <c r="BD38" s="2233"/>
      <c r="BE38" s="1194"/>
    </row>
    <row r="39" spans="1:58" ht="15.75" customHeight="1">
      <c r="A39" s="1190"/>
      <c r="B39" s="2175" t="s">
        <v>2415</v>
      </c>
      <c r="C39" s="2176"/>
      <c r="D39" s="2176"/>
      <c r="E39" s="2176"/>
      <c r="F39" s="2176"/>
      <c r="G39" s="2176"/>
      <c r="H39" s="2176"/>
      <c r="I39" s="2176"/>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25"/>
      <c r="AM39" s="2226"/>
      <c r="AN39" s="2226"/>
      <c r="AO39" s="2227"/>
      <c r="AP39" s="2225"/>
      <c r="AQ39" s="2226"/>
      <c r="AR39" s="2227"/>
      <c r="AS39" s="2228">
        <f t="shared" si="2"/>
        <v>0</v>
      </c>
      <c r="AT39" s="2229"/>
      <c r="AU39" s="2229"/>
      <c r="AV39" s="2229"/>
      <c r="AW39" s="2229"/>
      <c r="AX39" s="2230"/>
      <c r="AY39" s="2231">
        <f t="shared" si="3"/>
        <v>0</v>
      </c>
      <c r="AZ39" s="2232"/>
      <c r="BA39" s="2232"/>
      <c r="BB39" s="2232"/>
      <c r="BC39" s="2232"/>
      <c r="BD39" s="2233"/>
      <c r="BE39" s="1194"/>
    </row>
    <row r="40" spans="1:58" ht="15.75" customHeight="1">
      <c r="A40" s="1190"/>
      <c r="B40" s="2175" t="s">
        <v>2415</v>
      </c>
      <c r="C40" s="2176"/>
      <c r="D40" s="2176"/>
      <c r="E40" s="2176"/>
      <c r="F40" s="2176"/>
      <c r="G40" s="2176"/>
      <c r="H40" s="2176"/>
      <c r="I40" s="2176"/>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25"/>
      <c r="AM40" s="2226"/>
      <c r="AN40" s="2226"/>
      <c r="AO40" s="2227"/>
      <c r="AP40" s="2225"/>
      <c r="AQ40" s="2226"/>
      <c r="AR40" s="2227"/>
      <c r="AS40" s="2228">
        <f t="shared" si="2"/>
        <v>0</v>
      </c>
      <c r="AT40" s="2229"/>
      <c r="AU40" s="2229"/>
      <c r="AV40" s="2229"/>
      <c r="AW40" s="2229"/>
      <c r="AX40" s="2230"/>
      <c r="AY40" s="2231">
        <f t="shared" si="3"/>
        <v>0</v>
      </c>
      <c r="AZ40" s="2232"/>
      <c r="BA40" s="2232"/>
      <c r="BB40" s="2232"/>
      <c r="BC40" s="2232"/>
      <c r="BD40" s="2233"/>
      <c r="BE40" s="1194"/>
    </row>
    <row r="41" spans="1:58" ht="15.75" customHeight="1">
      <c r="A41" s="1190"/>
      <c r="B41" s="2175" t="s">
        <v>2414</v>
      </c>
      <c r="C41" s="2176"/>
      <c r="D41" s="2176"/>
      <c r="E41" s="2176"/>
      <c r="F41" s="2176"/>
      <c r="G41" s="2176"/>
      <c r="H41" s="2176"/>
      <c r="I41" s="2176"/>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25"/>
      <c r="AM41" s="2226"/>
      <c r="AN41" s="2226"/>
      <c r="AO41" s="2227"/>
      <c r="AP41" s="2225"/>
      <c r="AQ41" s="2226"/>
      <c r="AR41" s="2227"/>
      <c r="AS41" s="2228">
        <f t="shared" si="2"/>
        <v>0</v>
      </c>
      <c r="AT41" s="2229"/>
      <c r="AU41" s="2229"/>
      <c r="AV41" s="2229"/>
      <c r="AW41" s="2229"/>
      <c r="AX41" s="2230"/>
      <c r="AY41" s="2231">
        <f t="shared" si="3"/>
        <v>0</v>
      </c>
      <c r="AZ41" s="2232"/>
      <c r="BA41" s="2232"/>
      <c r="BB41" s="2232"/>
      <c r="BC41" s="2232"/>
      <c r="BD41" s="2233"/>
      <c r="BE41" s="1194"/>
    </row>
    <row r="42" spans="1:58" ht="15.75" customHeight="1">
      <c r="A42" s="1190"/>
      <c r="B42" s="2175" t="s">
        <v>2414</v>
      </c>
      <c r="C42" s="2176"/>
      <c r="D42" s="2176"/>
      <c r="E42" s="2176"/>
      <c r="F42" s="2176"/>
      <c r="G42" s="2176"/>
      <c r="H42" s="2176"/>
      <c r="I42" s="2176"/>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25"/>
      <c r="AM42" s="2226"/>
      <c r="AN42" s="2226"/>
      <c r="AO42" s="2227"/>
      <c r="AP42" s="2225"/>
      <c r="AQ42" s="2226"/>
      <c r="AR42" s="2227"/>
      <c r="AS42" s="2228">
        <f t="shared" si="2"/>
        <v>0</v>
      </c>
      <c r="AT42" s="2229"/>
      <c r="AU42" s="2229"/>
      <c r="AV42" s="2229"/>
      <c r="AW42" s="2229"/>
      <c r="AX42" s="2230"/>
      <c r="AY42" s="2231">
        <f t="shared" si="3"/>
        <v>0</v>
      </c>
      <c r="AZ42" s="2232"/>
      <c r="BA42" s="2232"/>
      <c r="BB42" s="2232"/>
      <c r="BC42" s="2232"/>
      <c r="BD42" s="2233"/>
      <c r="BE42" s="1194"/>
    </row>
    <row r="43" spans="1:58" ht="15.75" customHeight="1">
      <c r="A43" s="1190"/>
      <c r="B43" s="2180" t="s">
        <v>2413</v>
      </c>
      <c r="C43" s="2181"/>
      <c r="D43" s="2181"/>
      <c r="E43" s="2181"/>
      <c r="F43" s="2181"/>
      <c r="G43" s="2181"/>
      <c r="H43" s="2181"/>
      <c r="I43" s="2181"/>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25"/>
      <c r="AM43" s="2226"/>
      <c r="AN43" s="2226"/>
      <c r="AO43" s="2227"/>
      <c r="AP43" s="2225"/>
      <c r="AQ43" s="2226"/>
      <c r="AR43" s="2227"/>
      <c r="AS43" s="2228">
        <f t="shared" si="2"/>
        <v>0</v>
      </c>
      <c r="AT43" s="2229"/>
      <c r="AU43" s="2229"/>
      <c r="AV43" s="2229"/>
      <c r="AW43" s="2229"/>
      <c r="AX43" s="2230"/>
      <c r="AY43" s="2231">
        <f t="shared" si="3"/>
        <v>0</v>
      </c>
      <c r="AZ43" s="2232"/>
      <c r="BA43" s="2232"/>
      <c r="BB43" s="2232"/>
      <c r="BC43" s="2232"/>
      <c r="BD43" s="2233"/>
      <c r="BE43" s="1194"/>
    </row>
    <row r="44" spans="1:58" ht="15.75" customHeight="1">
      <c r="A44" s="1190"/>
      <c r="B44" s="2180" t="s">
        <v>2412</v>
      </c>
      <c r="C44" s="2181"/>
      <c r="D44" s="2181"/>
      <c r="E44" s="2181"/>
      <c r="F44" s="2181"/>
      <c r="G44" s="2181"/>
      <c r="H44" s="2181"/>
      <c r="I44" s="2181"/>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25"/>
      <c r="AM44" s="2226"/>
      <c r="AN44" s="2226"/>
      <c r="AO44" s="2227"/>
      <c r="AP44" s="2225"/>
      <c r="AQ44" s="2226"/>
      <c r="AR44" s="2227"/>
      <c r="AS44" s="2228">
        <f t="shared" si="2"/>
        <v>0</v>
      </c>
      <c r="AT44" s="2229"/>
      <c r="AU44" s="2229"/>
      <c r="AV44" s="2229"/>
      <c r="AW44" s="2229"/>
      <c r="AX44" s="2230"/>
      <c r="AY44" s="2231">
        <f t="shared" si="3"/>
        <v>0</v>
      </c>
      <c r="AZ44" s="2232"/>
      <c r="BA44" s="2232"/>
      <c r="BB44" s="2232"/>
      <c r="BC44" s="2232"/>
      <c r="BD44" s="2233"/>
      <c r="BE44" s="1194"/>
    </row>
    <row r="45" spans="1:58" ht="15.75" customHeight="1">
      <c r="A45" s="1190"/>
      <c r="B45" s="2180" t="s">
        <v>2411</v>
      </c>
      <c r="C45" s="2181"/>
      <c r="D45" s="2181"/>
      <c r="E45" s="2181"/>
      <c r="F45" s="2181"/>
      <c r="G45" s="2181"/>
      <c r="H45" s="2181"/>
      <c r="I45" s="2181"/>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25"/>
      <c r="AM45" s="2226"/>
      <c r="AN45" s="2226"/>
      <c r="AO45" s="2227"/>
      <c r="AP45" s="2225"/>
      <c r="AQ45" s="2226"/>
      <c r="AR45" s="2227"/>
      <c r="AS45" s="2228">
        <f t="shared" si="2"/>
        <v>0</v>
      </c>
      <c r="AT45" s="2229"/>
      <c r="AU45" s="2229"/>
      <c r="AV45" s="2229"/>
      <c r="AW45" s="2229"/>
      <c r="AX45" s="2230"/>
      <c r="AY45" s="2231">
        <f t="shared" si="3"/>
        <v>0</v>
      </c>
      <c r="AZ45" s="2232"/>
      <c r="BA45" s="2232"/>
      <c r="BB45" s="2232"/>
      <c r="BC45" s="2232"/>
      <c r="BD45" s="2233"/>
      <c r="BE45" s="1194"/>
    </row>
    <row r="46" spans="1:58" ht="15.75" customHeight="1">
      <c r="A46" s="1190"/>
      <c r="B46" s="2180" t="s">
        <v>2335</v>
      </c>
      <c r="C46" s="2181"/>
      <c r="D46" s="2181"/>
      <c r="E46" s="2181"/>
      <c r="F46" s="2181"/>
      <c r="G46" s="2181"/>
      <c r="H46" s="2181"/>
      <c r="I46" s="2181"/>
      <c r="J46" s="2240"/>
      <c r="K46" s="2240"/>
      <c r="L46" s="2240"/>
      <c r="M46" s="2240"/>
      <c r="N46" s="2240">
        <v>99</v>
      </c>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25"/>
      <c r="AM46" s="2226"/>
      <c r="AN46" s="2226"/>
      <c r="AO46" s="2227"/>
      <c r="AP46" s="2225"/>
      <c r="AQ46" s="2226"/>
      <c r="AR46" s="2227"/>
      <c r="AS46" s="2228">
        <f t="shared" si="2"/>
        <v>0</v>
      </c>
      <c r="AT46" s="2229"/>
      <c r="AU46" s="2229"/>
      <c r="AV46" s="2229"/>
      <c r="AW46" s="2229"/>
      <c r="AX46" s="2230"/>
      <c r="AY46" s="2231">
        <f t="shared" si="3"/>
        <v>0</v>
      </c>
      <c r="AZ46" s="2232"/>
      <c r="BA46" s="2232"/>
      <c r="BB46" s="2232"/>
      <c r="BC46" s="2232"/>
      <c r="BD46" s="2233"/>
      <c r="BE46" s="1194"/>
    </row>
    <row r="47" spans="1:58" ht="15.75" customHeight="1" thickBot="1">
      <c r="A47" s="1190"/>
      <c r="B47" s="2234" t="s">
        <v>300</v>
      </c>
      <c r="C47" s="2235"/>
      <c r="D47" s="2235"/>
      <c r="E47" s="2235"/>
      <c r="F47" s="2235"/>
      <c r="G47" s="2235"/>
      <c r="H47" s="2235"/>
      <c r="I47" s="2235"/>
      <c r="J47" s="2236"/>
      <c r="K47" s="2236"/>
      <c r="L47" s="2236"/>
      <c r="M47" s="2236"/>
      <c r="N47" s="2236"/>
      <c r="O47" s="2236"/>
      <c r="P47" s="2236"/>
      <c r="Q47" s="2236"/>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2"/>
      <c r="AM47" s="2223"/>
      <c r="AN47" s="2223"/>
      <c r="AO47" s="2224"/>
      <c r="AP47" s="2222"/>
      <c r="AQ47" s="2223"/>
      <c r="AR47" s="2224"/>
      <c r="AS47" s="2228">
        <f t="shared" si="2"/>
        <v>0</v>
      </c>
      <c r="AT47" s="2229"/>
      <c r="AU47" s="2229"/>
      <c r="AV47" s="2229"/>
      <c r="AW47" s="2229"/>
      <c r="AX47" s="2230"/>
      <c r="AY47" s="2237">
        <f t="shared" si="3"/>
        <v>0</v>
      </c>
      <c r="AZ47" s="2238"/>
      <c r="BA47" s="2238"/>
      <c r="BB47" s="2238"/>
      <c r="BC47" s="2238"/>
      <c r="BD47" s="2239"/>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7" t="s">
        <v>2408</v>
      </c>
      <c r="C50" s="2043"/>
      <c r="D50" s="2043"/>
      <c r="E50" s="2043"/>
      <c r="F50" s="2043"/>
      <c r="G50" s="2043"/>
      <c r="H50" s="2043"/>
      <c r="I50" s="2043"/>
      <c r="J50" s="2043"/>
      <c r="K50" s="2043"/>
      <c r="L50" s="2043"/>
      <c r="M50" s="2043"/>
      <c r="N50" s="2043"/>
      <c r="O50" s="2043"/>
      <c r="P50" s="2043"/>
      <c r="Q50" s="2043"/>
      <c r="R50" s="2043"/>
      <c r="S50" s="2043"/>
      <c r="T50" s="2043"/>
      <c r="U50" s="2043"/>
      <c r="V50" s="2043"/>
      <c r="W50" s="2043"/>
      <c r="X50" s="2043"/>
      <c r="Y50" s="2043"/>
      <c r="Z50" s="2043"/>
      <c r="AA50" s="2043"/>
      <c r="AB50" s="2043"/>
      <c r="AC50" s="2043"/>
      <c r="AD50" s="2043"/>
      <c r="AE50" s="2043"/>
      <c r="AF50" s="2043"/>
      <c r="AG50" s="2043"/>
      <c r="AH50" s="2043"/>
      <c r="AI50" s="2043"/>
      <c r="AJ50" s="2043"/>
      <c r="AK50" s="2043"/>
      <c r="AL50" s="2043"/>
      <c r="AM50" s="2043"/>
      <c r="AN50" s="2043"/>
      <c r="AO50" s="204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50" t="s">
        <v>2401</v>
      </c>
      <c r="C51" s="2118"/>
      <c r="D51" s="2118"/>
      <c r="E51" s="2118"/>
      <c r="F51" s="2118"/>
      <c r="G51" s="2118"/>
      <c r="H51" s="2118"/>
      <c r="I51" s="2118"/>
      <c r="J51" s="2118" t="s">
        <v>2407</v>
      </c>
      <c r="K51" s="2118"/>
      <c r="L51" s="2118"/>
      <c r="M51" s="2118"/>
      <c r="N51" s="2118"/>
      <c r="O51" s="2118"/>
      <c r="P51" s="2118"/>
      <c r="Q51" s="2118"/>
      <c r="R51" s="2219" t="s">
        <v>2406</v>
      </c>
      <c r="S51" s="2219"/>
      <c r="T51" s="2219"/>
      <c r="U51" s="2219"/>
      <c r="V51" s="2219"/>
      <c r="W51" s="2219"/>
      <c r="X51" s="2219"/>
      <c r="Y51" s="2219"/>
      <c r="Z51" s="2219" t="s">
        <v>2405</v>
      </c>
      <c r="AA51" s="2219"/>
      <c r="AB51" s="2219"/>
      <c r="AC51" s="2219"/>
      <c r="AD51" s="2219"/>
      <c r="AE51" s="2219"/>
      <c r="AF51" s="2219"/>
      <c r="AG51" s="2219"/>
      <c r="AH51" s="2219" t="s">
        <v>2404</v>
      </c>
      <c r="AI51" s="2219"/>
      <c r="AJ51" s="2219"/>
      <c r="AK51" s="2219"/>
      <c r="AL51" s="2219"/>
      <c r="AM51" s="2219"/>
      <c r="AN51" s="2219"/>
      <c r="AO51" s="222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80" t="s">
        <v>2403</v>
      </c>
      <c r="C52" s="2181"/>
      <c r="D52" s="2181"/>
      <c r="E52" s="2181"/>
      <c r="F52" s="2181"/>
      <c r="G52" s="2181"/>
      <c r="H52" s="2181"/>
      <c r="I52" s="2181"/>
      <c r="J52" s="2004">
        <v>0</v>
      </c>
      <c r="K52" s="2004"/>
      <c r="L52" s="2004"/>
      <c r="M52" s="2004"/>
      <c r="N52" s="2004"/>
      <c r="O52" s="2004"/>
      <c r="P52" s="2004"/>
      <c r="Q52" s="2004"/>
      <c r="R52" s="2211">
        <v>0</v>
      </c>
      <c r="S52" s="2211"/>
      <c r="T52" s="2211"/>
      <c r="U52" s="2211"/>
      <c r="V52" s="2211"/>
      <c r="W52" s="2211"/>
      <c r="X52" s="2211"/>
      <c r="Y52" s="2211"/>
      <c r="Z52" s="2212">
        <v>0</v>
      </c>
      <c r="AA52" s="2212"/>
      <c r="AB52" s="2212"/>
      <c r="AC52" s="2212"/>
      <c r="AD52" s="2212"/>
      <c r="AE52" s="2212"/>
      <c r="AF52" s="2212"/>
      <c r="AG52" s="2212"/>
      <c r="AH52" s="2213"/>
      <c r="AI52" s="2213"/>
      <c r="AJ52" s="2213"/>
      <c r="AK52" s="2213"/>
      <c r="AL52" s="2213"/>
      <c r="AM52" s="2213"/>
      <c r="AN52" s="2213"/>
      <c r="AO52" s="221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80" t="s">
        <v>2402</v>
      </c>
      <c r="C53" s="2181"/>
      <c r="D53" s="2181"/>
      <c r="E53" s="2181"/>
      <c r="F53" s="2181"/>
      <c r="G53" s="2181"/>
      <c r="H53" s="2181"/>
      <c r="I53" s="2181"/>
      <c r="J53" s="2004">
        <v>0</v>
      </c>
      <c r="K53" s="2004"/>
      <c r="L53" s="2004"/>
      <c r="M53" s="2004"/>
      <c r="N53" s="2004"/>
      <c r="O53" s="2004"/>
      <c r="P53" s="2004"/>
      <c r="Q53" s="2004"/>
      <c r="R53" s="2211">
        <v>0</v>
      </c>
      <c r="S53" s="2211"/>
      <c r="T53" s="2211"/>
      <c r="U53" s="2211"/>
      <c r="V53" s="2211"/>
      <c r="W53" s="2211"/>
      <c r="X53" s="2211"/>
      <c r="Y53" s="2211"/>
      <c r="Z53" s="2212">
        <v>0</v>
      </c>
      <c r="AA53" s="2212"/>
      <c r="AB53" s="2212"/>
      <c r="AC53" s="2212"/>
      <c r="AD53" s="2212"/>
      <c r="AE53" s="2212"/>
      <c r="AF53" s="2212"/>
      <c r="AG53" s="2212"/>
      <c r="AH53" s="2213"/>
      <c r="AI53" s="2213"/>
      <c r="AJ53" s="2213"/>
      <c r="AK53" s="2213"/>
      <c r="AL53" s="2213"/>
      <c r="AM53" s="2213"/>
      <c r="AN53" s="2213"/>
      <c r="AO53" s="221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80"/>
      <c r="C54" s="2181"/>
      <c r="D54" s="2181"/>
      <c r="E54" s="2181"/>
      <c r="F54" s="2181"/>
      <c r="G54" s="2181"/>
      <c r="H54" s="2181"/>
      <c r="I54" s="2181"/>
      <c r="J54" s="2004"/>
      <c r="K54" s="2004"/>
      <c r="L54" s="2004"/>
      <c r="M54" s="2004"/>
      <c r="N54" s="2004"/>
      <c r="O54" s="2004"/>
      <c r="P54" s="2004"/>
      <c r="Q54" s="2004"/>
      <c r="R54" s="2211"/>
      <c r="S54" s="2211"/>
      <c r="T54" s="2211"/>
      <c r="U54" s="2211"/>
      <c r="V54" s="2211"/>
      <c r="W54" s="2211"/>
      <c r="X54" s="2211"/>
      <c r="Y54" s="2211"/>
      <c r="Z54" s="2212"/>
      <c r="AA54" s="2212"/>
      <c r="AB54" s="2212"/>
      <c r="AC54" s="2212"/>
      <c r="AD54" s="2212"/>
      <c r="AE54" s="2212"/>
      <c r="AF54" s="2212"/>
      <c r="AG54" s="2212"/>
      <c r="AH54" s="2213"/>
      <c r="AI54" s="2213"/>
      <c r="AJ54" s="2213"/>
      <c r="AK54" s="2213"/>
      <c r="AL54" s="2213"/>
      <c r="AM54" s="2213"/>
      <c r="AN54" s="2213"/>
      <c r="AO54" s="221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80"/>
      <c r="C55" s="2181"/>
      <c r="D55" s="2181"/>
      <c r="E55" s="2181"/>
      <c r="F55" s="2181"/>
      <c r="G55" s="2181"/>
      <c r="H55" s="2181"/>
      <c r="I55" s="2181"/>
      <c r="J55" s="2004"/>
      <c r="K55" s="2004"/>
      <c r="L55" s="2004"/>
      <c r="M55" s="2004"/>
      <c r="N55" s="2004"/>
      <c r="O55" s="2004"/>
      <c r="P55" s="2004"/>
      <c r="Q55" s="2004"/>
      <c r="R55" s="2211"/>
      <c r="S55" s="2211"/>
      <c r="T55" s="2211"/>
      <c r="U55" s="2211"/>
      <c r="V55" s="2211"/>
      <c r="W55" s="2211"/>
      <c r="X55" s="2211"/>
      <c r="Y55" s="2211"/>
      <c r="Z55" s="2212"/>
      <c r="AA55" s="2212"/>
      <c r="AB55" s="2212"/>
      <c r="AC55" s="2212"/>
      <c r="AD55" s="2212"/>
      <c r="AE55" s="2212"/>
      <c r="AF55" s="2212"/>
      <c r="AG55" s="2212"/>
      <c r="AH55" s="2213"/>
      <c r="AI55" s="2213"/>
      <c r="AJ55" s="2213"/>
      <c r="AK55" s="2213"/>
      <c r="AL55" s="2213"/>
      <c r="AM55" s="2213"/>
      <c r="AN55" s="2213"/>
      <c r="AO55" s="221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80"/>
      <c r="C56" s="2181"/>
      <c r="D56" s="2181"/>
      <c r="E56" s="2181"/>
      <c r="F56" s="2181"/>
      <c r="G56" s="2181"/>
      <c r="H56" s="2181"/>
      <c r="I56" s="2181"/>
      <c r="J56" s="2004"/>
      <c r="K56" s="2004"/>
      <c r="L56" s="2004"/>
      <c r="M56" s="2004"/>
      <c r="N56" s="2004"/>
      <c r="O56" s="2004"/>
      <c r="P56" s="2004"/>
      <c r="Q56" s="2004"/>
      <c r="R56" s="2211"/>
      <c r="S56" s="2211"/>
      <c r="T56" s="2211"/>
      <c r="U56" s="2211"/>
      <c r="V56" s="2211"/>
      <c r="W56" s="2211"/>
      <c r="X56" s="2211"/>
      <c r="Y56" s="2211"/>
      <c r="Z56" s="2212"/>
      <c r="AA56" s="2212"/>
      <c r="AB56" s="2212"/>
      <c r="AC56" s="2212"/>
      <c r="AD56" s="2212"/>
      <c r="AE56" s="2212"/>
      <c r="AF56" s="2212"/>
      <c r="AG56" s="2212"/>
      <c r="AH56" s="2213"/>
      <c r="AI56" s="2213"/>
      <c r="AJ56" s="2213"/>
      <c r="AK56" s="2213"/>
      <c r="AL56" s="2213"/>
      <c r="AM56" s="2213"/>
      <c r="AN56" s="2213"/>
      <c r="AO56" s="221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8" t="s">
        <v>1586</v>
      </c>
      <c r="C57" s="2149"/>
      <c r="D57" s="2149"/>
      <c r="E57" s="2149"/>
      <c r="F57" s="2149"/>
      <c r="G57" s="2149"/>
      <c r="H57" s="2149"/>
      <c r="I57" s="2149"/>
      <c r="J57" s="2149"/>
      <c r="K57" s="2149"/>
      <c r="L57" s="2149"/>
      <c r="M57" s="2149"/>
      <c r="N57" s="2149"/>
      <c r="O57" s="2149"/>
      <c r="P57" s="2149"/>
      <c r="Q57" s="2149"/>
      <c r="R57" s="2215">
        <f>SUM(R52:Y56)</f>
        <v>0</v>
      </c>
      <c r="S57" s="2215"/>
      <c r="T57" s="2215"/>
      <c r="U57" s="2215"/>
      <c r="V57" s="2215"/>
      <c r="W57" s="2215"/>
      <c r="X57" s="2215"/>
      <c r="Y57" s="2215"/>
      <c r="Z57" s="2216">
        <f>SUM(Z52:AG56)</f>
        <v>0</v>
      </c>
      <c r="AA57" s="2216"/>
      <c r="AB57" s="2216"/>
      <c r="AC57" s="2216"/>
      <c r="AD57" s="2216"/>
      <c r="AE57" s="2216"/>
      <c r="AF57" s="2216"/>
      <c r="AG57" s="2216"/>
      <c r="AH57" s="2217"/>
      <c r="AI57" s="2217"/>
      <c r="AJ57" s="2217"/>
      <c r="AK57" s="2217"/>
      <c r="AL57" s="2217"/>
      <c r="AM57" s="2217"/>
      <c r="AN57" s="2217"/>
      <c r="AO57" s="221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8" t="s">
        <v>2401</v>
      </c>
      <c r="C59" s="2209"/>
      <c r="D59" s="2209"/>
      <c r="E59" s="2209"/>
      <c r="F59" s="2209"/>
      <c r="G59" s="2209"/>
      <c r="H59" s="2209"/>
      <c r="I59" s="2210"/>
      <c r="J59" s="2116" t="s">
        <v>2400</v>
      </c>
      <c r="K59" s="2116"/>
      <c r="L59" s="211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116"/>
      <c r="AM59" s="2116"/>
      <c r="AN59" s="2116"/>
      <c r="AO59" s="2116"/>
      <c r="AP59" s="2116"/>
      <c r="AQ59" s="2116"/>
      <c r="AR59" s="2116"/>
      <c r="AS59" s="2116"/>
      <c r="AT59" s="2116"/>
      <c r="AU59" s="2116"/>
      <c r="AV59" s="2116"/>
      <c r="AW59" s="2117"/>
      <c r="AX59" s="1190"/>
      <c r="AY59" s="1190"/>
      <c r="AZ59" s="1190"/>
      <c r="BA59" s="1190"/>
      <c r="BB59" s="1190"/>
      <c r="BC59" s="1190"/>
      <c r="BD59" s="1190"/>
      <c r="BE59" s="1194"/>
    </row>
    <row r="60" spans="1:77" ht="15.75" customHeight="1">
      <c r="A60" s="1190"/>
      <c r="B60" s="2200" t="str">
        <f>IF(B52="", "", B52)</f>
        <v>Services Company 1</v>
      </c>
      <c r="C60" s="2201"/>
      <c r="D60" s="2201"/>
      <c r="E60" s="2201"/>
      <c r="F60" s="2201"/>
      <c r="G60" s="2201"/>
      <c r="H60" s="2201"/>
      <c r="I60" s="2202"/>
      <c r="J60" s="2203"/>
      <c r="K60" s="2007"/>
      <c r="L60" s="2007"/>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8"/>
      <c r="AX60" s="1190"/>
      <c r="AY60" s="1190"/>
      <c r="AZ60" s="1190"/>
      <c r="BA60" s="1190"/>
      <c r="BB60" s="1190"/>
      <c r="BC60" s="1190"/>
      <c r="BD60" s="1190"/>
      <c r="BE60" s="1194"/>
    </row>
    <row r="61" spans="1:77" ht="15.75" customHeight="1">
      <c r="A61" s="1190"/>
      <c r="B61" s="2200" t="str">
        <f>IF(B53="", "", B53)</f>
        <v>Services Company 2</v>
      </c>
      <c r="C61" s="2201"/>
      <c r="D61" s="2201"/>
      <c r="E61" s="2201"/>
      <c r="F61" s="2201"/>
      <c r="G61" s="2201"/>
      <c r="H61" s="2201"/>
      <c r="I61" s="2202"/>
      <c r="J61" s="2203"/>
      <c r="K61" s="2007"/>
      <c r="L61" s="2007"/>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8"/>
      <c r="AX61" s="1190"/>
      <c r="AY61" s="1190"/>
      <c r="AZ61" s="1190"/>
      <c r="BA61" s="1190"/>
      <c r="BB61" s="1190"/>
      <c r="BC61" s="1190"/>
      <c r="BD61" s="1190"/>
      <c r="BE61" s="1194"/>
    </row>
    <row r="62" spans="1:77" ht="15.75" customHeight="1">
      <c r="A62" s="1190"/>
      <c r="B62" s="2200" t="str">
        <f>IF(B54="", "", B54)</f>
        <v/>
      </c>
      <c r="C62" s="2201"/>
      <c r="D62" s="2201"/>
      <c r="E62" s="2201"/>
      <c r="F62" s="2201"/>
      <c r="G62" s="2201"/>
      <c r="H62" s="2201"/>
      <c r="I62" s="2202"/>
      <c r="J62" s="2203"/>
      <c r="K62" s="2007"/>
      <c r="L62" s="2007"/>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8"/>
      <c r="AX62" s="1190"/>
      <c r="AY62" s="1190"/>
      <c r="AZ62" s="1190"/>
      <c r="BA62" s="1190"/>
      <c r="BB62" s="1190"/>
      <c r="BC62" s="1190"/>
      <c r="BD62" s="1190"/>
      <c r="BE62" s="1194"/>
    </row>
    <row r="63" spans="1:77" ht="15.75" customHeight="1">
      <c r="A63" s="1190"/>
      <c r="B63" s="2200" t="str">
        <f>IF(B55="", "", B55)</f>
        <v/>
      </c>
      <c r="C63" s="2201"/>
      <c r="D63" s="2201"/>
      <c r="E63" s="2201"/>
      <c r="F63" s="2201"/>
      <c r="G63" s="2201"/>
      <c r="H63" s="2201"/>
      <c r="I63" s="2202"/>
      <c r="J63" s="2203"/>
      <c r="K63" s="2007"/>
      <c r="L63" s="2007"/>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8"/>
      <c r="AX63" s="1190"/>
      <c r="AY63" s="1190"/>
      <c r="AZ63" s="1190"/>
      <c r="BA63" s="1190"/>
      <c r="BB63" s="1190"/>
      <c r="BC63" s="1190"/>
      <c r="BD63" s="1190"/>
      <c r="BE63" s="1194"/>
    </row>
    <row r="64" spans="1:77" ht="15.75" customHeight="1" thickBot="1">
      <c r="A64" s="1190"/>
      <c r="B64" s="2204" t="str">
        <f>IF(B56="", "", B56)</f>
        <v/>
      </c>
      <c r="C64" s="2205"/>
      <c r="D64" s="2205"/>
      <c r="E64" s="2205"/>
      <c r="F64" s="2205"/>
      <c r="G64" s="2205"/>
      <c r="H64" s="2205"/>
      <c r="I64" s="2206"/>
      <c r="J64" s="2207"/>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15" t="s">
        <v>2398</v>
      </c>
      <c r="C68" s="2116"/>
      <c r="D68" s="2116"/>
      <c r="E68" s="2116"/>
      <c r="F68" s="2116"/>
      <c r="G68" s="2116"/>
      <c r="H68" s="2116"/>
      <c r="I68" s="2116"/>
      <c r="J68" s="2116"/>
      <c r="K68" s="2116"/>
      <c r="L68" s="2116"/>
      <c r="M68" s="2116"/>
      <c r="N68" s="2116"/>
      <c r="O68" s="2116"/>
      <c r="P68" s="2116"/>
      <c r="Q68" s="2116"/>
      <c r="R68" s="2116"/>
      <c r="S68" s="2116"/>
      <c r="T68" s="2116"/>
      <c r="U68" s="2116"/>
      <c r="V68" s="2116"/>
      <c r="W68" s="2116"/>
      <c r="X68" s="2116"/>
      <c r="Y68" s="2116"/>
      <c r="Z68" s="2116"/>
      <c r="AA68" s="2117"/>
      <c r="AB68" s="1190"/>
      <c r="AC68" s="2041" t="s">
        <v>2397</v>
      </c>
      <c r="AD68" s="2042"/>
      <c r="AE68" s="2042"/>
      <c r="AF68" s="2042"/>
      <c r="AG68" s="2042"/>
      <c r="AH68" s="2042"/>
      <c r="AI68" s="2042"/>
      <c r="AJ68" s="2042"/>
      <c r="AK68" s="2042"/>
      <c r="AL68" s="2042"/>
      <c r="AM68" s="2042"/>
      <c r="AN68" s="2042"/>
      <c r="AO68" s="2042"/>
      <c r="AP68" s="2042"/>
      <c r="AQ68" s="2042"/>
      <c r="AR68" s="2042"/>
      <c r="AS68" s="2042"/>
      <c r="AT68" s="2042"/>
      <c r="AU68" s="2042"/>
      <c r="AV68" s="2192" t="s">
        <v>669</v>
      </c>
      <c r="AW68" s="2098"/>
      <c r="AX68" s="2098"/>
      <c r="AY68" s="2098"/>
      <c r="AZ68" s="2098"/>
      <c r="BA68" s="2098"/>
      <c r="BB68" s="2098"/>
      <c r="BC68" s="2099"/>
      <c r="BD68" s="1190"/>
      <c r="BE68" s="1194"/>
      <c r="BM68" s="1199" t="s">
        <v>2396</v>
      </c>
    </row>
    <row r="69" spans="1:94" ht="15.75" customHeight="1" thickTop="1" thickBot="1">
      <c r="A69" s="1190"/>
      <c r="B69" s="2193" t="s">
        <v>2395</v>
      </c>
      <c r="C69" s="2194"/>
      <c r="D69" s="2194"/>
      <c r="E69" s="2194"/>
      <c r="F69" s="2194"/>
      <c r="G69" s="2194"/>
      <c r="H69" s="2194"/>
      <c r="I69" s="2194"/>
      <c r="J69" s="2194"/>
      <c r="K69" s="2194"/>
      <c r="L69" s="2194"/>
      <c r="M69" s="2194"/>
      <c r="N69" s="2194"/>
      <c r="O69" s="2195" t="s">
        <v>2394</v>
      </c>
      <c r="P69" s="2196"/>
      <c r="Q69" s="2196"/>
      <c r="R69" s="2196"/>
      <c r="S69" s="2196"/>
      <c r="T69" s="2196"/>
      <c r="U69" s="2196"/>
      <c r="V69" s="2196"/>
      <c r="W69" s="2196"/>
      <c r="X69" s="2196"/>
      <c r="Y69" s="2196"/>
      <c r="Z69" s="2196"/>
      <c r="AA69" s="2197"/>
      <c r="AB69" s="1190"/>
      <c r="AC69" s="2198" t="s">
        <v>2393</v>
      </c>
      <c r="AD69" s="2199"/>
      <c r="AE69" s="2199"/>
      <c r="AF69" s="2199"/>
      <c r="AG69" s="2199"/>
      <c r="AH69" s="2199"/>
      <c r="AI69" s="2199"/>
      <c r="AJ69" s="2199"/>
      <c r="AK69" s="2199"/>
      <c r="AL69" s="2199"/>
      <c r="AM69" s="2199"/>
      <c r="AN69" s="2199"/>
      <c r="AO69" s="2199"/>
      <c r="AP69" s="2199"/>
      <c r="AQ69" s="2199"/>
      <c r="AR69" s="2199"/>
      <c r="AS69" s="2199"/>
      <c r="AT69" s="2199"/>
      <c r="AU69" s="2199"/>
      <c r="AV69" s="2192" t="s">
        <v>669</v>
      </c>
      <c r="AW69" s="2098"/>
      <c r="AX69" s="2098"/>
      <c r="AY69" s="2098"/>
      <c r="AZ69" s="2098"/>
      <c r="BA69" s="2098"/>
      <c r="BB69" s="2098"/>
      <c r="BC69" s="2099"/>
      <c r="BD69" s="1190"/>
      <c r="BE69" s="1194"/>
      <c r="BM69" s="1200" t="s">
        <v>545</v>
      </c>
    </row>
    <row r="70" spans="1:94" ht="15.75" customHeight="1">
      <c r="A70" s="1190"/>
      <c r="B70" s="2175" t="s">
        <v>2392</v>
      </c>
      <c r="C70" s="2176"/>
      <c r="D70" s="2176"/>
      <c r="E70" s="2176"/>
      <c r="F70" s="2176"/>
      <c r="G70" s="2176"/>
      <c r="H70" s="2176"/>
      <c r="I70" s="2176"/>
      <c r="J70" s="2176"/>
      <c r="K70" s="2176"/>
      <c r="L70" s="2176"/>
      <c r="M70" s="2176"/>
      <c r="N70" s="2176"/>
      <c r="O70" s="2049">
        <v>0</v>
      </c>
      <c r="P70" s="2049"/>
      <c r="Q70" s="2049"/>
      <c r="R70" s="2049"/>
      <c r="S70" s="2049"/>
      <c r="T70" s="2049"/>
      <c r="U70" s="2049"/>
      <c r="V70" s="2049"/>
      <c r="W70" s="2049"/>
      <c r="X70" s="2049"/>
      <c r="Y70" s="2049"/>
      <c r="Z70" s="2049"/>
      <c r="AA70" s="2177"/>
      <c r="AB70" s="1190"/>
      <c r="AC70" s="2087" t="s">
        <v>2391</v>
      </c>
      <c r="AD70" s="2043"/>
      <c r="AE70" s="2043"/>
      <c r="AF70" s="2186"/>
      <c r="AG70" s="2186"/>
      <c r="AH70" s="2186"/>
      <c r="AI70" s="2186"/>
      <c r="AJ70" s="2186"/>
      <c r="AK70" s="2186"/>
      <c r="AL70" s="2186"/>
      <c r="AM70" s="2186"/>
      <c r="AN70" s="2186"/>
      <c r="AO70" s="2186"/>
      <c r="AP70" s="2186"/>
      <c r="AQ70" s="2186"/>
      <c r="AR70" s="2186"/>
      <c r="AS70" s="2186"/>
      <c r="AT70" s="2186"/>
      <c r="AU70" s="2187"/>
      <c r="AV70" s="1190"/>
      <c r="AW70" s="1190"/>
      <c r="AX70" s="1190"/>
      <c r="AY70" s="1190"/>
      <c r="AZ70" s="1190"/>
      <c r="BA70" s="1190"/>
      <c r="BB70" s="1190"/>
      <c r="BC70" s="1190"/>
      <c r="BD70" s="1190"/>
      <c r="BE70" s="1194"/>
      <c r="BM70" s="1201" t="s">
        <v>669</v>
      </c>
    </row>
    <row r="71" spans="1:94" ht="15.75" customHeight="1" thickBot="1">
      <c r="A71" s="1190"/>
      <c r="B71" s="2175" t="s">
        <v>2390</v>
      </c>
      <c r="C71" s="2176"/>
      <c r="D71" s="2176"/>
      <c r="E71" s="2176"/>
      <c r="F71" s="2176"/>
      <c r="G71" s="2176"/>
      <c r="H71" s="2176"/>
      <c r="I71" s="2176"/>
      <c r="J71" s="2176"/>
      <c r="K71" s="2176"/>
      <c r="L71" s="2176"/>
      <c r="M71" s="2176"/>
      <c r="N71" s="2176"/>
      <c r="O71" s="2049">
        <v>0</v>
      </c>
      <c r="P71" s="2049"/>
      <c r="Q71" s="2049"/>
      <c r="R71" s="2049"/>
      <c r="S71" s="2049"/>
      <c r="T71" s="2049"/>
      <c r="U71" s="2049"/>
      <c r="V71" s="2049"/>
      <c r="W71" s="2049"/>
      <c r="X71" s="2049"/>
      <c r="Y71" s="2049"/>
      <c r="Z71" s="2049"/>
      <c r="AA71" s="2177"/>
      <c r="AB71" s="1190"/>
      <c r="AC71" s="2188" t="s">
        <v>2389</v>
      </c>
      <c r="AD71" s="2189"/>
      <c r="AE71" s="2189"/>
      <c r="AF71" s="2190"/>
      <c r="AG71" s="2190"/>
      <c r="AH71" s="2190"/>
      <c r="AI71" s="2190"/>
      <c r="AJ71" s="2190"/>
      <c r="AK71" s="2190"/>
      <c r="AL71" s="2190"/>
      <c r="AM71" s="2190"/>
      <c r="AN71" s="2190"/>
      <c r="AO71" s="2190"/>
      <c r="AP71" s="2190"/>
      <c r="AQ71" s="2190"/>
      <c r="AR71" s="2190"/>
      <c r="AS71" s="2190"/>
      <c r="AT71" s="2190"/>
      <c r="AU71" s="2191"/>
      <c r="AV71" s="1190"/>
      <c r="AW71" s="1190"/>
      <c r="AX71" s="1190"/>
      <c r="AY71" s="1190"/>
      <c r="AZ71" s="1190"/>
      <c r="BA71" s="1190"/>
      <c r="BB71" s="1190"/>
      <c r="BC71" s="1190"/>
      <c r="BD71" s="1190"/>
      <c r="BE71" s="1194"/>
      <c r="BM71" s="1187" t="s">
        <v>2388</v>
      </c>
    </row>
    <row r="72" spans="1:94" ht="15.75" customHeight="1">
      <c r="A72" s="1190"/>
      <c r="B72" s="2175" t="s">
        <v>2387</v>
      </c>
      <c r="C72" s="2176"/>
      <c r="D72" s="2176"/>
      <c r="E72" s="2176"/>
      <c r="F72" s="2176"/>
      <c r="G72" s="2176"/>
      <c r="H72" s="2176"/>
      <c r="I72" s="2176"/>
      <c r="J72" s="2176"/>
      <c r="K72" s="2176"/>
      <c r="L72" s="2176"/>
      <c r="M72" s="2176"/>
      <c r="N72" s="2176"/>
      <c r="O72" s="2049">
        <v>0</v>
      </c>
      <c r="P72" s="2049"/>
      <c r="Q72" s="2049"/>
      <c r="R72" s="2049"/>
      <c r="S72" s="2049"/>
      <c r="T72" s="2049"/>
      <c r="U72" s="2049"/>
      <c r="V72" s="2049"/>
      <c r="W72" s="2049"/>
      <c r="X72" s="2049"/>
      <c r="Y72" s="2049"/>
      <c r="Z72" s="2049"/>
      <c r="AA72" s="2177"/>
      <c r="AB72" s="1190"/>
      <c r="AC72" s="2178" t="s">
        <v>2386</v>
      </c>
      <c r="AD72" s="2179"/>
      <c r="AE72" s="2179"/>
      <c r="AF72" s="2179"/>
      <c r="AG72" s="2179"/>
      <c r="AH72" s="2179"/>
      <c r="AI72" s="2179"/>
      <c r="AJ72" s="2179"/>
      <c r="AK72" s="2179"/>
      <c r="AL72" s="2179"/>
      <c r="AM72" s="2179"/>
      <c r="AN72" s="2179"/>
      <c r="AO72" s="2179"/>
      <c r="AP72" s="2179"/>
      <c r="AQ72" s="2179"/>
      <c r="AR72" s="2179"/>
      <c r="AS72" s="2179"/>
      <c r="AT72" s="2179"/>
      <c r="AU72" s="2179"/>
      <c r="AV72" s="2043"/>
      <c r="AW72" s="2043"/>
      <c r="AX72" s="2043"/>
      <c r="AY72" s="2043"/>
      <c r="AZ72" s="2043"/>
      <c r="BA72" s="2043"/>
      <c r="BB72" s="2043"/>
      <c r="BC72" s="2044"/>
      <c r="BD72" s="1190"/>
      <c r="BE72" s="1194"/>
    </row>
    <row r="73" spans="1:94" ht="15.75" customHeight="1">
      <c r="A73" s="1190"/>
      <c r="B73" s="2180" t="s">
        <v>2385</v>
      </c>
      <c r="C73" s="2181"/>
      <c r="D73" s="2181"/>
      <c r="E73" s="2181"/>
      <c r="F73" s="2181"/>
      <c r="G73" s="2181"/>
      <c r="H73" s="2181"/>
      <c r="I73" s="2181"/>
      <c r="J73" s="2181"/>
      <c r="K73" s="2181"/>
      <c r="L73" s="2181"/>
      <c r="M73" s="2181"/>
      <c r="N73" s="2181"/>
      <c r="O73" s="2049">
        <v>0</v>
      </c>
      <c r="P73" s="2049"/>
      <c r="Q73" s="2049"/>
      <c r="R73" s="2049"/>
      <c r="S73" s="2049"/>
      <c r="T73" s="2049"/>
      <c r="U73" s="2049"/>
      <c r="V73" s="2049"/>
      <c r="W73" s="2049"/>
      <c r="X73" s="2049"/>
      <c r="Y73" s="2049"/>
      <c r="Z73" s="2049"/>
      <c r="AA73" s="2177"/>
      <c r="AB73" s="1190"/>
      <c r="AC73" s="2058" t="s">
        <v>2330</v>
      </c>
      <c r="AD73" s="2059"/>
      <c r="AE73" s="2059"/>
      <c r="AF73" s="2059"/>
      <c r="AG73" s="2059"/>
      <c r="AH73" s="2059"/>
      <c r="AI73" s="2059"/>
      <c r="AJ73" s="2059"/>
      <c r="AK73" s="2059"/>
      <c r="AL73" s="2059"/>
      <c r="AM73" s="2059"/>
      <c r="AN73" s="2059"/>
      <c r="AO73" s="2059"/>
      <c r="AP73" s="2059"/>
      <c r="AQ73" s="2059"/>
      <c r="AR73" s="2059"/>
      <c r="AS73" s="2059"/>
      <c r="AT73" s="2059"/>
      <c r="AU73" s="2059"/>
      <c r="AV73" s="2059"/>
      <c r="AW73" s="2059"/>
      <c r="AX73" s="2059"/>
      <c r="AY73" s="2059"/>
      <c r="AZ73" s="2059"/>
      <c r="BA73" s="2059"/>
      <c r="BB73" s="2059"/>
      <c r="BC73" s="2060"/>
      <c r="BD73" s="1190"/>
      <c r="BE73" s="1194"/>
      <c r="CK73" s="1188"/>
      <c r="CL73" s="1188"/>
      <c r="CM73" s="1188"/>
      <c r="CN73" s="1188"/>
      <c r="CO73" s="1188"/>
      <c r="CP73" s="1188"/>
    </row>
    <row r="74" spans="1:94" ht="15.75" customHeight="1">
      <c r="A74" s="1190"/>
      <c r="B74" s="2003"/>
      <c r="C74" s="2004"/>
      <c r="D74" s="2004"/>
      <c r="E74" s="2004"/>
      <c r="F74" s="2004"/>
      <c r="G74" s="2004"/>
      <c r="H74" s="2004"/>
      <c r="I74" s="2004"/>
      <c r="J74" s="2004"/>
      <c r="K74" s="2004"/>
      <c r="L74" s="2004"/>
      <c r="M74" s="2004"/>
      <c r="N74" s="2004"/>
      <c r="O74" s="2049"/>
      <c r="P74" s="2049"/>
      <c r="Q74" s="2049"/>
      <c r="R74" s="2049"/>
      <c r="S74" s="2049"/>
      <c r="T74" s="2049"/>
      <c r="U74" s="2049"/>
      <c r="V74" s="2049"/>
      <c r="W74" s="2049"/>
      <c r="X74" s="2049"/>
      <c r="Y74" s="2049"/>
      <c r="Z74" s="2049"/>
      <c r="AA74" s="2177"/>
      <c r="AB74" s="1190"/>
      <c r="AC74" s="2058"/>
      <c r="AD74" s="2059"/>
      <c r="AE74" s="2059"/>
      <c r="AF74" s="2059"/>
      <c r="AG74" s="2059"/>
      <c r="AH74" s="2059"/>
      <c r="AI74" s="2059"/>
      <c r="AJ74" s="2059"/>
      <c r="AK74" s="2059"/>
      <c r="AL74" s="2059"/>
      <c r="AM74" s="2059"/>
      <c r="AN74" s="2059"/>
      <c r="AO74" s="2059"/>
      <c r="AP74" s="2059"/>
      <c r="AQ74" s="2059"/>
      <c r="AR74" s="2059"/>
      <c r="AS74" s="2059"/>
      <c r="AT74" s="2059"/>
      <c r="AU74" s="2059"/>
      <c r="AV74" s="2059"/>
      <c r="AW74" s="2059"/>
      <c r="AX74" s="2059"/>
      <c r="AY74" s="2059"/>
      <c r="AZ74" s="2059"/>
      <c r="BA74" s="2059"/>
      <c r="BB74" s="2059"/>
      <c r="BC74" s="2060"/>
      <c r="BD74" s="1190"/>
      <c r="BE74" s="1194"/>
      <c r="CK74" s="1188"/>
      <c r="CL74" s="1188"/>
      <c r="CM74" s="1188"/>
      <c r="CN74" s="1188"/>
      <c r="CO74" s="1188"/>
      <c r="CP74" s="1188"/>
    </row>
    <row r="75" spans="1:94" ht="15.75" customHeight="1" thickBot="1">
      <c r="A75" s="1190"/>
      <c r="B75" s="2182" t="s">
        <v>124</v>
      </c>
      <c r="C75" s="2183"/>
      <c r="D75" s="2183"/>
      <c r="E75" s="2183"/>
      <c r="F75" s="2183"/>
      <c r="G75" s="2183"/>
      <c r="H75" s="2183"/>
      <c r="I75" s="2183"/>
      <c r="J75" s="2183"/>
      <c r="K75" s="2183"/>
      <c r="L75" s="2183"/>
      <c r="M75" s="2183"/>
      <c r="N75" s="2183"/>
      <c r="O75" s="2184">
        <f>SUM(O70:AA74)</f>
        <v>0</v>
      </c>
      <c r="P75" s="2184"/>
      <c r="Q75" s="2184"/>
      <c r="R75" s="2184"/>
      <c r="S75" s="2184"/>
      <c r="T75" s="2184"/>
      <c r="U75" s="2184"/>
      <c r="V75" s="2184"/>
      <c r="W75" s="2184"/>
      <c r="X75" s="2184"/>
      <c r="Y75" s="2184"/>
      <c r="Z75" s="2184"/>
      <c r="AA75" s="2185"/>
      <c r="AB75" s="1190"/>
      <c r="AC75" s="2058"/>
      <c r="AD75" s="2059"/>
      <c r="AE75" s="2059"/>
      <c r="AF75" s="2059"/>
      <c r="AG75" s="2059"/>
      <c r="AH75" s="2059"/>
      <c r="AI75" s="2059"/>
      <c r="AJ75" s="2059"/>
      <c r="AK75" s="2059"/>
      <c r="AL75" s="2059"/>
      <c r="AM75" s="2059"/>
      <c r="AN75" s="2059"/>
      <c r="AO75" s="2059"/>
      <c r="AP75" s="2059"/>
      <c r="AQ75" s="2059"/>
      <c r="AR75" s="2059"/>
      <c r="AS75" s="2059"/>
      <c r="AT75" s="2059"/>
      <c r="AU75" s="2059"/>
      <c r="AV75" s="2059"/>
      <c r="AW75" s="2059"/>
      <c r="AX75" s="2059"/>
      <c r="AY75" s="2059"/>
      <c r="AZ75" s="2059"/>
      <c r="BA75" s="2059"/>
      <c r="BB75" s="2059"/>
      <c r="BC75" s="206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8"/>
      <c r="AD76" s="2059"/>
      <c r="AE76" s="2059"/>
      <c r="AF76" s="2059"/>
      <c r="AG76" s="2059"/>
      <c r="AH76" s="2059"/>
      <c r="AI76" s="2059"/>
      <c r="AJ76" s="2059"/>
      <c r="AK76" s="2059"/>
      <c r="AL76" s="2059"/>
      <c r="AM76" s="2059"/>
      <c r="AN76" s="2059"/>
      <c r="AO76" s="2059"/>
      <c r="AP76" s="2059"/>
      <c r="AQ76" s="2059"/>
      <c r="AR76" s="2059"/>
      <c r="AS76" s="2059"/>
      <c r="AT76" s="2059"/>
      <c r="AU76" s="2059"/>
      <c r="AV76" s="2059"/>
      <c r="AW76" s="2059"/>
      <c r="AX76" s="2059"/>
      <c r="AY76" s="2059"/>
      <c r="AZ76" s="2059"/>
      <c r="BA76" s="2059"/>
      <c r="BB76" s="2059"/>
      <c r="BC76" s="206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61"/>
      <c r="AD77" s="2062"/>
      <c r="AE77" s="2062"/>
      <c r="AF77" s="2062"/>
      <c r="AG77" s="2062"/>
      <c r="AH77" s="2062"/>
      <c r="AI77" s="2062"/>
      <c r="AJ77" s="2062"/>
      <c r="AK77" s="2062"/>
      <c r="AL77" s="2062"/>
      <c r="AM77" s="2062"/>
      <c r="AN77" s="2062"/>
      <c r="AO77" s="2062"/>
      <c r="AP77" s="2062"/>
      <c r="AQ77" s="2062"/>
      <c r="AR77" s="2062"/>
      <c r="AS77" s="2062"/>
      <c r="AT77" s="2062"/>
      <c r="AU77" s="2062"/>
      <c r="AV77" s="2062"/>
      <c r="AW77" s="2062"/>
      <c r="AX77" s="2062"/>
      <c r="AY77" s="2062"/>
      <c r="AZ77" s="2062"/>
      <c r="BA77" s="2062"/>
      <c r="BB77" s="2062"/>
      <c r="BC77" s="2063"/>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60"/>
      <c r="G79" s="2161"/>
      <c r="H79" s="2161"/>
      <c r="I79" s="2161"/>
      <c r="J79" s="2161"/>
      <c r="K79" s="2161"/>
      <c r="L79" s="2161"/>
      <c r="M79" s="2161"/>
      <c r="N79" s="2161"/>
      <c r="O79" s="2161"/>
      <c r="P79" s="2161"/>
      <c r="Q79" s="2161"/>
      <c r="R79" s="2161"/>
      <c r="S79" s="2161"/>
      <c r="T79" s="21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63" t="s">
        <v>2383</v>
      </c>
      <c r="C80" s="2164"/>
      <c r="D80" s="2164"/>
      <c r="E80" s="2164"/>
      <c r="F80" s="2164"/>
      <c r="G80" s="2164"/>
      <c r="H80" s="2164"/>
      <c r="I80" s="2164"/>
      <c r="J80" s="2164"/>
      <c r="K80" s="2164"/>
      <c r="L80" s="2164"/>
      <c r="M80" s="2164"/>
      <c r="N80" s="2164"/>
      <c r="O80" s="2164"/>
      <c r="P80" s="2164"/>
      <c r="Q80" s="2164"/>
      <c r="R80" s="2166" t="str">
        <f>IFERROR(INDEX(BR96:BR98,MATCH(F79,$BQ$96:$BQ$98,0))/SUM($BR$96:$BR$98),"")</f>
        <v/>
      </c>
      <c r="S80" s="2167"/>
      <c r="T80" s="21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9" t="s">
        <v>2382</v>
      </c>
      <c r="C81" s="2170"/>
      <c r="D81" s="2170"/>
      <c r="E81" s="2170"/>
      <c r="F81" s="2170"/>
      <c r="G81" s="2170"/>
      <c r="H81" s="2170"/>
      <c r="I81" s="2170"/>
      <c r="J81" s="2170"/>
      <c r="K81" s="2170"/>
      <c r="L81" s="2170"/>
      <c r="M81" s="2170"/>
      <c r="N81" s="2170"/>
      <c r="O81" s="2170"/>
      <c r="P81" s="2170"/>
      <c r="Q81" s="2170"/>
      <c r="R81" s="2151" t="s">
        <v>2188</v>
      </c>
      <c r="S81" s="2152"/>
      <c r="T81" s="215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72" t="s">
        <v>2381</v>
      </c>
      <c r="C83" s="2173"/>
      <c r="D83" s="2173"/>
      <c r="E83" s="2173"/>
      <c r="F83" s="2173"/>
      <c r="G83" s="2173"/>
      <c r="H83" s="2173"/>
      <c r="I83" s="2173"/>
      <c r="J83" s="2173"/>
      <c r="K83" s="2173"/>
      <c r="L83" s="2173"/>
      <c r="M83" s="2173"/>
      <c r="N83" s="2173"/>
      <c r="O83" s="2173"/>
      <c r="P83" s="2173"/>
      <c r="Q83" s="2173"/>
      <c r="R83" s="2173"/>
      <c r="S83" s="2173"/>
      <c r="T83" s="2173"/>
      <c r="U83" s="2173"/>
      <c r="V83" s="2173"/>
      <c r="W83" s="2173"/>
      <c r="X83" s="2173"/>
      <c r="Y83" s="2173"/>
      <c r="Z83" s="2173"/>
      <c r="AA83" s="2173"/>
      <c r="AB83" s="2173"/>
      <c r="AC83" s="2173"/>
      <c r="AD83" s="2173"/>
      <c r="AE83" s="2173"/>
      <c r="AF83" s="2173"/>
      <c r="AG83" s="2173"/>
      <c r="AH83" s="2174"/>
      <c r="AI83" s="1190"/>
      <c r="AJ83" s="2139" t="s">
        <v>2380</v>
      </c>
      <c r="AK83" s="2140"/>
      <c r="AL83" s="2140"/>
      <c r="AM83" s="2140"/>
      <c r="AN83" s="2140"/>
      <c r="AO83" s="2140"/>
      <c r="AP83" s="2140"/>
      <c r="AQ83" s="2140"/>
      <c r="AR83" s="2140"/>
      <c r="AS83" s="2140"/>
      <c r="AT83" s="2140"/>
      <c r="AU83" s="2140"/>
      <c r="AV83" s="2140"/>
      <c r="AW83" s="2140"/>
      <c r="AX83" s="2140"/>
      <c r="AY83" s="2156" t="s">
        <v>545</v>
      </c>
      <c r="AZ83" s="2156"/>
      <c r="BA83" s="2156"/>
      <c r="BB83" s="2157"/>
      <c r="BC83" s="1190"/>
      <c r="BD83" s="1190"/>
      <c r="BE83" s="1194"/>
      <c r="CK83" s="1188"/>
      <c r="CL83" s="1188"/>
      <c r="CM83" s="1188"/>
      <c r="CN83" s="1188"/>
      <c r="CO83" s="1188"/>
      <c r="CP83" s="1188"/>
    </row>
    <row r="84" spans="1:94" ht="15.75" customHeight="1">
      <c r="A84" s="1190"/>
      <c r="B84" s="2150"/>
      <c r="C84" s="2118"/>
      <c r="D84" s="2118"/>
      <c r="E84" s="2118"/>
      <c r="F84" s="2118"/>
      <c r="G84" s="2118"/>
      <c r="H84" s="2118"/>
      <c r="I84" s="2118" t="s">
        <v>2370</v>
      </c>
      <c r="J84" s="2118"/>
      <c r="K84" s="2118"/>
      <c r="L84" s="2118"/>
      <c r="M84" s="2118"/>
      <c r="N84" s="2118"/>
      <c r="O84" s="2118" t="s">
        <v>2346</v>
      </c>
      <c r="P84" s="2118"/>
      <c r="Q84" s="2118"/>
      <c r="R84" s="2118"/>
      <c r="S84" s="2118"/>
      <c r="T84" s="2118"/>
      <c r="U84" s="2118"/>
      <c r="V84" s="2154" t="s">
        <v>2345</v>
      </c>
      <c r="W84" s="2154"/>
      <c r="X84" s="2154"/>
      <c r="Y84" s="2154"/>
      <c r="Z84" s="2154"/>
      <c r="AA84" s="2154"/>
      <c r="AB84" s="2088" t="s">
        <v>2369</v>
      </c>
      <c r="AC84" s="2088"/>
      <c r="AD84" s="2088"/>
      <c r="AE84" s="2088"/>
      <c r="AF84" s="2088"/>
      <c r="AG84" s="2088"/>
      <c r="AH84" s="2155"/>
      <c r="AI84" s="1190"/>
      <c r="AJ84" s="2142"/>
      <c r="AK84" s="2143"/>
      <c r="AL84" s="2143"/>
      <c r="AM84" s="2143"/>
      <c r="AN84" s="2143"/>
      <c r="AO84" s="2143"/>
      <c r="AP84" s="2143"/>
      <c r="AQ84" s="2143"/>
      <c r="AR84" s="2143"/>
      <c r="AS84" s="2143"/>
      <c r="AT84" s="2143"/>
      <c r="AU84" s="2143"/>
      <c r="AV84" s="2143"/>
      <c r="AW84" s="2143"/>
      <c r="AX84" s="2143"/>
      <c r="AY84" s="2158"/>
      <c r="AZ84" s="2158"/>
      <c r="BA84" s="2158"/>
      <c r="BB84" s="2159"/>
      <c r="BC84" s="1190"/>
      <c r="BD84" s="1190"/>
      <c r="BE84" s="1194"/>
      <c r="CK84" s="1188"/>
      <c r="CL84" s="1188"/>
      <c r="CM84" s="1188"/>
      <c r="CN84" s="1188"/>
      <c r="CO84" s="1188"/>
      <c r="CP84" s="1188"/>
    </row>
    <row r="85" spans="1:94" ht="15.75" customHeight="1">
      <c r="A85" s="1190"/>
      <c r="B85" s="2150"/>
      <c r="C85" s="2118"/>
      <c r="D85" s="2118"/>
      <c r="E85" s="2118"/>
      <c r="F85" s="2118"/>
      <c r="G85" s="2118"/>
      <c r="H85" s="2118"/>
      <c r="I85" s="2118"/>
      <c r="J85" s="2118"/>
      <c r="K85" s="2118"/>
      <c r="L85" s="2118"/>
      <c r="M85" s="2118"/>
      <c r="N85" s="2118"/>
      <c r="O85" s="2118"/>
      <c r="P85" s="2118"/>
      <c r="Q85" s="2118"/>
      <c r="R85" s="2118"/>
      <c r="S85" s="2118"/>
      <c r="T85" s="2118"/>
      <c r="U85" s="2118"/>
      <c r="V85" s="2154"/>
      <c r="W85" s="2154"/>
      <c r="X85" s="2154"/>
      <c r="Y85" s="2154"/>
      <c r="Z85" s="2154"/>
      <c r="AA85" s="2154"/>
      <c r="AB85" s="2088"/>
      <c r="AC85" s="2088"/>
      <c r="AD85" s="2088"/>
      <c r="AE85" s="2088"/>
      <c r="AF85" s="2088"/>
      <c r="AG85" s="2088"/>
      <c r="AH85" s="2155"/>
      <c r="AI85" s="1190"/>
      <c r="AJ85" s="2142"/>
      <c r="AK85" s="2143"/>
      <c r="AL85" s="2143"/>
      <c r="AM85" s="2143"/>
      <c r="AN85" s="2143"/>
      <c r="AO85" s="2143"/>
      <c r="AP85" s="2143"/>
      <c r="AQ85" s="2143"/>
      <c r="AR85" s="2143"/>
      <c r="AS85" s="2143"/>
      <c r="AT85" s="2143"/>
      <c r="AU85" s="2143"/>
      <c r="AV85" s="2143"/>
      <c r="AW85" s="2143"/>
      <c r="AX85" s="2143"/>
      <c r="AY85" s="2158"/>
      <c r="AZ85" s="2158"/>
      <c r="BA85" s="2158"/>
      <c r="BB85" s="2159"/>
      <c r="BC85" s="1190"/>
      <c r="BD85" s="1190"/>
      <c r="BE85" s="1194"/>
      <c r="CK85" s="1188"/>
      <c r="CL85" s="1188"/>
      <c r="CM85" s="1188"/>
      <c r="CN85" s="1188"/>
      <c r="CO85" s="1188"/>
      <c r="CP85" s="1188"/>
    </row>
    <row r="86" spans="1:94" ht="15.75" customHeight="1">
      <c r="A86" s="1190"/>
      <c r="B86" s="2150" t="s">
        <v>2368</v>
      </c>
      <c r="C86" s="2118"/>
      <c r="D86" s="2118"/>
      <c r="E86" s="2118"/>
      <c r="F86" s="2118"/>
      <c r="G86" s="2118"/>
      <c r="H86" s="2118"/>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0"/>
      <c r="AJ86" s="2142"/>
      <c r="AK86" s="2143"/>
      <c r="AL86" s="2143"/>
      <c r="AM86" s="2143"/>
      <c r="AN86" s="2143"/>
      <c r="AO86" s="2143"/>
      <c r="AP86" s="2143"/>
      <c r="AQ86" s="2143"/>
      <c r="AR86" s="2143"/>
      <c r="AS86" s="2143"/>
      <c r="AT86" s="2143"/>
      <c r="AU86" s="2143"/>
      <c r="AV86" s="2143"/>
      <c r="AW86" s="2143"/>
      <c r="AX86" s="2143"/>
      <c r="AY86" s="2158"/>
      <c r="AZ86" s="2158"/>
      <c r="BA86" s="2158"/>
      <c r="BB86" s="2159"/>
      <c r="BC86" s="1190"/>
      <c r="BD86" s="1190"/>
      <c r="BE86" s="1194"/>
      <c r="CK86" s="1188"/>
      <c r="CL86" s="1188"/>
      <c r="CM86" s="1188"/>
      <c r="CN86" s="1188"/>
      <c r="CO86" s="1188"/>
      <c r="CP86" s="1188"/>
    </row>
    <row r="87" spans="1:94" ht="15.75" customHeight="1">
      <c r="A87" s="1190"/>
      <c r="B87" s="2150" t="s">
        <v>2367</v>
      </c>
      <c r="C87" s="2118"/>
      <c r="D87" s="2118"/>
      <c r="E87" s="2118"/>
      <c r="F87" s="2118"/>
      <c r="G87" s="2118"/>
      <c r="H87" s="2118"/>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0"/>
      <c r="AJ87" s="2058" t="s">
        <v>2374</v>
      </c>
      <c r="AK87" s="2059"/>
      <c r="AL87" s="2059"/>
      <c r="AM87" s="2059"/>
      <c r="AN87" s="2059"/>
      <c r="AO87" s="2059"/>
      <c r="AP87" s="2059"/>
      <c r="AQ87" s="2059"/>
      <c r="AR87" s="2059"/>
      <c r="AS87" s="2059"/>
      <c r="AT87" s="2059"/>
      <c r="AU87" s="2059"/>
      <c r="AV87" s="2059"/>
      <c r="AW87" s="2059"/>
      <c r="AX87" s="2059"/>
      <c r="AY87" s="2059"/>
      <c r="AZ87" s="2059"/>
      <c r="BA87" s="2059"/>
      <c r="BB87" s="2060"/>
      <c r="BC87" s="1190"/>
      <c r="BD87" s="1190"/>
      <c r="BE87" s="1194"/>
      <c r="CK87" s="1188"/>
      <c r="CL87" s="1188"/>
      <c r="CM87" s="1188"/>
      <c r="CN87" s="1188"/>
      <c r="CO87" s="1188"/>
      <c r="CP87" s="1188"/>
    </row>
    <row r="88" spans="1:94" ht="15.75" customHeight="1" thickBot="1">
      <c r="A88" s="1190"/>
      <c r="B88" s="2148" t="s">
        <v>2366</v>
      </c>
      <c r="C88" s="2149"/>
      <c r="D88" s="2149"/>
      <c r="E88" s="2149"/>
      <c r="F88" s="2149"/>
      <c r="G88" s="2149"/>
      <c r="H88" s="2149"/>
      <c r="I88" s="2085">
        <v>0</v>
      </c>
      <c r="J88" s="2085"/>
      <c r="K88" s="2085"/>
      <c r="L88" s="2085"/>
      <c r="M88" s="2085"/>
      <c r="N88" s="2085"/>
      <c r="O88" s="2085">
        <v>0</v>
      </c>
      <c r="P88" s="2085"/>
      <c r="Q88" s="2085"/>
      <c r="R88" s="2085"/>
      <c r="S88" s="2085"/>
      <c r="T88" s="2085"/>
      <c r="U88" s="2085"/>
      <c r="V88" s="2085">
        <v>0</v>
      </c>
      <c r="W88" s="2085"/>
      <c r="X88" s="2085"/>
      <c r="Y88" s="2085"/>
      <c r="Z88" s="2085"/>
      <c r="AA88" s="2085"/>
      <c r="AB88" s="2085">
        <v>0</v>
      </c>
      <c r="AC88" s="2085"/>
      <c r="AD88" s="2085"/>
      <c r="AE88" s="2085"/>
      <c r="AF88" s="2085"/>
      <c r="AG88" s="2085"/>
      <c r="AH88" s="2086"/>
      <c r="AI88" s="1190"/>
      <c r="AJ88" s="2061"/>
      <c r="AK88" s="2062"/>
      <c r="AL88" s="2062"/>
      <c r="AM88" s="2062"/>
      <c r="AN88" s="2062"/>
      <c r="AO88" s="2062"/>
      <c r="AP88" s="2062"/>
      <c r="AQ88" s="2062"/>
      <c r="AR88" s="2062"/>
      <c r="AS88" s="2062"/>
      <c r="AT88" s="2062"/>
      <c r="AU88" s="2062"/>
      <c r="AV88" s="2062"/>
      <c r="AW88" s="2062"/>
      <c r="AX88" s="2062"/>
      <c r="AY88" s="2062"/>
      <c r="AZ88" s="2062"/>
      <c r="BA88" s="2062"/>
      <c r="BB88" s="206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60"/>
      <c r="G92" s="2161"/>
      <c r="H92" s="2161"/>
      <c r="I92" s="2161"/>
      <c r="J92" s="2161"/>
      <c r="K92" s="2161"/>
      <c r="L92" s="2161"/>
      <c r="M92" s="2161"/>
      <c r="N92" s="2161"/>
      <c r="O92" s="2161"/>
      <c r="P92" s="2161"/>
      <c r="Q92" s="2161"/>
      <c r="R92" s="2161"/>
      <c r="S92" s="2161"/>
      <c r="T92" s="21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63" t="s">
        <v>2378</v>
      </c>
      <c r="C93" s="2164"/>
      <c r="D93" s="2164"/>
      <c r="E93" s="2164"/>
      <c r="F93" s="2164"/>
      <c r="G93" s="2164"/>
      <c r="H93" s="2164"/>
      <c r="I93" s="2164"/>
      <c r="J93" s="2164"/>
      <c r="K93" s="2164"/>
      <c r="L93" s="2164"/>
      <c r="M93" s="2164"/>
      <c r="N93" s="2164"/>
      <c r="O93" s="2164"/>
      <c r="P93" s="2164"/>
      <c r="Q93" s="2165"/>
      <c r="R93" s="2166" t="str">
        <f>IFERROR(INDEX(BR96:BR98,MATCH(F92,$BQ$96:$BQ$98,0))/SUM($BR$96:$BR$98),"")</f>
        <v/>
      </c>
      <c r="S93" s="2167"/>
      <c r="T93" s="21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9" t="s">
        <v>2377</v>
      </c>
      <c r="C94" s="2170"/>
      <c r="D94" s="2170"/>
      <c r="E94" s="2170"/>
      <c r="F94" s="2170"/>
      <c r="G94" s="2170"/>
      <c r="H94" s="2170"/>
      <c r="I94" s="2170"/>
      <c r="J94" s="2170"/>
      <c r="K94" s="2170"/>
      <c r="L94" s="2170"/>
      <c r="M94" s="2170"/>
      <c r="N94" s="2170"/>
      <c r="O94" s="2170"/>
      <c r="P94" s="2170"/>
      <c r="Q94" s="2171"/>
      <c r="R94" s="2151" t="s">
        <v>2188</v>
      </c>
      <c r="S94" s="2152"/>
      <c r="T94" s="215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72" t="s">
        <v>2376</v>
      </c>
      <c r="C96" s="2173"/>
      <c r="D96" s="2173"/>
      <c r="E96" s="2173"/>
      <c r="F96" s="2173"/>
      <c r="G96" s="2173"/>
      <c r="H96" s="2173"/>
      <c r="I96" s="2173"/>
      <c r="J96" s="2173"/>
      <c r="K96" s="2173"/>
      <c r="L96" s="2173"/>
      <c r="M96" s="2173"/>
      <c r="N96" s="2173"/>
      <c r="O96" s="2173"/>
      <c r="P96" s="2173"/>
      <c r="Q96" s="2173"/>
      <c r="R96" s="2173"/>
      <c r="S96" s="2173"/>
      <c r="T96" s="2173"/>
      <c r="U96" s="2173"/>
      <c r="V96" s="2173"/>
      <c r="W96" s="2173"/>
      <c r="X96" s="2173"/>
      <c r="Y96" s="2173"/>
      <c r="Z96" s="2173"/>
      <c r="AA96" s="2173"/>
      <c r="AB96" s="2173"/>
      <c r="AC96" s="2173"/>
      <c r="AD96" s="2173"/>
      <c r="AE96" s="2173"/>
      <c r="AF96" s="2173"/>
      <c r="AG96" s="2173"/>
      <c r="AH96" s="2174"/>
      <c r="AI96" s="1190"/>
      <c r="AJ96" s="2139" t="s">
        <v>2375</v>
      </c>
      <c r="AK96" s="2140"/>
      <c r="AL96" s="2140"/>
      <c r="AM96" s="2140"/>
      <c r="AN96" s="2140"/>
      <c r="AO96" s="2140"/>
      <c r="AP96" s="2140"/>
      <c r="AQ96" s="2140"/>
      <c r="AR96" s="2140"/>
      <c r="AS96" s="2140"/>
      <c r="AT96" s="2140"/>
      <c r="AU96" s="2140"/>
      <c r="AV96" s="2140"/>
      <c r="AW96" s="2140"/>
      <c r="AX96" s="2140"/>
      <c r="AY96" s="2156" t="s">
        <v>545</v>
      </c>
      <c r="AZ96" s="2156"/>
      <c r="BA96" s="2156"/>
      <c r="BB96" s="2157"/>
      <c r="BC96" s="1190"/>
      <c r="BD96" s="1190"/>
      <c r="BE96" s="1194"/>
      <c r="BQ96" s="1256" t="str">
        <f>Application!M243&amp;IF(TRIM(Application!AA249)&lt;&gt;""," ("&amp;Application!AA249&amp;")","")</f>
        <v>Community Revitalization and Development Corporation</v>
      </c>
      <c r="BR96" s="1259">
        <f>Application!AH246</f>
        <v>5.1000000000000004E-4</v>
      </c>
      <c r="CM96" s="1188"/>
      <c r="CN96" s="1188"/>
      <c r="CO96" s="1188"/>
      <c r="CP96" s="1188"/>
    </row>
    <row r="97" spans="1:94" ht="15.75" customHeight="1">
      <c r="A97" s="1190"/>
      <c r="B97" s="2150"/>
      <c r="C97" s="2118"/>
      <c r="D97" s="2118"/>
      <c r="E97" s="2118"/>
      <c r="F97" s="2118"/>
      <c r="G97" s="2118"/>
      <c r="H97" s="2118"/>
      <c r="I97" s="2118" t="s">
        <v>2370</v>
      </c>
      <c r="J97" s="2118"/>
      <c r="K97" s="2118"/>
      <c r="L97" s="2118"/>
      <c r="M97" s="2118"/>
      <c r="N97" s="2118"/>
      <c r="O97" s="2118" t="s">
        <v>2346</v>
      </c>
      <c r="P97" s="2118"/>
      <c r="Q97" s="2118"/>
      <c r="R97" s="2118"/>
      <c r="S97" s="2118"/>
      <c r="T97" s="2118"/>
      <c r="U97" s="2118"/>
      <c r="V97" s="2154" t="s">
        <v>2345</v>
      </c>
      <c r="W97" s="2154"/>
      <c r="X97" s="2154"/>
      <c r="Y97" s="2154"/>
      <c r="Z97" s="2154"/>
      <c r="AA97" s="2154"/>
      <c r="AB97" s="2088" t="s">
        <v>2369</v>
      </c>
      <c r="AC97" s="2088"/>
      <c r="AD97" s="2088"/>
      <c r="AE97" s="2088"/>
      <c r="AF97" s="2088"/>
      <c r="AG97" s="2088"/>
      <c r="AH97" s="2155"/>
      <c r="AI97" s="1190"/>
      <c r="AJ97" s="2142"/>
      <c r="AK97" s="2143"/>
      <c r="AL97" s="2143"/>
      <c r="AM97" s="2143"/>
      <c r="AN97" s="2143"/>
      <c r="AO97" s="2143"/>
      <c r="AP97" s="2143"/>
      <c r="AQ97" s="2143"/>
      <c r="AR97" s="2143"/>
      <c r="AS97" s="2143"/>
      <c r="AT97" s="2143"/>
      <c r="AU97" s="2143"/>
      <c r="AV97" s="2143"/>
      <c r="AW97" s="2143"/>
      <c r="AX97" s="2143"/>
      <c r="AY97" s="2158"/>
      <c r="AZ97" s="2158"/>
      <c r="BA97" s="2158"/>
      <c r="BB97" s="2159"/>
      <c r="BC97" s="1190"/>
      <c r="BD97" s="1190"/>
      <c r="BE97" s="1194"/>
      <c r="BQ97" s="1256" t="str">
        <f>Application!M251&amp;IF(TRIM(Application!AA257)&lt;&gt;""," ("&amp;Application!AA257&amp;")","")</f>
        <v>Colorado Crest AGP LLC (CRP Affordable Housing and Community Development LLC)</v>
      </c>
      <c r="BR97" s="1259">
        <f>Application!AH254</f>
        <v>4.8999999999999998E-4</v>
      </c>
      <c r="CM97" s="1188"/>
      <c r="CN97" s="1188"/>
      <c r="CO97" s="1188"/>
      <c r="CP97" s="1188"/>
    </row>
    <row r="98" spans="1:94" ht="15.75" customHeight="1">
      <c r="A98" s="1190"/>
      <c r="B98" s="2150"/>
      <c r="C98" s="2118"/>
      <c r="D98" s="2118"/>
      <c r="E98" s="2118"/>
      <c r="F98" s="2118"/>
      <c r="G98" s="2118"/>
      <c r="H98" s="2118"/>
      <c r="I98" s="2118"/>
      <c r="J98" s="2118"/>
      <c r="K98" s="2118"/>
      <c r="L98" s="2118"/>
      <c r="M98" s="2118"/>
      <c r="N98" s="2118"/>
      <c r="O98" s="2118"/>
      <c r="P98" s="2118"/>
      <c r="Q98" s="2118"/>
      <c r="R98" s="2118"/>
      <c r="S98" s="2118"/>
      <c r="T98" s="2118"/>
      <c r="U98" s="2118"/>
      <c r="V98" s="2154"/>
      <c r="W98" s="2154"/>
      <c r="X98" s="2154"/>
      <c r="Y98" s="2154"/>
      <c r="Z98" s="2154"/>
      <c r="AA98" s="2154"/>
      <c r="AB98" s="2088"/>
      <c r="AC98" s="2088"/>
      <c r="AD98" s="2088"/>
      <c r="AE98" s="2088"/>
      <c r="AF98" s="2088"/>
      <c r="AG98" s="2088"/>
      <c r="AH98" s="2155"/>
      <c r="AI98" s="1190"/>
      <c r="AJ98" s="2142"/>
      <c r="AK98" s="2143"/>
      <c r="AL98" s="2143"/>
      <c r="AM98" s="2143"/>
      <c r="AN98" s="2143"/>
      <c r="AO98" s="2143"/>
      <c r="AP98" s="2143"/>
      <c r="AQ98" s="2143"/>
      <c r="AR98" s="2143"/>
      <c r="AS98" s="2143"/>
      <c r="AT98" s="2143"/>
      <c r="AU98" s="2143"/>
      <c r="AV98" s="2143"/>
      <c r="AW98" s="2143"/>
      <c r="AX98" s="2143"/>
      <c r="AY98" s="2158"/>
      <c r="AZ98" s="2158"/>
      <c r="BA98" s="2158"/>
      <c r="BB98" s="215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50" t="s">
        <v>2368</v>
      </c>
      <c r="C99" s="2118"/>
      <c r="D99" s="2118"/>
      <c r="E99" s="2118"/>
      <c r="F99" s="2118"/>
      <c r="G99" s="2118"/>
      <c r="H99" s="2118"/>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0"/>
      <c r="AJ99" s="2142"/>
      <c r="AK99" s="2143"/>
      <c r="AL99" s="2143"/>
      <c r="AM99" s="2143"/>
      <c r="AN99" s="2143"/>
      <c r="AO99" s="2143"/>
      <c r="AP99" s="2143"/>
      <c r="AQ99" s="2143"/>
      <c r="AR99" s="2143"/>
      <c r="AS99" s="2143"/>
      <c r="AT99" s="2143"/>
      <c r="AU99" s="2143"/>
      <c r="AV99" s="2143"/>
      <c r="AW99" s="2143"/>
      <c r="AX99" s="2143"/>
      <c r="AY99" s="2158"/>
      <c r="AZ99" s="2158"/>
      <c r="BA99" s="2158"/>
      <c r="BB99" s="2159"/>
      <c r="BC99" s="1190"/>
      <c r="BD99" s="1190"/>
      <c r="BE99" s="1194"/>
      <c r="CM99" s="1188"/>
      <c r="CN99" s="1188"/>
      <c r="CO99" s="1188"/>
      <c r="CP99" s="1188"/>
    </row>
    <row r="100" spans="1:94" ht="15.75" customHeight="1">
      <c r="A100" s="1190"/>
      <c r="B100" s="2150" t="s">
        <v>2367</v>
      </c>
      <c r="C100" s="2118"/>
      <c r="D100" s="2118"/>
      <c r="E100" s="2118"/>
      <c r="F100" s="2118"/>
      <c r="G100" s="2118"/>
      <c r="H100" s="2118"/>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0"/>
      <c r="AJ100" s="2058" t="s">
        <v>2374</v>
      </c>
      <c r="AK100" s="2059"/>
      <c r="AL100" s="2059"/>
      <c r="AM100" s="2059"/>
      <c r="AN100" s="2059"/>
      <c r="AO100" s="2059"/>
      <c r="AP100" s="2059"/>
      <c r="AQ100" s="2059"/>
      <c r="AR100" s="2059"/>
      <c r="AS100" s="2059"/>
      <c r="AT100" s="2059"/>
      <c r="AU100" s="2059"/>
      <c r="AV100" s="2059"/>
      <c r="AW100" s="2059"/>
      <c r="AX100" s="2059"/>
      <c r="AY100" s="2059"/>
      <c r="AZ100" s="2059"/>
      <c r="BA100" s="2059"/>
      <c r="BB100" s="2060"/>
      <c r="BC100" s="1190"/>
      <c r="BD100" s="1190"/>
      <c r="BE100" s="1194"/>
      <c r="CM100" s="1188"/>
      <c r="CN100" s="1188"/>
      <c r="CO100" s="1188"/>
      <c r="CP100" s="1188"/>
    </row>
    <row r="101" spans="1:94" ht="15.75" customHeight="1" thickBot="1">
      <c r="A101" s="1190"/>
      <c r="B101" s="2148" t="s">
        <v>2366</v>
      </c>
      <c r="C101" s="2149"/>
      <c r="D101" s="2149"/>
      <c r="E101" s="2149"/>
      <c r="F101" s="2149"/>
      <c r="G101" s="2149"/>
      <c r="H101" s="2149"/>
      <c r="I101" s="2085">
        <v>0</v>
      </c>
      <c r="J101" s="2085"/>
      <c r="K101" s="2085"/>
      <c r="L101" s="2085"/>
      <c r="M101" s="2085"/>
      <c r="N101" s="2085"/>
      <c r="O101" s="2085">
        <v>0</v>
      </c>
      <c r="P101" s="2085"/>
      <c r="Q101" s="2085"/>
      <c r="R101" s="2085"/>
      <c r="S101" s="2085"/>
      <c r="T101" s="2085"/>
      <c r="U101" s="2085"/>
      <c r="V101" s="2085">
        <v>0</v>
      </c>
      <c r="W101" s="2085"/>
      <c r="X101" s="2085"/>
      <c r="Y101" s="2085"/>
      <c r="Z101" s="2085"/>
      <c r="AA101" s="2085"/>
      <c r="AB101" s="2085">
        <v>0</v>
      </c>
      <c r="AC101" s="2085"/>
      <c r="AD101" s="2085"/>
      <c r="AE101" s="2085"/>
      <c r="AF101" s="2085"/>
      <c r="AG101" s="2085"/>
      <c r="AH101" s="2086"/>
      <c r="AI101" s="1190"/>
      <c r="AJ101" s="2061"/>
      <c r="AK101" s="2062"/>
      <c r="AL101" s="2062"/>
      <c r="AM101" s="2062"/>
      <c r="AN101" s="2062"/>
      <c r="AO101" s="2062"/>
      <c r="AP101" s="2062"/>
      <c r="AQ101" s="2062"/>
      <c r="AR101" s="2062"/>
      <c r="AS101" s="2062"/>
      <c r="AT101" s="2062"/>
      <c r="AU101" s="2062"/>
      <c r="AV101" s="2062"/>
      <c r="AW101" s="2062"/>
      <c r="AX101" s="2062"/>
      <c r="AY101" s="2062"/>
      <c r="AZ101" s="2062"/>
      <c r="BA101" s="2062"/>
      <c r="BB101" s="2063"/>
      <c r="BC101" s="1190"/>
      <c r="BD101" s="1190"/>
      <c r="BE101" s="1194"/>
      <c r="BQ101" s="1256" t="str">
        <f>Application!AA335</f>
        <v xml:space="preserve">Buckingham Property Management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12"/>
      <c r="G104" s="2113"/>
      <c r="H104" s="2113"/>
      <c r="I104" s="2113"/>
      <c r="J104" s="2113"/>
      <c r="K104" s="2113"/>
      <c r="L104" s="2113"/>
      <c r="M104" s="2113"/>
      <c r="N104" s="2113"/>
      <c r="O104" s="2113"/>
      <c r="P104" s="2113"/>
      <c r="Q104" s="2113"/>
      <c r="R104" s="211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51" t="str">
        <f>IFERROR(INDEX(BR96:BR98,MATCH(F104,$BQ$96:$BQ$98,0))/SUM($BR$96:$BR$98),"")</f>
        <v/>
      </c>
      <c r="P105" s="2152"/>
      <c r="Q105" s="2152"/>
      <c r="R105" s="215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41" t="s">
        <v>2371</v>
      </c>
      <c r="C107" s="2042"/>
      <c r="D107" s="2042"/>
      <c r="E107" s="2042"/>
      <c r="F107" s="2042"/>
      <c r="G107" s="2042"/>
      <c r="H107" s="2042"/>
      <c r="I107" s="2042"/>
      <c r="J107" s="2042"/>
      <c r="K107" s="2042"/>
      <c r="L107" s="2042"/>
      <c r="M107" s="2042"/>
      <c r="N107" s="2042"/>
      <c r="O107" s="2042"/>
      <c r="P107" s="2042"/>
      <c r="Q107" s="2042"/>
      <c r="R107" s="2042"/>
      <c r="S107" s="2042"/>
      <c r="T107" s="2042"/>
      <c r="U107" s="2042"/>
      <c r="V107" s="2042"/>
      <c r="W107" s="2042"/>
      <c r="X107" s="2042"/>
      <c r="Y107" s="2042"/>
      <c r="Z107" s="2042"/>
      <c r="AA107" s="2042"/>
      <c r="AB107" s="2042"/>
      <c r="AC107" s="2042"/>
      <c r="AD107" s="2042"/>
      <c r="AE107" s="2042"/>
      <c r="AF107" s="2042"/>
      <c r="AG107" s="2042"/>
      <c r="AH107" s="205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50"/>
      <c r="C108" s="2118"/>
      <c r="D108" s="2118"/>
      <c r="E108" s="2118"/>
      <c r="F108" s="2118"/>
      <c r="G108" s="2118"/>
      <c r="H108" s="2118"/>
      <c r="I108" s="2118" t="s">
        <v>2370</v>
      </c>
      <c r="J108" s="2118"/>
      <c r="K108" s="2118"/>
      <c r="L108" s="2118"/>
      <c r="M108" s="2118"/>
      <c r="N108" s="2118"/>
      <c r="O108" s="2118" t="s">
        <v>2346</v>
      </c>
      <c r="P108" s="2118"/>
      <c r="Q108" s="2118"/>
      <c r="R108" s="2118"/>
      <c r="S108" s="2118"/>
      <c r="T108" s="2118"/>
      <c r="U108" s="2118"/>
      <c r="V108" s="2154" t="s">
        <v>2345</v>
      </c>
      <c r="W108" s="2154"/>
      <c r="X108" s="2154"/>
      <c r="Y108" s="2154"/>
      <c r="Z108" s="2154"/>
      <c r="AA108" s="2154"/>
      <c r="AB108" s="2088" t="s">
        <v>2369</v>
      </c>
      <c r="AC108" s="2088"/>
      <c r="AD108" s="2088"/>
      <c r="AE108" s="2088"/>
      <c r="AF108" s="2088"/>
      <c r="AG108" s="2088"/>
      <c r="AH108" s="215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50"/>
      <c r="C109" s="2118"/>
      <c r="D109" s="2118"/>
      <c r="E109" s="2118"/>
      <c r="F109" s="2118"/>
      <c r="G109" s="2118"/>
      <c r="H109" s="2118"/>
      <c r="I109" s="2118"/>
      <c r="J109" s="2118"/>
      <c r="K109" s="2118"/>
      <c r="L109" s="2118"/>
      <c r="M109" s="2118"/>
      <c r="N109" s="2118"/>
      <c r="O109" s="2118"/>
      <c r="P109" s="2118"/>
      <c r="Q109" s="2118"/>
      <c r="R109" s="2118"/>
      <c r="S109" s="2118"/>
      <c r="T109" s="2118"/>
      <c r="U109" s="2118"/>
      <c r="V109" s="2154"/>
      <c r="W109" s="2154"/>
      <c r="X109" s="2154"/>
      <c r="Y109" s="2154"/>
      <c r="Z109" s="2154"/>
      <c r="AA109" s="2154"/>
      <c r="AB109" s="2088"/>
      <c r="AC109" s="2088"/>
      <c r="AD109" s="2088"/>
      <c r="AE109" s="2088"/>
      <c r="AF109" s="2088"/>
      <c r="AG109" s="2088"/>
      <c r="AH109" s="215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50" t="s">
        <v>2368</v>
      </c>
      <c r="C110" s="2118"/>
      <c r="D110" s="2118"/>
      <c r="E110" s="2118"/>
      <c r="F110" s="2118"/>
      <c r="G110" s="2118"/>
      <c r="H110" s="2118"/>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50" t="s">
        <v>2367</v>
      </c>
      <c r="C111" s="2118"/>
      <c r="D111" s="2118"/>
      <c r="E111" s="2118"/>
      <c r="F111" s="2118"/>
      <c r="G111" s="2118"/>
      <c r="H111" s="2118"/>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8" t="s">
        <v>2366</v>
      </c>
      <c r="C112" s="2149"/>
      <c r="D112" s="2149"/>
      <c r="E112" s="2149"/>
      <c r="F112" s="2149"/>
      <c r="G112" s="2149"/>
      <c r="H112" s="2149"/>
      <c r="I112" s="2085">
        <v>0</v>
      </c>
      <c r="J112" s="2085"/>
      <c r="K112" s="2085"/>
      <c r="L112" s="2085"/>
      <c r="M112" s="2085"/>
      <c r="N112" s="2085"/>
      <c r="O112" s="2085">
        <v>0</v>
      </c>
      <c r="P112" s="2085"/>
      <c r="Q112" s="2085"/>
      <c r="R112" s="2085"/>
      <c r="S112" s="2085"/>
      <c r="T112" s="2085"/>
      <c r="U112" s="2085"/>
      <c r="V112" s="2085">
        <v>0</v>
      </c>
      <c r="W112" s="2085"/>
      <c r="X112" s="2085"/>
      <c r="Y112" s="2085"/>
      <c r="Z112" s="2085"/>
      <c r="AA112" s="2085"/>
      <c r="AB112" s="2085">
        <v>0</v>
      </c>
      <c r="AC112" s="2085"/>
      <c r="AD112" s="2085"/>
      <c r="AE112" s="2085"/>
      <c r="AF112" s="2085"/>
      <c r="AG112" s="2085"/>
      <c r="AH112" s="208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12"/>
      <c r="G115" s="2113"/>
      <c r="H115" s="2113"/>
      <c r="I115" s="2113"/>
      <c r="J115" s="2113"/>
      <c r="K115" s="2113"/>
      <c r="L115" s="2113"/>
      <c r="M115" s="2113"/>
      <c r="N115" s="2113"/>
      <c r="O115" s="2113"/>
      <c r="P115" s="2113"/>
      <c r="Q115" s="2113"/>
      <c r="R115" s="211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3" t="s">
        <v>2364</v>
      </c>
      <c r="C117" s="2124"/>
      <c r="D117" s="2124"/>
      <c r="E117" s="2124"/>
      <c r="F117" s="2124"/>
      <c r="G117" s="2124"/>
      <c r="H117" s="2124"/>
      <c r="I117" s="2124"/>
      <c r="J117" s="2124"/>
      <c r="K117" s="2124"/>
      <c r="L117" s="2124"/>
      <c r="M117" s="2124"/>
      <c r="N117" s="2124"/>
      <c r="O117" s="2124"/>
      <c r="P117" s="2124"/>
      <c r="Q117" s="2124"/>
      <c r="R117" s="2124"/>
      <c r="S117" s="2124"/>
      <c r="T117" s="2124"/>
      <c r="U117" s="2127" t="s">
        <v>545</v>
      </c>
      <c r="V117" s="2127"/>
      <c r="W117" s="2127"/>
      <c r="X117" s="212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5"/>
      <c r="C118" s="2126"/>
      <c r="D118" s="2126"/>
      <c r="E118" s="2126"/>
      <c r="F118" s="2126"/>
      <c r="G118" s="2126"/>
      <c r="H118" s="2126"/>
      <c r="I118" s="2126"/>
      <c r="J118" s="2126"/>
      <c r="K118" s="2126"/>
      <c r="L118" s="2126"/>
      <c r="M118" s="2126"/>
      <c r="N118" s="2126"/>
      <c r="O118" s="2126"/>
      <c r="P118" s="2126"/>
      <c r="Q118" s="2126"/>
      <c r="R118" s="2126"/>
      <c r="S118" s="2126"/>
      <c r="T118" s="2126"/>
      <c r="U118" s="2129"/>
      <c r="V118" s="2129"/>
      <c r="W118" s="2129"/>
      <c r="X118" s="213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5"/>
      <c r="C119" s="2126"/>
      <c r="D119" s="2126"/>
      <c r="E119" s="2126"/>
      <c r="F119" s="2126"/>
      <c r="G119" s="2126"/>
      <c r="H119" s="2126"/>
      <c r="I119" s="2126"/>
      <c r="J119" s="2126"/>
      <c r="K119" s="2126"/>
      <c r="L119" s="2126"/>
      <c r="M119" s="2126"/>
      <c r="N119" s="2126"/>
      <c r="O119" s="2126"/>
      <c r="P119" s="2126"/>
      <c r="Q119" s="2126"/>
      <c r="R119" s="2126"/>
      <c r="S119" s="2126"/>
      <c r="T119" s="2126"/>
      <c r="U119" s="2129"/>
      <c r="V119" s="2129"/>
      <c r="W119" s="2129"/>
      <c r="X119" s="213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5"/>
      <c r="C120" s="2126"/>
      <c r="D120" s="2126"/>
      <c r="E120" s="2126"/>
      <c r="F120" s="2126"/>
      <c r="G120" s="2126"/>
      <c r="H120" s="2126"/>
      <c r="I120" s="2126"/>
      <c r="J120" s="2126"/>
      <c r="K120" s="2126"/>
      <c r="L120" s="2126"/>
      <c r="M120" s="2126"/>
      <c r="N120" s="2126"/>
      <c r="O120" s="2126"/>
      <c r="P120" s="2126"/>
      <c r="Q120" s="2126"/>
      <c r="R120" s="2126"/>
      <c r="S120" s="2126"/>
      <c r="T120" s="2126"/>
      <c r="U120" s="2129"/>
      <c r="V120" s="2129"/>
      <c r="W120" s="2129"/>
      <c r="X120" s="213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1" t="s">
        <v>2364</v>
      </c>
      <c r="C121" s="2132"/>
      <c r="D121" s="2132"/>
      <c r="E121" s="2132"/>
      <c r="F121" s="2132"/>
      <c r="G121" s="2132"/>
      <c r="H121" s="2132"/>
      <c r="I121" s="2132"/>
      <c r="J121" s="2132"/>
      <c r="K121" s="2132"/>
      <c r="L121" s="2132"/>
      <c r="M121" s="2132"/>
      <c r="N121" s="2132"/>
      <c r="O121" s="2132"/>
      <c r="P121" s="2132"/>
      <c r="Q121" s="2132"/>
      <c r="R121" s="2132"/>
      <c r="S121" s="2132"/>
      <c r="T121" s="2132"/>
      <c r="U121" s="2135" t="s">
        <v>545</v>
      </c>
      <c r="V121" s="2135"/>
      <c r="W121" s="2135"/>
      <c r="X121" s="213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3"/>
      <c r="C122" s="2134"/>
      <c r="D122" s="2134"/>
      <c r="E122" s="2134"/>
      <c r="F122" s="2134"/>
      <c r="G122" s="2134"/>
      <c r="H122" s="2134"/>
      <c r="I122" s="2134"/>
      <c r="J122" s="2134"/>
      <c r="K122" s="2134"/>
      <c r="L122" s="2134"/>
      <c r="M122" s="2134"/>
      <c r="N122" s="2134"/>
      <c r="O122" s="2134"/>
      <c r="P122" s="2134"/>
      <c r="Q122" s="2134"/>
      <c r="R122" s="2134"/>
      <c r="S122" s="2134"/>
      <c r="T122" s="2134"/>
      <c r="U122" s="2137"/>
      <c r="V122" s="2137"/>
      <c r="W122" s="2137"/>
      <c r="X122" s="213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9" t="s">
        <v>2362</v>
      </c>
      <c r="Y125" s="2140"/>
      <c r="Z125" s="2140"/>
      <c r="AA125" s="2140"/>
      <c r="AB125" s="2140"/>
      <c r="AC125" s="2140"/>
      <c r="AD125" s="2140"/>
      <c r="AE125" s="2140"/>
      <c r="AF125" s="2140"/>
      <c r="AG125" s="2140"/>
      <c r="AH125" s="2140"/>
      <c r="AI125" s="2140"/>
      <c r="AJ125" s="2140"/>
      <c r="AK125" s="2140"/>
      <c r="AL125" s="2140"/>
      <c r="AM125" s="2140"/>
      <c r="AN125" s="2140"/>
      <c r="AO125" s="2140"/>
      <c r="AP125" s="2140"/>
      <c r="AQ125" s="2140"/>
      <c r="AR125" s="2140"/>
      <c r="AS125" s="2140"/>
      <c r="AT125" s="2140"/>
      <c r="AU125" s="2140"/>
      <c r="AV125" s="2140"/>
      <c r="AW125" s="2140"/>
      <c r="AX125" s="2140"/>
      <c r="AY125" s="2140"/>
      <c r="AZ125" s="2140"/>
      <c r="BA125" s="2140"/>
      <c r="BB125" s="2140"/>
      <c r="BC125" s="2140"/>
      <c r="BD125" s="2141"/>
      <c r="BE125" s="1194"/>
    </row>
    <row r="126" spans="1:57" ht="15.75" customHeight="1">
      <c r="A126" s="1190"/>
      <c r="B126" s="2145" t="s">
        <v>1576</v>
      </c>
      <c r="C126" s="2146"/>
      <c r="D126" s="2146"/>
      <c r="E126" s="2146"/>
      <c r="F126" s="2146"/>
      <c r="G126" s="2146"/>
      <c r="H126" s="2146"/>
      <c r="I126" s="2146"/>
      <c r="J126" s="2146"/>
      <c r="K126" s="2146"/>
      <c r="L126" s="2146"/>
      <c r="M126" s="2146"/>
      <c r="N126" s="2146"/>
      <c r="O126" s="2146"/>
      <c r="P126" s="2146"/>
      <c r="Q126" s="2146"/>
      <c r="R126" s="2146"/>
      <c r="S126" s="2146"/>
      <c r="T126" s="2146"/>
      <c r="U126" s="2147"/>
      <c r="V126" s="1190"/>
      <c r="W126" s="1190"/>
      <c r="X126" s="2142"/>
      <c r="Y126" s="2143"/>
      <c r="Z126" s="2143"/>
      <c r="AA126" s="2143"/>
      <c r="AB126" s="2143"/>
      <c r="AC126" s="2143"/>
      <c r="AD126" s="2143"/>
      <c r="AE126" s="2143"/>
      <c r="AF126" s="2143"/>
      <c r="AG126" s="2143"/>
      <c r="AH126" s="2143"/>
      <c r="AI126" s="2143"/>
      <c r="AJ126" s="2143"/>
      <c r="AK126" s="2143"/>
      <c r="AL126" s="2143"/>
      <c r="AM126" s="2143"/>
      <c r="AN126" s="2143"/>
      <c r="AO126" s="2143"/>
      <c r="AP126" s="2143"/>
      <c r="AQ126" s="2143"/>
      <c r="AR126" s="2143"/>
      <c r="AS126" s="2143"/>
      <c r="AT126" s="2143"/>
      <c r="AU126" s="2143"/>
      <c r="AV126" s="2143"/>
      <c r="AW126" s="2143"/>
      <c r="AX126" s="2143"/>
      <c r="AY126" s="2143"/>
      <c r="AZ126" s="2143"/>
      <c r="BA126" s="2143"/>
      <c r="BB126" s="2143"/>
      <c r="BC126" s="2143"/>
      <c r="BD126" s="2144"/>
      <c r="BE126" s="1194"/>
    </row>
    <row r="127" spans="1:57" ht="15.75" customHeight="1">
      <c r="A127" s="1190"/>
      <c r="B127" s="2055"/>
      <c r="C127" s="2056"/>
      <c r="D127" s="2056"/>
      <c r="E127" s="2056"/>
      <c r="F127" s="2056"/>
      <c r="G127" s="2056"/>
      <c r="H127" s="2056"/>
      <c r="I127" s="2118" t="s">
        <v>2361</v>
      </c>
      <c r="J127" s="2118"/>
      <c r="K127" s="2118"/>
      <c r="L127" s="2118"/>
      <c r="M127" s="2118"/>
      <c r="N127" s="2118"/>
      <c r="O127" s="2119" t="s">
        <v>2360</v>
      </c>
      <c r="P127" s="2119"/>
      <c r="Q127" s="2119"/>
      <c r="R127" s="2119"/>
      <c r="S127" s="2119"/>
      <c r="T127" s="2119"/>
      <c r="U127" s="2120"/>
      <c r="V127" s="1190"/>
      <c r="W127" s="1190"/>
      <c r="X127" s="2058" t="s">
        <v>2330</v>
      </c>
      <c r="Y127" s="2059"/>
      <c r="Z127" s="2059"/>
      <c r="AA127" s="2059"/>
      <c r="AB127" s="2059"/>
      <c r="AC127" s="2059"/>
      <c r="AD127" s="2059"/>
      <c r="AE127" s="2059"/>
      <c r="AF127" s="2059"/>
      <c r="AG127" s="2059"/>
      <c r="AH127" s="2059"/>
      <c r="AI127" s="2059"/>
      <c r="AJ127" s="2059"/>
      <c r="AK127" s="2059"/>
      <c r="AL127" s="2059"/>
      <c r="AM127" s="2059"/>
      <c r="AN127" s="2059"/>
      <c r="AO127" s="2059"/>
      <c r="AP127" s="2059"/>
      <c r="AQ127" s="2059"/>
      <c r="AR127" s="2059"/>
      <c r="AS127" s="2059"/>
      <c r="AT127" s="2059"/>
      <c r="AU127" s="2059"/>
      <c r="AV127" s="2059"/>
      <c r="AW127" s="2059"/>
      <c r="AX127" s="2059"/>
      <c r="AY127" s="2059"/>
      <c r="AZ127" s="2059"/>
      <c r="BA127" s="2059"/>
      <c r="BB127" s="2059"/>
      <c r="BC127" s="2059"/>
      <c r="BD127" s="2060"/>
      <c r="BE127" s="1194"/>
    </row>
    <row r="128" spans="1:57" ht="15.75" customHeight="1">
      <c r="A128" s="1190"/>
      <c r="B128" s="2089" t="s">
        <v>2344</v>
      </c>
      <c r="C128" s="2090"/>
      <c r="D128" s="2090"/>
      <c r="E128" s="2090"/>
      <c r="F128" s="2090"/>
      <c r="G128" s="2090"/>
      <c r="H128" s="2090"/>
      <c r="I128" s="2091">
        <v>0</v>
      </c>
      <c r="J128" s="2091"/>
      <c r="K128" s="2091"/>
      <c r="L128" s="2091"/>
      <c r="M128" s="2091"/>
      <c r="N128" s="2091"/>
      <c r="O128" s="2091">
        <v>0</v>
      </c>
      <c r="P128" s="2091"/>
      <c r="Q128" s="2091"/>
      <c r="R128" s="2091"/>
      <c r="S128" s="2091"/>
      <c r="T128" s="2091"/>
      <c r="U128" s="2092"/>
      <c r="V128" s="1190"/>
      <c r="W128" s="1190"/>
      <c r="X128" s="2058"/>
      <c r="Y128" s="2059"/>
      <c r="Z128" s="2059"/>
      <c r="AA128" s="2059"/>
      <c r="AB128" s="2059"/>
      <c r="AC128" s="2059"/>
      <c r="AD128" s="2059"/>
      <c r="AE128" s="2059"/>
      <c r="AF128" s="2059"/>
      <c r="AG128" s="2059"/>
      <c r="AH128" s="2059"/>
      <c r="AI128" s="2059"/>
      <c r="AJ128" s="2059"/>
      <c r="AK128" s="2059"/>
      <c r="AL128" s="2059"/>
      <c r="AM128" s="2059"/>
      <c r="AN128" s="2059"/>
      <c r="AO128" s="2059"/>
      <c r="AP128" s="2059"/>
      <c r="AQ128" s="2059"/>
      <c r="AR128" s="2059"/>
      <c r="AS128" s="2059"/>
      <c r="AT128" s="2059"/>
      <c r="AU128" s="2059"/>
      <c r="AV128" s="2059"/>
      <c r="AW128" s="2059"/>
      <c r="AX128" s="2059"/>
      <c r="AY128" s="2059"/>
      <c r="AZ128" s="2059"/>
      <c r="BA128" s="2059"/>
      <c r="BB128" s="2059"/>
      <c r="BC128" s="2059"/>
      <c r="BD128" s="2060"/>
      <c r="BE128" s="1194"/>
    </row>
    <row r="129" spans="1:57" ht="15.75" customHeight="1" thickBot="1">
      <c r="A129" s="1190"/>
      <c r="B129" s="2083" t="s">
        <v>2343</v>
      </c>
      <c r="C129" s="2084"/>
      <c r="D129" s="2084"/>
      <c r="E129" s="2084"/>
      <c r="F129" s="2084"/>
      <c r="G129" s="2084"/>
      <c r="H129" s="2084"/>
      <c r="I129" s="2085">
        <v>0</v>
      </c>
      <c r="J129" s="2085"/>
      <c r="K129" s="2085"/>
      <c r="L129" s="2085"/>
      <c r="M129" s="2085"/>
      <c r="N129" s="2085"/>
      <c r="O129" s="2121"/>
      <c r="P129" s="2121"/>
      <c r="Q129" s="2121"/>
      <c r="R129" s="2121"/>
      <c r="S129" s="2121"/>
      <c r="T129" s="2121"/>
      <c r="U129" s="2122"/>
      <c r="V129" s="1190"/>
      <c r="W129" s="1190"/>
      <c r="X129" s="2058"/>
      <c r="Y129" s="2059"/>
      <c r="Z129" s="2059"/>
      <c r="AA129" s="2059"/>
      <c r="AB129" s="2059"/>
      <c r="AC129" s="2059"/>
      <c r="AD129" s="2059"/>
      <c r="AE129" s="2059"/>
      <c r="AF129" s="2059"/>
      <c r="AG129" s="2059"/>
      <c r="AH129" s="2059"/>
      <c r="AI129" s="2059"/>
      <c r="AJ129" s="2059"/>
      <c r="AK129" s="2059"/>
      <c r="AL129" s="2059"/>
      <c r="AM129" s="2059"/>
      <c r="AN129" s="2059"/>
      <c r="AO129" s="2059"/>
      <c r="AP129" s="2059"/>
      <c r="AQ129" s="2059"/>
      <c r="AR129" s="2059"/>
      <c r="AS129" s="2059"/>
      <c r="AT129" s="2059"/>
      <c r="AU129" s="2059"/>
      <c r="AV129" s="2059"/>
      <c r="AW129" s="2059"/>
      <c r="AX129" s="2059"/>
      <c r="AY129" s="2059"/>
      <c r="AZ129" s="2059"/>
      <c r="BA129" s="2059"/>
      <c r="BB129" s="2059"/>
      <c r="BC129" s="2059"/>
      <c r="BD129" s="206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8"/>
      <c r="Y130" s="2059"/>
      <c r="Z130" s="2059"/>
      <c r="AA130" s="2059"/>
      <c r="AB130" s="2059"/>
      <c r="AC130" s="2059"/>
      <c r="AD130" s="2059"/>
      <c r="AE130" s="2059"/>
      <c r="AF130" s="2059"/>
      <c r="AG130" s="2059"/>
      <c r="AH130" s="2059"/>
      <c r="AI130" s="2059"/>
      <c r="AJ130" s="2059"/>
      <c r="AK130" s="2059"/>
      <c r="AL130" s="2059"/>
      <c r="AM130" s="2059"/>
      <c r="AN130" s="2059"/>
      <c r="AO130" s="2059"/>
      <c r="AP130" s="2059"/>
      <c r="AQ130" s="2059"/>
      <c r="AR130" s="2059"/>
      <c r="AS130" s="2059"/>
      <c r="AT130" s="2059"/>
      <c r="AU130" s="2059"/>
      <c r="AV130" s="2059"/>
      <c r="AW130" s="2059"/>
      <c r="AX130" s="2059"/>
      <c r="AY130" s="2059"/>
      <c r="AZ130" s="2059"/>
      <c r="BA130" s="2059"/>
      <c r="BB130" s="2059"/>
      <c r="BC130" s="2059"/>
      <c r="BD130" s="2060"/>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58"/>
      <c r="Y131" s="2059"/>
      <c r="Z131" s="2059"/>
      <c r="AA131" s="2059"/>
      <c r="AB131" s="2059"/>
      <c r="AC131" s="2059"/>
      <c r="AD131" s="2059"/>
      <c r="AE131" s="2059"/>
      <c r="AF131" s="2059"/>
      <c r="AG131" s="2059"/>
      <c r="AH131" s="2059"/>
      <c r="AI131" s="2059"/>
      <c r="AJ131" s="2059"/>
      <c r="AK131" s="2059"/>
      <c r="AL131" s="2059"/>
      <c r="AM131" s="2059"/>
      <c r="AN131" s="2059"/>
      <c r="AO131" s="2059"/>
      <c r="AP131" s="2059"/>
      <c r="AQ131" s="2059"/>
      <c r="AR131" s="2059"/>
      <c r="AS131" s="2059"/>
      <c r="AT131" s="2059"/>
      <c r="AU131" s="2059"/>
      <c r="AV131" s="2059"/>
      <c r="AW131" s="2059"/>
      <c r="AX131" s="2059"/>
      <c r="AY131" s="2059"/>
      <c r="AZ131" s="2059"/>
      <c r="BA131" s="2059"/>
      <c r="BB131" s="2059"/>
      <c r="BC131" s="2059"/>
      <c r="BD131" s="206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8"/>
      <c r="Y132" s="2059"/>
      <c r="Z132" s="2059"/>
      <c r="AA132" s="2059"/>
      <c r="AB132" s="2059"/>
      <c r="AC132" s="2059"/>
      <c r="AD132" s="2059"/>
      <c r="AE132" s="2059"/>
      <c r="AF132" s="2059"/>
      <c r="AG132" s="2059"/>
      <c r="AH132" s="2059"/>
      <c r="AI132" s="2059"/>
      <c r="AJ132" s="2059"/>
      <c r="AK132" s="2059"/>
      <c r="AL132" s="2059"/>
      <c r="AM132" s="2059"/>
      <c r="AN132" s="2059"/>
      <c r="AO132" s="2059"/>
      <c r="AP132" s="2059"/>
      <c r="AQ132" s="2059"/>
      <c r="AR132" s="2059"/>
      <c r="AS132" s="2059"/>
      <c r="AT132" s="2059"/>
      <c r="AU132" s="2059"/>
      <c r="AV132" s="2059"/>
      <c r="AW132" s="2059"/>
      <c r="AX132" s="2059"/>
      <c r="AY132" s="2059"/>
      <c r="AZ132" s="2059"/>
      <c r="BA132" s="2059"/>
      <c r="BB132" s="2059"/>
      <c r="BC132" s="2059"/>
      <c r="BD132" s="2060"/>
      <c r="BE132" s="1194"/>
    </row>
    <row r="133" spans="1:57" ht="15.75" customHeight="1">
      <c r="A133" s="1190"/>
      <c r="B133" s="2115" t="s">
        <v>2358</v>
      </c>
      <c r="C133" s="2116"/>
      <c r="D133" s="2116"/>
      <c r="E133" s="2116"/>
      <c r="F133" s="2116"/>
      <c r="G133" s="2116"/>
      <c r="H133" s="2116"/>
      <c r="I133" s="2116"/>
      <c r="J133" s="2116"/>
      <c r="K133" s="2116"/>
      <c r="L133" s="2116"/>
      <c r="M133" s="2116"/>
      <c r="N133" s="2116"/>
      <c r="O133" s="2116"/>
      <c r="P133" s="2116"/>
      <c r="Q133" s="2116"/>
      <c r="R133" s="2116"/>
      <c r="S133" s="2116"/>
      <c r="T133" s="2116"/>
      <c r="U133" s="2117"/>
      <c r="V133" s="1190"/>
      <c r="W133" s="1190"/>
      <c r="X133" s="2058"/>
      <c r="Y133" s="2059"/>
      <c r="Z133" s="2059"/>
      <c r="AA133" s="2059"/>
      <c r="AB133" s="2059"/>
      <c r="AC133" s="2059"/>
      <c r="AD133" s="2059"/>
      <c r="AE133" s="2059"/>
      <c r="AF133" s="2059"/>
      <c r="AG133" s="2059"/>
      <c r="AH133" s="2059"/>
      <c r="AI133" s="2059"/>
      <c r="AJ133" s="2059"/>
      <c r="AK133" s="2059"/>
      <c r="AL133" s="2059"/>
      <c r="AM133" s="2059"/>
      <c r="AN133" s="2059"/>
      <c r="AO133" s="2059"/>
      <c r="AP133" s="2059"/>
      <c r="AQ133" s="2059"/>
      <c r="AR133" s="2059"/>
      <c r="AS133" s="2059"/>
      <c r="AT133" s="2059"/>
      <c r="AU133" s="2059"/>
      <c r="AV133" s="2059"/>
      <c r="AW133" s="2059"/>
      <c r="AX133" s="2059"/>
      <c r="AY133" s="2059"/>
      <c r="AZ133" s="2059"/>
      <c r="BA133" s="2059"/>
      <c r="BB133" s="2059"/>
      <c r="BC133" s="2059"/>
      <c r="BD133" s="2060"/>
      <c r="BE133" s="1194"/>
    </row>
    <row r="134" spans="1:57" ht="15.75" customHeight="1">
      <c r="A134" s="1190"/>
      <c r="B134" s="2055"/>
      <c r="C134" s="2056"/>
      <c r="D134" s="2056"/>
      <c r="E134" s="2056"/>
      <c r="F134" s="2056"/>
      <c r="G134" s="2056"/>
      <c r="H134" s="2056"/>
      <c r="I134" s="2093" t="s">
        <v>2346</v>
      </c>
      <c r="J134" s="2093"/>
      <c r="K134" s="2093"/>
      <c r="L134" s="2093"/>
      <c r="M134" s="2093"/>
      <c r="N134" s="2093"/>
      <c r="O134" s="2093"/>
      <c r="P134" s="2093" t="s">
        <v>2345</v>
      </c>
      <c r="Q134" s="2093"/>
      <c r="R134" s="2093"/>
      <c r="S134" s="2093"/>
      <c r="T134" s="2093"/>
      <c r="U134" s="2094"/>
      <c r="V134" s="1190"/>
      <c r="W134" s="1190"/>
      <c r="X134" s="2058"/>
      <c r="Y134" s="2059"/>
      <c r="Z134" s="2059"/>
      <c r="AA134" s="2059"/>
      <c r="AB134" s="2059"/>
      <c r="AC134" s="2059"/>
      <c r="AD134" s="2059"/>
      <c r="AE134" s="2059"/>
      <c r="AF134" s="2059"/>
      <c r="AG134" s="2059"/>
      <c r="AH134" s="2059"/>
      <c r="AI134" s="2059"/>
      <c r="AJ134" s="2059"/>
      <c r="AK134" s="2059"/>
      <c r="AL134" s="2059"/>
      <c r="AM134" s="2059"/>
      <c r="AN134" s="2059"/>
      <c r="AO134" s="2059"/>
      <c r="AP134" s="2059"/>
      <c r="AQ134" s="2059"/>
      <c r="AR134" s="2059"/>
      <c r="AS134" s="2059"/>
      <c r="AT134" s="2059"/>
      <c r="AU134" s="2059"/>
      <c r="AV134" s="2059"/>
      <c r="AW134" s="2059"/>
      <c r="AX134" s="2059"/>
      <c r="AY134" s="2059"/>
      <c r="AZ134" s="2059"/>
      <c r="BA134" s="2059"/>
      <c r="BB134" s="2059"/>
      <c r="BC134" s="2059"/>
      <c r="BD134" s="2060"/>
      <c r="BE134" s="1194"/>
    </row>
    <row r="135" spans="1:57" ht="15.75" customHeight="1">
      <c r="A135" s="1190"/>
      <c r="B135" s="2055"/>
      <c r="C135" s="2056"/>
      <c r="D135" s="2056"/>
      <c r="E135" s="2056"/>
      <c r="F135" s="2056"/>
      <c r="G135" s="2056"/>
      <c r="H135" s="2056"/>
      <c r="I135" s="2093"/>
      <c r="J135" s="2093"/>
      <c r="K135" s="2093"/>
      <c r="L135" s="2093"/>
      <c r="M135" s="2093"/>
      <c r="N135" s="2093"/>
      <c r="O135" s="2093"/>
      <c r="P135" s="2093"/>
      <c r="Q135" s="2093"/>
      <c r="R135" s="2093"/>
      <c r="S135" s="2093"/>
      <c r="T135" s="2093"/>
      <c r="U135" s="2094"/>
      <c r="V135" s="1190"/>
      <c r="W135" s="1190"/>
      <c r="X135" s="2058"/>
      <c r="Y135" s="2059"/>
      <c r="Z135" s="2059"/>
      <c r="AA135" s="2059"/>
      <c r="AB135" s="2059"/>
      <c r="AC135" s="2059"/>
      <c r="AD135" s="2059"/>
      <c r="AE135" s="2059"/>
      <c r="AF135" s="2059"/>
      <c r="AG135" s="2059"/>
      <c r="AH135" s="2059"/>
      <c r="AI135" s="2059"/>
      <c r="AJ135" s="2059"/>
      <c r="AK135" s="2059"/>
      <c r="AL135" s="2059"/>
      <c r="AM135" s="2059"/>
      <c r="AN135" s="2059"/>
      <c r="AO135" s="2059"/>
      <c r="AP135" s="2059"/>
      <c r="AQ135" s="2059"/>
      <c r="AR135" s="2059"/>
      <c r="AS135" s="2059"/>
      <c r="AT135" s="2059"/>
      <c r="AU135" s="2059"/>
      <c r="AV135" s="2059"/>
      <c r="AW135" s="2059"/>
      <c r="AX135" s="2059"/>
      <c r="AY135" s="2059"/>
      <c r="AZ135" s="2059"/>
      <c r="BA135" s="2059"/>
      <c r="BB135" s="2059"/>
      <c r="BC135" s="2059"/>
      <c r="BD135" s="2060"/>
      <c r="BE135" s="1194"/>
    </row>
    <row r="136" spans="1:57" ht="15.75" customHeight="1">
      <c r="A136" s="1190"/>
      <c r="B136" s="2089" t="s">
        <v>2344</v>
      </c>
      <c r="C136" s="2090"/>
      <c r="D136" s="2090"/>
      <c r="E136" s="2090"/>
      <c r="F136" s="2090"/>
      <c r="G136" s="2090"/>
      <c r="H136" s="2090"/>
      <c r="I136" s="2091">
        <v>0</v>
      </c>
      <c r="J136" s="2091"/>
      <c r="K136" s="2091"/>
      <c r="L136" s="2091"/>
      <c r="M136" s="2091"/>
      <c r="N136" s="2091"/>
      <c r="O136" s="2091"/>
      <c r="P136" s="2091">
        <v>0</v>
      </c>
      <c r="Q136" s="2091"/>
      <c r="R136" s="2091"/>
      <c r="S136" s="2091"/>
      <c r="T136" s="2091"/>
      <c r="U136" s="2092"/>
      <c r="V136" s="1190"/>
      <c r="W136" s="1190"/>
      <c r="X136" s="2058"/>
      <c r="Y136" s="2059"/>
      <c r="Z136" s="2059"/>
      <c r="AA136" s="2059"/>
      <c r="AB136" s="2059"/>
      <c r="AC136" s="2059"/>
      <c r="AD136" s="2059"/>
      <c r="AE136" s="2059"/>
      <c r="AF136" s="2059"/>
      <c r="AG136" s="2059"/>
      <c r="AH136" s="2059"/>
      <c r="AI136" s="2059"/>
      <c r="AJ136" s="2059"/>
      <c r="AK136" s="2059"/>
      <c r="AL136" s="2059"/>
      <c r="AM136" s="2059"/>
      <c r="AN136" s="2059"/>
      <c r="AO136" s="2059"/>
      <c r="AP136" s="2059"/>
      <c r="AQ136" s="2059"/>
      <c r="AR136" s="2059"/>
      <c r="AS136" s="2059"/>
      <c r="AT136" s="2059"/>
      <c r="AU136" s="2059"/>
      <c r="AV136" s="2059"/>
      <c r="AW136" s="2059"/>
      <c r="AX136" s="2059"/>
      <c r="AY136" s="2059"/>
      <c r="AZ136" s="2059"/>
      <c r="BA136" s="2059"/>
      <c r="BB136" s="2059"/>
      <c r="BC136" s="2059"/>
      <c r="BD136" s="2060"/>
      <c r="BE136" s="1194"/>
    </row>
    <row r="137" spans="1:57" ht="15.75" customHeight="1" thickBot="1">
      <c r="A137" s="1190"/>
      <c r="B137" s="2083" t="s">
        <v>2343</v>
      </c>
      <c r="C137" s="2084"/>
      <c r="D137" s="2084"/>
      <c r="E137" s="2084"/>
      <c r="F137" s="2084"/>
      <c r="G137" s="2084"/>
      <c r="H137" s="2084"/>
      <c r="I137" s="2085">
        <v>0</v>
      </c>
      <c r="J137" s="2085"/>
      <c r="K137" s="2085"/>
      <c r="L137" s="2085"/>
      <c r="M137" s="2085"/>
      <c r="N137" s="2085"/>
      <c r="O137" s="2085"/>
      <c r="P137" s="2085">
        <v>0</v>
      </c>
      <c r="Q137" s="2085"/>
      <c r="R137" s="2085"/>
      <c r="S137" s="2085"/>
      <c r="T137" s="2085"/>
      <c r="U137" s="2086"/>
      <c r="V137" s="1190"/>
      <c r="W137" s="1190"/>
      <c r="X137" s="2061"/>
      <c r="Y137" s="2062"/>
      <c r="Z137" s="2062"/>
      <c r="AA137" s="2062"/>
      <c r="AB137" s="2062"/>
      <c r="AC137" s="2062"/>
      <c r="AD137" s="2062"/>
      <c r="AE137" s="2062"/>
      <c r="AF137" s="2062"/>
      <c r="AG137" s="2062"/>
      <c r="AH137" s="2062"/>
      <c r="AI137" s="2062"/>
      <c r="AJ137" s="2062"/>
      <c r="AK137" s="2062"/>
      <c r="AL137" s="2062"/>
      <c r="AM137" s="2062"/>
      <c r="AN137" s="2062"/>
      <c r="AO137" s="2062"/>
      <c r="AP137" s="2062"/>
      <c r="AQ137" s="2062"/>
      <c r="AR137" s="2062"/>
      <c r="AS137" s="2062"/>
      <c r="AT137" s="2062"/>
      <c r="AU137" s="2062"/>
      <c r="AV137" s="2062"/>
      <c r="AW137" s="2062"/>
      <c r="AX137" s="2062"/>
      <c r="AY137" s="2062"/>
      <c r="AZ137" s="2062"/>
      <c r="BA137" s="2062"/>
      <c r="BB137" s="2062"/>
      <c r="BC137" s="2062"/>
      <c r="BD137" s="206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10" t="s">
        <v>2357</v>
      </c>
      <c r="C139" s="2111"/>
      <c r="D139" s="2111"/>
      <c r="E139" s="2111"/>
      <c r="F139" s="211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c r="AA139" s="2111"/>
      <c r="AB139" s="2111"/>
      <c r="AC139" s="2111"/>
      <c r="AD139" s="2111"/>
      <c r="AE139" s="2111"/>
      <c r="AF139" s="2111"/>
      <c r="AG139" s="2111"/>
      <c r="AH139" s="2098" t="s">
        <v>545</v>
      </c>
      <c r="AI139" s="2098"/>
      <c r="AJ139" s="2098"/>
      <c r="AK139" s="2098"/>
      <c r="AL139" s="2098"/>
      <c r="AM139" s="2098"/>
      <c r="AN139" s="2098"/>
      <c r="AO139" s="2098"/>
      <c r="AP139" s="2098"/>
      <c r="AQ139" s="2098"/>
      <c r="AR139" s="2098"/>
      <c r="AS139" s="2098"/>
      <c r="AT139" s="2098"/>
      <c r="AU139" s="2098"/>
      <c r="AV139" s="2098"/>
      <c r="AW139" s="2098"/>
      <c r="AX139" s="2099"/>
      <c r="AY139" s="1190"/>
      <c r="AZ139" s="1190"/>
      <c r="BA139" s="1190"/>
      <c r="BB139" s="1190"/>
      <c r="BC139" s="1190"/>
      <c r="BD139" s="1190"/>
      <c r="BE139" s="1194"/>
    </row>
    <row r="140" spans="1:57" ht="15.75" customHeight="1" thickBot="1">
      <c r="A140" s="1190"/>
      <c r="B140" s="2095" t="s">
        <v>2356</v>
      </c>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7"/>
      <c r="AH140" s="2112"/>
      <c r="AI140" s="2113"/>
      <c r="AJ140" s="2113"/>
      <c r="AK140" s="2113"/>
      <c r="AL140" s="2113"/>
      <c r="AM140" s="2113"/>
      <c r="AN140" s="2113"/>
      <c r="AO140" s="2113"/>
      <c r="AP140" s="2113"/>
      <c r="AQ140" s="2113"/>
      <c r="AR140" s="2113"/>
      <c r="AS140" s="2113"/>
      <c r="AT140" s="2113"/>
      <c r="AU140" s="2113"/>
      <c r="AV140" s="2113"/>
      <c r="AW140" s="2113"/>
      <c r="AX140" s="2114"/>
      <c r="AY140" s="1190"/>
      <c r="AZ140" s="1190"/>
      <c r="BA140" s="1190"/>
      <c r="BB140" s="1190"/>
      <c r="BC140" s="1190"/>
      <c r="BD140" s="1190"/>
      <c r="BE140" s="1194"/>
    </row>
    <row r="141" spans="1:57" ht="15.75" customHeight="1">
      <c r="A141" s="1190"/>
      <c r="B141" s="2095" t="s">
        <v>2355</v>
      </c>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7"/>
      <c r="AH141" s="2098" t="s">
        <v>545</v>
      </c>
      <c r="AI141" s="2098"/>
      <c r="AJ141" s="2098"/>
      <c r="AK141" s="2098"/>
      <c r="AL141" s="2098"/>
      <c r="AM141" s="2098"/>
      <c r="AN141" s="2098"/>
      <c r="AO141" s="2098"/>
      <c r="AP141" s="2098"/>
      <c r="AQ141" s="2098"/>
      <c r="AR141" s="2098"/>
      <c r="AS141" s="2098"/>
      <c r="AT141" s="2098"/>
      <c r="AU141" s="2098"/>
      <c r="AV141" s="2098"/>
      <c r="AW141" s="2098"/>
      <c r="AX141" s="2099"/>
      <c r="AY141" s="1190"/>
      <c r="AZ141" s="1190"/>
      <c r="BA141" s="1190"/>
      <c r="BB141" s="1190"/>
      <c r="BC141" s="1190"/>
      <c r="BD141" s="1190"/>
      <c r="BE141" s="1194"/>
    </row>
    <row r="142" spans="1:57" ht="15.75" customHeight="1">
      <c r="A142" s="1190"/>
      <c r="B142" s="2100" t="s">
        <v>2354</v>
      </c>
      <c r="C142" s="2101"/>
      <c r="D142" s="2101"/>
      <c r="E142" s="2101"/>
      <c r="F142" s="2101"/>
      <c r="G142" s="2101"/>
      <c r="H142" s="2101"/>
      <c r="I142" s="2101"/>
      <c r="J142" s="2101"/>
      <c r="K142" s="2101"/>
      <c r="L142" s="2101"/>
      <c r="M142" s="2101"/>
      <c r="N142" s="2101"/>
      <c r="O142" s="2101"/>
      <c r="P142" s="2101"/>
      <c r="Q142" s="2101"/>
      <c r="R142" s="2102" t="s">
        <v>2353</v>
      </c>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c r="AN142" s="2102"/>
      <c r="AO142" s="2102"/>
      <c r="AP142" s="2102"/>
      <c r="AQ142" s="2102"/>
      <c r="AR142" s="2102"/>
      <c r="AS142" s="2102"/>
      <c r="AT142" s="2102"/>
      <c r="AU142" s="2102"/>
      <c r="AV142" s="2102"/>
      <c r="AW142" s="2102"/>
      <c r="AX142" s="2103"/>
      <c r="AY142" s="1190"/>
      <c r="AZ142" s="1190"/>
      <c r="BA142" s="1190"/>
      <c r="BB142" s="1190"/>
      <c r="BC142" s="1190" t="s">
        <v>250</v>
      </c>
      <c r="BD142" s="1190"/>
      <c r="BE142" s="1194"/>
    </row>
    <row r="143" spans="1:57" ht="15.75" customHeight="1">
      <c r="A143" s="1190"/>
      <c r="B143" s="2104" t="s">
        <v>2352</v>
      </c>
      <c r="C143" s="2105"/>
      <c r="D143" s="2105"/>
      <c r="E143" s="2105"/>
      <c r="F143" s="2105"/>
      <c r="G143" s="2105"/>
      <c r="H143" s="2105"/>
      <c r="I143" s="2105"/>
      <c r="J143" s="2105"/>
      <c r="K143" s="2105"/>
      <c r="L143" s="2105"/>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J143" s="2105"/>
      <c r="AK143" s="2105"/>
      <c r="AL143" s="2105"/>
      <c r="AM143" s="2105"/>
      <c r="AN143" s="2105"/>
      <c r="AO143" s="2105"/>
      <c r="AP143" s="2105"/>
      <c r="AQ143" s="2105"/>
      <c r="AR143" s="2105"/>
      <c r="AS143" s="2105"/>
      <c r="AT143" s="2105"/>
      <c r="AU143" s="2105"/>
      <c r="AV143" s="2105"/>
      <c r="AW143" s="2105"/>
      <c r="AX143" s="2106"/>
      <c r="AY143" s="1190"/>
      <c r="AZ143" s="1190"/>
      <c r="BA143" s="1190"/>
      <c r="BB143" s="1190"/>
      <c r="BC143" s="1190"/>
      <c r="BD143" s="1190"/>
      <c r="BE143" s="1194"/>
    </row>
    <row r="144" spans="1:57" ht="15.75" customHeight="1">
      <c r="A144" s="1190"/>
      <c r="B144" s="2104"/>
      <c r="C144" s="2105"/>
      <c r="D144" s="2105"/>
      <c r="E144" s="2105"/>
      <c r="F144" s="2105"/>
      <c r="G144" s="2105"/>
      <c r="H144" s="2105"/>
      <c r="I144" s="2105"/>
      <c r="J144" s="2105"/>
      <c r="K144" s="2105"/>
      <c r="L144" s="2105"/>
      <c r="M144" s="2105"/>
      <c r="N144" s="2105"/>
      <c r="O144" s="2105"/>
      <c r="P144" s="2105"/>
      <c r="Q144" s="2105"/>
      <c r="R144" s="2105"/>
      <c r="S144" s="2105"/>
      <c r="T144" s="2105"/>
      <c r="U144" s="2105"/>
      <c r="V144" s="2105"/>
      <c r="W144" s="2105"/>
      <c r="X144" s="2105"/>
      <c r="Y144" s="2105"/>
      <c r="Z144" s="2105"/>
      <c r="AA144" s="2105"/>
      <c r="AB144" s="2105"/>
      <c r="AC144" s="2105"/>
      <c r="AD144" s="2105"/>
      <c r="AE144" s="2105"/>
      <c r="AF144" s="2105"/>
      <c r="AG144" s="2105"/>
      <c r="AH144" s="2105"/>
      <c r="AI144" s="2105"/>
      <c r="AJ144" s="2105"/>
      <c r="AK144" s="2105"/>
      <c r="AL144" s="2105"/>
      <c r="AM144" s="2105"/>
      <c r="AN144" s="2105"/>
      <c r="AO144" s="2105"/>
      <c r="AP144" s="2105"/>
      <c r="AQ144" s="2105"/>
      <c r="AR144" s="2105"/>
      <c r="AS144" s="2105"/>
      <c r="AT144" s="2105"/>
      <c r="AU144" s="2105"/>
      <c r="AV144" s="2105"/>
      <c r="AW144" s="2105"/>
      <c r="AX144" s="2106"/>
      <c r="AY144" s="1190"/>
      <c r="AZ144" s="1190"/>
      <c r="BA144" s="1190"/>
      <c r="BB144" s="1190"/>
      <c r="BC144" s="1190"/>
      <c r="BD144" s="1190"/>
      <c r="BE144" s="1194"/>
    </row>
    <row r="145" spans="1:57" ht="15.75" customHeight="1">
      <c r="A145" s="1190"/>
      <c r="B145" s="2104"/>
      <c r="C145" s="2105"/>
      <c r="D145" s="2105"/>
      <c r="E145" s="2105"/>
      <c r="F145" s="2105"/>
      <c r="G145" s="2105"/>
      <c r="H145" s="2105"/>
      <c r="I145" s="2105"/>
      <c r="J145" s="2105"/>
      <c r="K145" s="2105"/>
      <c r="L145" s="2105"/>
      <c r="M145" s="2105"/>
      <c r="N145" s="2105"/>
      <c r="O145" s="2105"/>
      <c r="P145" s="2105"/>
      <c r="Q145" s="2105"/>
      <c r="R145" s="2105"/>
      <c r="S145" s="2105"/>
      <c r="T145" s="2105"/>
      <c r="U145" s="2105"/>
      <c r="V145" s="2105"/>
      <c r="W145" s="2105"/>
      <c r="X145" s="2105"/>
      <c r="Y145" s="2105"/>
      <c r="Z145" s="2105"/>
      <c r="AA145" s="2105"/>
      <c r="AB145" s="2105"/>
      <c r="AC145" s="2105"/>
      <c r="AD145" s="2105"/>
      <c r="AE145" s="2105"/>
      <c r="AF145" s="2105"/>
      <c r="AG145" s="2105"/>
      <c r="AH145" s="2105"/>
      <c r="AI145" s="2105"/>
      <c r="AJ145" s="2105"/>
      <c r="AK145" s="2105"/>
      <c r="AL145" s="2105"/>
      <c r="AM145" s="2105"/>
      <c r="AN145" s="2105"/>
      <c r="AO145" s="2105"/>
      <c r="AP145" s="2105"/>
      <c r="AQ145" s="2105"/>
      <c r="AR145" s="2105"/>
      <c r="AS145" s="2105"/>
      <c r="AT145" s="2105"/>
      <c r="AU145" s="2105"/>
      <c r="AV145" s="2105"/>
      <c r="AW145" s="2105"/>
      <c r="AX145" s="2106"/>
      <c r="AY145" s="1190"/>
      <c r="AZ145" s="1190"/>
      <c r="BA145" s="1190"/>
      <c r="BB145" s="1190"/>
      <c r="BC145" s="1190"/>
      <c r="BD145" s="1190"/>
      <c r="BE145" s="1194"/>
    </row>
    <row r="146" spans="1:57" ht="15.75" customHeight="1">
      <c r="A146" s="1190"/>
      <c r="B146" s="2104"/>
      <c r="C146" s="2105"/>
      <c r="D146" s="2105"/>
      <c r="E146" s="2105"/>
      <c r="F146" s="2105"/>
      <c r="G146" s="2105"/>
      <c r="H146" s="2105"/>
      <c r="I146" s="2105"/>
      <c r="J146" s="2105"/>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2105"/>
      <c r="AH146" s="2105"/>
      <c r="AI146" s="2105"/>
      <c r="AJ146" s="2105"/>
      <c r="AK146" s="2105"/>
      <c r="AL146" s="2105"/>
      <c r="AM146" s="2105"/>
      <c r="AN146" s="2105"/>
      <c r="AO146" s="2105"/>
      <c r="AP146" s="2105"/>
      <c r="AQ146" s="2105"/>
      <c r="AR146" s="2105"/>
      <c r="AS146" s="2105"/>
      <c r="AT146" s="2105"/>
      <c r="AU146" s="2105"/>
      <c r="AV146" s="2105"/>
      <c r="AW146" s="2105"/>
      <c r="AX146" s="2106"/>
      <c r="AY146" s="1190"/>
      <c r="AZ146" s="1190"/>
      <c r="BA146" s="1190"/>
      <c r="BB146" s="1190"/>
      <c r="BC146" s="1190"/>
      <c r="BD146" s="1190"/>
      <c r="BE146" s="1194"/>
    </row>
    <row r="147" spans="1:57" ht="15.75" customHeight="1">
      <c r="A147" s="1190"/>
      <c r="B147" s="2104"/>
      <c r="C147" s="2105"/>
      <c r="D147" s="2105"/>
      <c r="E147" s="2105"/>
      <c r="F147" s="2105"/>
      <c r="G147" s="2105"/>
      <c r="H147" s="2105"/>
      <c r="I147" s="2105"/>
      <c r="J147" s="2105"/>
      <c r="K147" s="2105"/>
      <c r="L147" s="2105"/>
      <c r="M147" s="2105"/>
      <c r="N147" s="2105"/>
      <c r="O147" s="2105"/>
      <c r="P147" s="2105"/>
      <c r="Q147" s="2105"/>
      <c r="R147" s="2105"/>
      <c r="S147" s="2105"/>
      <c r="T147" s="2105"/>
      <c r="U147" s="2105"/>
      <c r="V147" s="2105"/>
      <c r="W147" s="2105"/>
      <c r="X147" s="2105"/>
      <c r="Y147" s="2105"/>
      <c r="Z147" s="2105"/>
      <c r="AA147" s="2105"/>
      <c r="AB147" s="2105"/>
      <c r="AC147" s="2105"/>
      <c r="AD147" s="2105"/>
      <c r="AE147" s="2105"/>
      <c r="AF147" s="2105"/>
      <c r="AG147" s="2105"/>
      <c r="AH147" s="2105"/>
      <c r="AI147" s="2105"/>
      <c r="AJ147" s="2105"/>
      <c r="AK147" s="2105"/>
      <c r="AL147" s="2105"/>
      <c r="AM147" s="2105"/>
      <c r="AN147" s="2105"/>
      <c r="AO147" s="2105"/>
      <c r="AP147" s="2105"/>
      <c r="AQ147" s="2105"/>
      <c r="AR147" s="2105"/>
      <c r="AS147" s="2105"/>
      <c r="AT147" s="2105"/>
      <c r="AU147" s="2105"/>
      <c r="AV147" s="2105"/>
      <c r="AW147" s="2105"/>
      <c r="AX147" s="2106"/>
      <c r="AY147" s="1190"/>
      <c r="AZ147" s="1190"/>
      <c r="BA147" s="1190"/>
      <c r="BB147" s="1190"/>
      <c r="BC147" s="1190"/>
      <c r="BD147" s="1190"/>
      <c r="BE147" s="1194"/>
    </row>
    <row r="148" spans="1:57" ht="15.75" customHeight="1">
      <c r="A148" s="1190"/>
      <c r="B148" s="2104"/>
      <c r="C148" s="2105"/>
      <c r="D148" s="2105"/>
      <c r="E148" s="2105"/>
      <c r="F148" s="2105"/>
      <c r="G148" s="2105"/>
      <c r="H148" s="2105"/>
      <c r="I148" s="2105"/>
      <c r="J148" s="2105"/>
      <c r="K148" s="2105"/>
      <c r="L148" s="2105"/>
      <c r="M148" s="2105"/>
      <c r="N148" s="2105"/>
      <c r="O148" s="2105"/>
      <c r="P148" s="2105"/>
      <c r="Q148" s="2105"/>
      <c r="R148" s="2105"/>
      <c r="S148" s="2105"/>
      <c r="T148" s="2105"/>
      <c r="U148" s="2105"/>
      <c r="V148" s="2105"/>
      <c r="W148" s="2105"/>
      <c r="X148" s="2105"/>
      <c r="Y148" s="2105"/>
      <c r="Z148" s="2105"/>
      <c r="AA148" s="2105"/>
      <c r="AB148" s="2105"/>
      <c r="AC148" s="2105"/>
      <c r="AD148" s="2105"/>
      <c r="AE148" s="2105"/>
      <c r="AF148" s="2105"/>
      <c r="AG148" s="2105"/>
      <c r="AH148" s="2105"/>
      <c r="AI148" s="2105"/>
      <c r="AJ148" s="2105"/>
      <c r="AK148" s="2105"/>
      <c r="AL148" s="2105"/>
      <c r="AM148" s="2105"/>
      <c r="AN148" s="2105"/>
      <c r="AO148" s="2105"/>
      <c r="AP148" s="2105"/>
      <c r="AQ148" s="2105"/>
      <c r="AR148" s="2105"/>
      <c r="AS148" s="2105"/>
      <c r="AT148" s="2105"/>
      <c r="AU148" s="2105"/>
      <c r="AV148" s="2105"/>
      <c r="AW148" s="2105"/>
      <c r="AX148" s="2106"/>
      <c r="AY148" s="1190"/>
      <c r="AZ148" s="1190"/>
      <c r="BA148" s="1190"/>
      <c r="BB148" s="1190"/>
      <c r="BC148" s="1190"/>
      <c r="BD148" s="1190"/>
      <c r="BE148" s="1194"/>
    </row>
    <row r="149" spans="1:57" ht="15.75" customHeight="1">
      <c r="A149" s="1190"/>
      <c r="B149" s="2104"/>
      <c r="C149" s="2105"/>
      <c r="D149" s="2105"/>
      <c r="E149" s="2105"/>
      <c r="F149" s="2105"/>
      <c r="G149" s="2105"/>
      <c r="H149" s="2105"/>
      <c r="I149" s="2105"/>
      <c r="J149" s="2105"/>
      <c r="K149" s="2105"/>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2105"/>
      <c r="AH149" s="2105"/>
      <c r="AI149" s="2105"/>
      <c r="AJ149" s="2105"/>
      <c r="AK149" s="2105"/>
      <c r="AL149" s="2105"/>
      <c r="AM149" s="2105"/>
      <c r="AN149" s="2105"/>
      <c r="AO149" s="2105"/>
      <c r="AP149" s="2105"/>
      <c r="AQ149" s="2105"/>
      <c r="AR149" s="2105"/>
      <c r="AS149" s="2105"/>
      <c r="AT149" s="2105"/>
      <c r="AU149" s="2105"/>
      <c r="AV149" s="2105"/>
      <c r="AW149" s="2105"/>
      <c r="AX149" s="2106"/>
      <c r="AY149" s="1190"/>
      <c r="AZ149" s="1190"/>
      <c r="BA149" s="1190"/>
      <c r="BB149" s="1190"/>
      <c r="BC149" s="1190"/>
      <c r="BD149" s="1190"/>
      <c r="BE149" s="1194"/>
    </row>
    <row r="150" spans="1:57" ht="15.75" customHeight="1">
      <c r="A150" s="1190"/>
      <c r="B150" s="2104"/>
      <c r="C150" s="2105"/>
      <c r="D150" s="2105"/>
      <c r="E150" s="2105"/>
      <c r="F150" s="2105"/>
      <c r="G150" s="2105"/>
      <c r="H150" s="2105"/>
      <c r="I150" s="2105"/>
      <c r="J150" s="2105"/>
      <c r="K150" s="2105"/>
      <c r="L150" s="2105"/>
      <c r="M150" s="2105"/>
      <c r="N150" s="2105"/>
      <c r="O150" s="2105"/>
      <c r="P150" s="2105"/>
      <c r="Q150" s="2105"/>
      <c r="R150" s="2105"/>
      <c r="S150" s="2105"/>
      <c r="T150" s="2105"/>
      <c r="U150" s="2105"/>
      <c r="V150" s="2105"/>
      <c r="W150" s="2105"/>
      <c r="X150" s="2105"/>
      <c r="Y150" s="2105"/>
      <c r="Z150" s="2105"/>
      <c r="AA150" s="2105"/>
      <c r="AB150" s="2105"/>
      <c r="AC150" s="2105"/>
      <c r="AD150" s="2105"/>
      <c r="AE150" s="2105"/>
      <c r="AF150" s="2105"/>
      <c r="AG150" s="2105"/>
      <c r="AH150" s="2105"/>
      <c r="AI150" s="2105"/>
      <c r="AJ150" s="2105"/>
      <c r="AK150" s="2105"/>
      <c r="AL150" s="2105"/>
      <c r="AM150" s="2105"/>
      <c r="AN150" s="2105"/>
      <c r="AO150" s="2105"/>
      <c r="AP150" s="2105"/>
      <c r="AQ150" s="2105"/>
      <c r="AR150" s="2105"/>
      <c r="AS150" s="2105"/>
      <c r="AT150" s="2105"/>
      <c r="AU150" s="2105"/>
      <c r="AV150" s="2105"/>
      <c r="AW150" s="2105"/>
      <c r="AX150" s="2106"/>
      <c r="AY150" s="1190"/>
      <c r="AZ150" s="1190"/>
      <c r="BA150" s="1190"/>
      <c r="BB150" s="1190"/>
      <c r="BC150" s="1190"/>
      <c r="BD150" s="1190"/>
      <c r="BE150" s="1194"/>
    </row>
    <row r="151" spans="1:57" ht="15.75" customHeight="1">
      <c r="A151" s="1190"/>
      <c r="B151" s="2104"/>
      <c r="C151" s="2105"/>
      <c r="D151" s="2105"/>
      <c r="E151" s="2105"/>
      <c r="F151" s="2105"/>
      <c r="G151" s="2105"/>
      <c r="H151" s="2105"/>
      <c r="I151" s="2105"/>
      <c r="J151" s="2105"/>
      <c r="K151" s="2105"/>
      <c r="L151" s="2105"/>
      <c r="M151" s="2105"/>
      <c r="N151" s="2105"/>
      <c r="O151" s="2105"/>
      <c r="P151" s="2105"/>
      <c r="Q151" s="2105"/>
      <c r="R151" s="2105"/>
      <c r="S151" s="2105"/>
      <c r="T151" s="2105"/>
      <c r="U151" s="2105"/>
      <c r="V151" s="2105"/>
      <c r="W151" s="2105"/>
      <c r="X151" s="2105"/>
      <c r="Y151" s="2105"/>
      <c r="Z151" s="2105"/>
      <c r="AA151" s="2105"/>
      <c r="AB151" s="2105"/>
      <c r="AC151" s="2105"/>
      <c r="AD151" s="2105"/>
      <c r="AE151" s="2105"/>
      <c r="AF151" s="2105"/>
      <c r="AG151" s="2105"/>
      <c r="AH151" s="2105"/>
      <c r="AI151" s="2105"/>
      <c r="AJ151" s="2105"/>
      <c r="AK151" s="2105"/>
      <c r="AL151" s="2105"/>
      <c r="AM151" s="2105"/>
      <c r="AN151" s="2105"/>
      <c r="AO151" s="2105"/>
      <c r="AP151" s="2105"/>
      <c r="AQ151" s="2105"/>
      <c r="AR151" s="2105"/>
      <c r="AS151" s="2105"/>
      <c r="AT151" s="2105"/>
      <c r="AU151" s="2105"/>
      <c r="AV151" s="2105"/>
      <c r="AW151" s="2105"/>
      <c r="AX151" s="2106"/>
      <c r="AY151" s="1190"/>
      <c r="AZ151" s="1190"/>
      <c r="BA151" s="1190"/>
      <c r="BB151" s="1190"/>
      <c r="BC151" s="1190"/>
      <c r="BD151" s="1190"/>
      <c r="BE151" s="1194"/>
    </row>
    <row r="152" spans="1:57" ht="15.75" customHeight="1" thickBot="1">
      <c r="A152" s="1190"/>
      <c r="B152" s="2107"/>
      <c r="C152" s="2108"/>
      <c r="D152" s="2108"/>
      <c r="E152" s="2108"/>
      <c r="F152" s="2108"/>
      <c r="G152" s="2108"/>
      <c r="H152" s="2108"/>
      <c r="I152" s="2108"/>
      <c r="J152" s="2108"/>
      <c r="K152" s="2108"/>
      <c r="L152" s="2108"/>
      <c r="M152" s="2108"/>
      <c r="N152" s="2108"/>
      <c r="O152" s="2108"/>
      <c r="P152" s="2108"/>
      <c r="Q152" s="2108"/>
      <c r="R152" s="2108"/>
      <c r="S152" s="2108"/>
      <c r="T152" s="2108"/>
      <c r="U152" s="2108"/>
      <c r="V152" s="2108"/>
      <c r="W152" s="2108"/>
      <c r="X152" s="2108"/>
      <c r="Y152" s="2108"/>
      <c r="Z152" s="2108"/>
      <c r="AA152" s="2108"/>
      <c r="AB152" s="2108"/>
      <c r="AC152" s="2108"/>
      <c r="AD152" s="2108"/>
      <c r="AE152" s="2108"/>
      <c r="AF152" s="2108"/>
      <c r="AG152" s="2108"/>
      <c r="AH152" s="2108"/>
      <c r="AI152" s="2108"/>
      <c r="AJ152" s="2108"/>
      <c r="AK152" s="2108"/>
      <c r="AL152" s="2108"/>
      <c r="AM152" s="2108"/>
      <c r="AN152" s="2108"/>
      <c r="AO152" s="2108"/>
      <c r="AP152" s="2108"/>
      <c r="AQ152" s="2108"/>
      <c r="AR152" s="2108"/>
      <c r="AS152" s="2108"/>
      <c r="AT152" s="2108"/>
      <c r="AU152" s="2108"/>
      <c r="AV152" s="2108"/>
      <c r="AW152" s="2108"/>
      <c r="AX152" s="210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7" t="s">
        <v>2349</v>
      </c>
      <c r="C156" s="2043"/>
      <c r="D156" s="2043"/>
      <c r="E156" s="2043"/>
      <c r="F156" s="2043"/>
      <c r="G156" s="2043"/>
      <c r="H156" s="2043"/>
      <c r="I156" s="2043"/>
      <c r="J156" s="2043"/>
      <c r="K156" s="2043"/>
      <c r="L156" s="2043"/>
      <c r="M156" s="2043"/>
      <c r="N156" s="2043"/>
      <c r="O156" s="2043"/>
      <c r="P156" s="2043"/>
      <c r="Q156" s="2043"/>
      <c r="R156" s="2043"/>
      <c r="S156" s="2043"/>
      <c r="T156" s="2043"/>
      <c r="U156" s="2044"/>
      <c r="V156" s="1190"/>
      <c r="W156" s="1192"/>
      <c r="X156" s="2087" t="s">
        <v>2348</v>
      </c>
      <c r="Y156" s="2043"/>
      <c r="Z156" s="2043"/>
      <c r="AA156" s="2043"/>
      <c r="AB156" s="2043"/>
      <c r="AC156" s="2043"/>
      <c r="AD156" s="2043"/>
      <c r="AE156" s="2043"/>
      <c r="AF156" s="2043"/>
      <c r="AG156" s="2043"/>
      <c r="AH156" s="2043"/>
      <c r="AI156" s="2043"/>
      <c r="AJ156" s="2043"/>
      <c r="AK156" s="2043"/>
      <c r="AL156" s="2043"/>
      <c r="AM156" s="2043"/>
      <c r="AN156" s="2043"/>
      <c r="AO156" s="2043"/>
      <c r="AP156" s="2043"/>
      <c r="AQ156" s="204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55"/>
      <c r="C157" s="2056"/>
      <c r="D157" s="2056"/>
      <c r="E157" s="2056"/>
      <c r="F157" s="2056"/>
      <c r="G157" s="2056"/>
      <c r="H157" s="2056"/>
      <c r="I157" s="2093" t="s">
        <v>2346</v>
      </c>
      <c r="J157" s="2093"/>
      <c r="K157" s="2093"/>
      <c r="L157" s="2093"/>
      <c r="M157" s="2093"/>
      <c r="N157" s="2093"/>
      <c r="O157" s="2093"/>
      <c r="P157" s="2093" t="s">
        <v>2347</v>
      </c>
      <c r="Q157" s="2093"/>
      <c r="R157" s="2093"/>
      <c r="S157" s="2093"/>
      <c r="T157" s="2093"/>
      <c r="U157" s="2094"/>
      <c r="V157" s="1190"/>
      <c r="W157" s="1190"/>
      <c r="X157" s="2055"/>
      <c r="Y157" s="2056"/>
      <c r="Z157" s="2056"/>
      <c r="AA157" s="2056"/>
      <c r="AB157" s="2056"/>
      <c r="AC157" s="2056"/>
      <c r="AD157" s="2056"/>
      <c r="AE157" s="2093" t="s">
        <v>2346</v>
      </c>
      <c r="AF157" s="2093"/>
      <c r="AG157" s="2093"/>
      <c r="AH157" s="2093"/>
      <c r="AI157" s="2093"/>
      <c r="AJ157" s="2093"/>
      <c r="AK157" s="2093"/>
      <c r="AL157" s="2093" t="s">
        <v>2345</v>
      </c>
      <c r="AM157" s="2093"/>
      <c r="AN157" s="2093"/>
      <c r="AO157" s="2093"/>
      <c r="AP157" s="2093"/>
      <c r="AQ157" s="209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55"/>
      <c r="C158" s="2056"/>
      <c r="D158" s="2056"/>
      <c r="E158" s="2056"/>
      <c r="F158" s="2056"/>
      <c r="G158" s="2056"/>
      <c r="H158" s="2056"/>
      <c r="I158" s="2093"/>
      <c r="J158" s="2093"/>
      <c r="K158" s="2093"/>
      <c r="L158" s="2093"/>
      <c r="M158" s="2093"/>
      <c r="N158" s="2093"/>
      <c r="O158" s="2093"/>
      <c r="P158" s="2093"/>
      <c r="Q158" s="2093"/>
      <c r="R158" s="2093"/>
      <c r="S158" s="2093"/>
      <c r="T158" s="2093"/>
      <c r="U158" s="2094"/>
      <c r="V158" s="1190"/>
      <c r="W158" s="1190"/>
      <c r="X158" s="2055"/>
      <c r="Y158" s="2056"/>
      <c r="Z158" s="2056"/>
      <c r="AA158" s="2056"/>
      <c r="AB158" s="2056"/>
      <c r="AC158" s="2056"/>
      <c r="AD158" s="2056"/>
      <c r="AE158" s="2093"/>
      <c r="AF158" s="2093"/>
      <c r="AG158" s="2093"/>
      <c r="AH158" s="2093"/>
      <c r="AI158" s="2093"/>
      <c r="AJ158" s="2093"/>
      <c r="AK158" s="2093"/>
      <c r="AL158" s="2093"/>
      <c r="AM158" s="2093"/>
      <c r="AN158" s="2093"/>
      <c r="AO158" s="2093"/>
      <c r="AP158" s="2093"/>
      <c r="AQ158" s="209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9" t="s">
        <v>2344</v>
      </c>
      <c r="C159" s="2090"/>
      <c r="D159" s="2090"/>
      <c r="E159" s="2090"/>
      <c r="F159" s="2090"/>
      <c r="G159" s="2090"/>
      <c r="H159" s="2090"/>
      <c r="I159" s="2091">
        <v>0</v>
      </c>
      <c r="J159" s="2091"/>
      <c r="K159" s="2091"/>
      <c r="L159" s="2091"/>
      <c r="M159" s="2091"/>
      <c r="N159" s="2091"/>
      <c r="O159" s="2091"/>
      <c r="P159" s="2091">
        <v>0</v>
      </c>
      <c r="Q159" s="2091"/>
      <c r="R159" s="2091"/>
      <c r="S159" s="2091"/>
      <c r="T159" s="2091"/>
      <c r="U159" s="2092"/>
      <c r="V159" s="1190"/>
      <c r="W159" s="1190"/>
      <c r="X159" s="2083" t="s">
        <v>2344</v>
      </c>
      <c r="Y159" s="2084"/>
      <c r="Z159" s="2084"/>
      <c r="AA159" s="2084"/>
      <c r="AB159" s="2084"/>
      <c r="AC159" s="2084"/>
      <c r="AD159" s="2084"/>
      <c r="AE159" s="2085">
        <v>0</v>
      </c>
      <c r="AF159" s="2085"/>
      <c r="AG159" s="2085"/>
      <c r="AH159" s="2085"/>
      <c r="AI159" s="2085"/>
      <c r="AJ159" s="2085"/>
      <c r="AK159" s="2085"/>
      <c r="AL159" s="2085">
        <v>0</v>
      </c>
      <c r="AM159" s="2085"/>
      <c r="AN159" s="2085"/>
      <c r="AO159" s="2085"/>
      <c r="AP159" s="2085"/>
      <c r="AQ159" s="208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83" t="s">
        <v>2343</v>
      </c>
      <c r="C160" s="2084"/>
      <c r="D160" s="2084"/>
      <c r="E160" s="2084"/>
      <c r="F160" s="2084"/>
      <c r="G160" s="2084"/>
      <c r="H160" s="2084"/>
      <c r="I160" s="2085">
        <v>0</v>
      </c>
      <c r="J160" s="2085"/>
      <c r="K160" s="2085"/>
      <c r="L160" s="2085"/>
      <c r="M160" s="2085"/>
      <c r="N160" s="2085"/>
      <c r="O160" s="2085"/>
      <c r="P160" s="2085">
        <v>0</v>
      </c>
      <c r="Q160" s="2085"/>
      <c r="R160" s="2085"/>
      <c r="S160" s="2085"/>
      <c r="T160" s="2085"/>
      <c r="U160" s="208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7" t="s">
        <v>2342</v>
      </c>
      <c r="D162" s="2043"/>
      <c r="E162" s="2043"/>
      <c r="F162" s="2043"/>
      <c r="G162" s="2043"/>
      <c r="H162" s="2043"/>
      <c r="I162" s="2043"/>
      <c r="J162" s="2043"/>
      <c r="K162" s="2043"/>
      <c r="L162" s="2043"/>
      <c r="M162" s="2043"/>
      <c r="N162" s="2043"/>
      <c r="O162" s="2043"/>
      <c r="P162" s="2043"/>
      <c r="Q162" s="2043"/>
      <c r="R162" s="2043"/>
      <c r="S162" s="2043"/>
      <c r="T162" s="2043"/>
      <c r="U162" s="2043"/>
      <c r="V162" s="2043"/>
      <c r="W162" s="2043"/>
      <c r="X162" s="2043"/>
      <c r="Y162" s="2043"/>
      <c r="Z162" s="2043"/>
      <c r="AA162" s="2043"/>
      <c r="AB162" s="2043"/>
      <c r="AC162" s="2043"/>
      <c r="AD162" s="2043"/>
      <c r="AE162" s="2043"/>
      <c r="AF162" s="2043"/>
      <c r="AG162" s="204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55" t="s">
        <v>2327</v>
      </c>
      <c r="D163" s="2056"/>
      <c r="E163" s="2056"/>
      <c r="F163" s="2056"/>
      <c r="G163" s="2056"/>
      <c r="H163" s="2056"/>
      <c r="I163" s="2056"/>
      <c r="J163" s="2056"/>
      <c r="K163" s="2056"/>
      <c r="L163" s="2056"/>
      <c r="M163" s="2056"/>
      <c r="N163" s="2056"/>
      <c r="O163" s="2056"/>
      <c r="P163" s="2056"/>
      <c r="Q163" s="2056" t="s">
        <v>2341</v>
      </c>
      <c r="R163" s="2056"/>
      <c r="S163" s="2056"/>
      <c r="T163" s="2088" t="s">
        <v>2340</v>
      </c>
      <c r="U163" s="2088"/>
      <c r="V163" s="2088"/>
      <c r="W163" s="2088"/>
      <c r="X163" s="2088"/>
      <c r="Y163" s="2088"/>
      <c r="Z163" s="2088"/>
      <c r="AA163" s="2088"/>
      <c r="AB163" s="2056" t="s">
        <v>2339</v>
      </c>
      <c r="AC163" s="2056"/>
      <c r="AD163" s="2056"/>
      <c r="AE163" s="2056"/>
      <c r="AF163" s="2056"/>
      <c r="AG163" s="205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70" t="s">
        <v>2338</v>
      </c>
      <c r="D164" s="2071"/>
      <c r="E164" s="2071"/>
      <c r="F164" s="2071"/>
      <c r="G164" s="2071"/>
      <c r="H164" s="2071"/>
      <c r="I164" s="2071"/>
      <c r="J164" s="2071"/>
      <c r="K164" s="2071"/>
      <c r="L164" s="2071"/>
      <c r="M164" s="2071"/>
      <c r="N164" s="2071"/>
      <c r="O164" s="2071"/>
      <c r="P164" s="2071"/>
      <c r="Q164" s="2013">
        <v>55</v>
      </c>
      <c r="R164" s="2013"/>
      <c r="S164" s="2013"/>
      <c r="T164" s="2064"/>
      <c r="U164" s="2064"/>
      <c r="V164" s="2064"/>
      <c r="W164" s="2064"/>
      <c r="X164" s="2064"/>
      <c r="Y164" s="2064"/>
      <c r="Z164" s="2064"/>
      <c r="AA164" s="206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70" t="s">
        <v>2337</v>
      </c>
      <c r="D165" s="2071"/>
      <c r="E165" s="2071"/>
      <c r="F165" s="2071"/>
      <c r="G165" s="2071"/>
      <c r="H165" s="2071"/>
      <c r="I165" s="2071"/>
      <c r="J165" s="2071"/>
      <c r="K165" s="2071"/>
      <c r="L165" s="2071"/>
      <c r="M165" s="2071"/>
      <c r="N165" s="2071"/>
      <c r="O165" s="2071"/>
      <c r="P165" s="2071"/>
      <c r="Q165" s="2013">
        <v>55</v>
      </c>
      <c r="R165" s="2013"/>
      <c r="S165" s="2013"/>
      <c r="T165" s="2073"/>
      <c r="U165" s="2073"/>
      <c r="V165" s="2073"/>
      <c r="W165" s="2073"/>
      <c r="X165" s="2073"/>
      <c r="Y165" s="2073"/>
      <c r="Z165" s="2073"/>
      <c r="AA165" s="207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70" t="s">
        <v>2336</v>
      </c>
      <c r="D166" s="2071"/>
      <c r="E166" s="2071"/>
      <c r="F166" s="2071"/>
      <c r="G166" s="2071"/>
      <c r="H166" s="2071"/>
      <c r="I166" s="2071"/>
      <c r="J166" s="2071"/>
      <c r="K166" s="2071"/>
      <c r="L166" s="2071"/>
      <c r="M166" s="2071"/>
      <c r="N166" s="2071"/>
      <c r="O166" s="2071"/>
      <c r="P166" s="2071"/>
      <c r="Q166" s="2013">
        <v>55</v>
      </c>
      <c r="R166" s="2013"/>
      <c r="S166" s="2013"/>
      <c r="T166" s="2064"/>
      <c r="U166" s="2064"/>
      <c r="V166" s="2064"/>
      <c r="W166" s="2064"/>
      <c r="X166" s="2064"/>
      <c r="Y166" s="2064"/>
      <c r="Z166" s="2064"/>
      <c r="AA166" s="206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70" t="s">
        <v>2335</v>
      </c>
      <c r="D167" s="2071"/>
      <c r="E167" s="2071"/>
      <c r="F167" s="2071"/>
      <c r="G167" s="2071"/>
      <c r="H167" s="2071"/>
      <c r="I167" s="2071"/>
      <c r="J167" s="2071"/>
      <c r="K167" s="2071"/>
      <c r="L167" s="2071"/>
      <c r="M167" s="2071"/>
      <c r="N167" s="2071"/>
      <c r="O167" s="2071"/>
      <c r="P167" s="2071"/>
      <c r="Q167" s="2013">
        <v>55</v>
      </c>
      <c r="R167" s="2013"/>
      <c r="S167" s="2013"/>
      <c r="T167" s="2064"/>
      <c r="U167" s="2064"/>
      <c r="V167" s="2064"/>
      <c r="W167" s="2064"/>
      <c r="X167" s="2064"/>
      <c r="Y167" s="2064"/>
      <c r="Z167" s="2064"/>
      <c r="AA167" s="2064"/>
      <c r="AB167" s="2074">
        <v>0</v>
      </c>
      <c r="AC167" s="2074"/>
      <c r="AD167" s="2074"/>
      <c r="AE167" s="2074"/>
      <c r="AF167" s="2074"/>
      <c r="AG167" s="207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70" t="s">
        <v>170</v>
      </c>
      <c r="D168" s="2071"/>
      <c r="E168" s="2071"/>
      <c r="F168" s="2072" t="s">
        <v>2316</v>
      </c>
      <c r="G168" s="2072"/>
      <c r="H168" s="2072"/>
      <c r="I168" s="2072"/>
      <c r="J168" s="2072"/>
      <c r="K168" s="2072"/>
      <c r="L168" s="2072"/>
      <c r="M168" s="2072"/>
      <c r="N168" s="2072"/>
      <c r="O168" s="2072"/>
      <c r="P168" s="2072"/>
      <c r="Q168" s="2013">
        <v>55</v>
      </c>
      <c r="R168" s="2013"/>
      <c r="S168" s="2013"/>
      <c r="T168" s="2073"/>
      <c r="U168" s="2073"/>
      <c r="V168" s="2073"/>
      <c r="W168" s="2073"/>
      <c r="X168" s="2073"/>
      <c r="Y168" s="2073"/>
      <c r="Z168" s="2073"/>
      <c r="AA168" s="2073"/>
      <c r="AB168" s="2074">
        <v>0</v>
      </c>
      <c r="AC168" s="2074"/>
      <c r="AD168" s="2074"/>
      <c r="AE168" s="2074"/>
      <c r="AF168" s="2074"/>
      <c r="AG168" s="207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70" t="s">
        <v>170</v>
      </c>
      <c r="D169" s="2071"/>
      <c r="E169" s="2071"/>
      <c r="F169" s="2072" t="s">
        <v>2316</v>
      </c>
      <c r="G169" s="2072"/>
      <c r="H169" s="2072"/>
      <c r="I169" s="2072"/>
      <c r="J169" s="2072"/>
      <c r="K169" s="2072"/>
      <c r="L169" s="2072"/>
      <c r="M169" s="2072"/>
      <c r="N169" s="2072"/>
      <c r="O169" s="2072"/>
      <c r="P169" s="2072"/>
      <c r="Q169" s="2013">
        <v>55</v>
      </c>
      <c r="R169" s="2013"/>
      <c r="S169" s="2013"/>
      <c r="T169" s="2073"/>
      <c r="U169" s="2073"/>
      <c r="V169" s="2073"/>
      <c r="W169" s="2073"/>
      <c r="X169" s="2073"/>
      <c r="Y169" s="2073"/>
      <c r="Z169" s="2073"/>
      <c r="AA169" s="2073"/>
      <c r="AB169" s="2074">
        <v>0</v>
      </c>
      <c r="AC169" s="2074"/>
      <c r="AD169" s="2074"/>
      <c r="AE169" s="2074"/>
      <c r="AF169" s="2074"/>
      <c r="AG169" s="207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76" t="s">
        <v>170</v>
      </c>
      <c r="D170" s="2077"/>
      <c r="E170" s="2077"/>
      <c r="F170" s="2078" t="s">
        <v>2316</v>
      </c>
      <c r="G170" s="2078"/>
      <c r="H170" s="2078"/>
      <c r="I170" s="2078"/>
      <c r="J170" s="2078"/>
      <c r="K170" s="2078"/>
      <c r="L170" s="2078"/>
      <c r="M170" s="2078"/>
      <c r="N170" s="2078"/>
      <c r="O170" s="2078"/>
      <c r="P170" s="2078"/>
      <c r="Q170" s="2079">
        <v>55</v>
      </c>
      <c r="R170" s="2079"/>
      <c r="S170" s="2079"/>
      <c r="T170" s="2080"/>
      <c r="U170" s="2080"/>
      <c r="V170" s="2080"/>
      <c r="W170" s="2080"/>
      <c r="X170" s="2080"/>
      <c r="Y170" s="2080"/>
      <c r="Z170" s="2080"/>
      <c r="AA170" s="2080"/>
      <c r="AB170" s="2081">
        <v>0</v>
      </c>
      <c r="AC170" s="2081"/>
      <c r="AD170" s="2081"/>
      <c r="AE170" s="2081"/>
      <c r="AF170" s="2081"/>
      <c r="AG170" s="208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41" t="s">
        <v>2334</v>
      </c>
      <c r="D172" s="2042"/>
      <c r="E172" s="2042"/>
      <c r="F172" s="2042"/>
      <c r="G172" s="2042"/>
      <c r="H172" s="2042"/>
      <c r="I172" s="2042"/>
      <c r="J172" s="2042"/>
      <c r="K172" s="2042"/>
      <c r="L172" s="2042"/>
      <c r="M172" s="2042"/>
      <c r="N172" s="2051"/>
      <c r="O172" s="1190"/>
      <c r="P172" s="2052" t="s">
        <v>2333</v>
      </c>
      <c r="Q172" s="2053"/>
      <c r="R172" s="2053"/>
      <c r="S172" s="2053"/>
      <c r="T172" s="2053"/>
      <c r="U172" s="2053"/>
      <c r="V172" s="2053"/>
      <c r="W172" s="2053"/>
      <c r="X172" s="2053"/>
      <c r="Y172" s="2053"/>
      <c r="Z172" s="2053"/>
      <c r="AA172" s="2053"/>
      <c r="AB172" s="2053"/>
      <c r="AC172" s="2053"/>
      <c r="AD172" s="2053"/>
      <c r="AE172" s="2053"/>
      <c r="AF172" s="2053"/>
      <c r="AG172" s="2053"/>
      <c r="AH172" s="2053"/>
      <c r="AI172" s="2053"/>
      <c r="AJ172" s="2053"/>
      <c r="AK172" s="2053"/>
      <c r="AL172" s="2053"/>
      <c r="AM172" s="2053"/>
      <c r="AN172" s="2053"/>
      <c r="AO172" s="205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55" t="s">
        <v>2332</v>
      </c>
      <c r="D173" s="2056"/>
      <c r="E173" s="2056"/>
      <c r="F173" s="2056"/>
      <c r="G173" s="2056"/>
      <c r="H173" s="2056"/>
      <c r="I173" s="2056" t="s">
        <v>2331</v>
      </c>
      <c r="J173" s="2056"/>
      <c r="K173" s="2056"/>
      <c r="L173" s="2056"/>
      <c r="M173" s="2056"/>
      <c r="N173" s="2057"/>
      <c r="O173" s="1190"/>
      <c r="P173" s="2058" t="s">
        <v>2330</v>
      </c>
      <c r="Q173" s="2059"/>
      <c r="R173" s="2059"/>
      <c r="S173" s="2059"/>
      <c r="T173" s="2059"/>
      <c r="U173" s="2059"/>
      <c r="V173" s="2059"/>
      <c r="W173" s="2059"/>
      <c r="X173" s="2059"/>
      <c r="Y173" s="2059"/>
      <c r="Z173" s="2059"/>
      <c r="AA173" s="2059"/>
      <c r="AB173" s="2059"/>
      <c r="AC173" s="2059"/>
      <c r="AD173" s="2059"/>
      <c r="AE173" s="2059"/>
      <c r="AF173" s="2059"/>
      <c r="AG173" s="2059"/>
      <c r="AH173" s="2059"/>
      <c r="AI173" s="2059"/>
      <c r="AJ173" s="2059"/>
      <c r="AK173" s="2059"/>
      <c r="AL173" s="2059"/>
      <c r="AM173" s="2059"/>
      <c r="AN173" s="2059"/>
      <c r="AO173" s="206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03"/>
      <c r="D174" s="2004"/>
      <c r="E174" s="2004"/>
      <c r="F174" s="2004"/>
      <c r="G174" s="2004"/>
      <c r="H174" s="2004"/>
      <c r="I174" s="2064"/>
      <c r="J174" s="2064"/>
      <c r="K174" s="2064"/>
      <c r="L174" s="2064"/>
      <c r="M174" s="2064"/>
      <c r="N174" s="2065"/>
      <c r="O174" s="1190"/>
      <c r="P174" s="2058"/>
      <c r="Q174" s="2059"/>
      <c r="R174" s="2059"/>
      <c r="S174" s="2059"/>
      <c r="T174" s="2059"/>
      <c r="U174" s="2059"/>
      <c r="V174" s="2059"/>
      <c r="W174" s="2059"/>
      <c r="X174" s="2059"/>
      <c r="Y174" s="2059"/>
      <c r="Z174" s="2059"/>
      <c r="AA174" s="2059"/>
      <c r="AB174" s="2059"/>
      <c r="AC174" s="2059"/>
      <c r="AD174" s="2059"/>
      <c r="AE174" s="2059"/>
      <c r="AF174" s="2059"/>
      <c r="AG174" s="2059"/>
      <c r="AH174" s="2059"/>
      <c r="AI174" s="2059"/>
      <c r="AJ174" s="2059"/>
      <c r="AK174" s="2059"/>
      <c r="AL174" s="2059"/>
      <c r="AM174" s="2059"/>
      <c r="AN174" s="2059"/>
      <c r="AO174" s="206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03"/>
      <c r="D175" s="2004"/>
      <c r="E175" s="2004"/>
      <c r="F175" s="2004"/>
      <c r="G175" s="2004"/>
      <c r="H175" s="2004"/>
      <c r="I175" s="2064"/>
      <c r="J175" s="2064"/>
      <c r="K175" s="2064"/>
      <c r="L175" s="2064"/>
      <c r="M175" s="2064"/>
      <c r="N175" s="2065"/>
      <c r="O175" s="1190"/>
      <c r="P175" s="2058"/>
      <c r="Q175" s="2059"/>
      <c r="R175" s="2059"/>
      <c r="S175" s="2059"/>
      <c r="T175" s="2059"/>
      <c r="U175" s="2059"/>
      <c r="V175" s="2059"/>
      <c r="W175" s="2059"/>
      <c r="X175" s="2059"/>
      <c r="Y175" s="2059"/>
      <c r="Z175" s="2059"/>
      <c r="AA175" s="2059"/>
      <c r="AB175" s="2059"/>
      <c r="AC175" s="2059"/>
      <c r="AD175" s="2059"/>
      <c r="AE175" s="2059"/>
      <c r="AF175" s="2059"/>
      <c r="AG175" s="2059"/>
      <c r="AH175" s="2059"/>
      <c r="AI175" s="2059"/>
      <c r="AJ175" s="2059"/>
      <c r="AK175" s="2059"/>
      <c r="AL175" s="2059"/>
      <c r="AM175" s="2059"/>
      <c r="AN175" s="2059"/>
      <c r="AO175" s="206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03"/>
      <c r="D176" s="2004"/>
      <c r="E176" s="2004"/>
      <c r="F176" s="2004"/>
      <c r="G176" s="2004"/>
      <c r="H176" s="2004"/>
      <c r="I176" s="2064"/>
      <c r="J176" s="2064"/>
      <c r="K176" s="2064"/>
      <c r="L176" s="2064"/>
      <c r="M176" s="2064"/>
      <c r="N176" s="2065"/>
      <c r="O176" s="1190"/>
      <c r="P176" s="2058"/>
      <c r="Q176" s="2059"/>
      <c r="R176" s="2059"/>
      <c r="S176" s="2059"/>
      <c r="T176" s="2059"/>
      <c r="U176" s="2059"/>
      <c r="V176" s="2059"/>
      <c r="W176" s="2059"/>
      <c r="X176" s="2059"/>
      <c r="Y176" s="2059"/>
      <c r="Z176" s="2059"/>
      <c r="AA176" s="2059"/>
      <c r="AB176" s="2059"/>
      <c r="AC176" s="2059"/>
      <c r="AD176" s="2059"/>
      <c r="AE176" s="2059"/>
      <c r="AF176" s="2059"/>
      <c r="AG176" s="2059"/>
      <c r="AH176" s="2059"/>
      <c r="AI176" s="2059"/>
      <c r="AJ176" s="2059"/>
      <c r="AK176" s="2059"/>
      <c r="AL176" s="2059"/>
      <c r="AM176" s="2059"/>
      <c r="AN176" s="2059"/>
      <c r="AO176" s="206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03"/>
      <c r="D177" s="2004"/>
      <c r="E177" s="2004"/>
      <c r="F177" s="2004"/>
      <c r="G177" s="2004"/>
      <c r="H177" s="2004"/>
      <c r="I177" s="2064"/>
      <c r="J177" s="2064"/>
      <c r="K177" s="2064"/>
      <c r="L177" s="2064"/>
      <c r="M177" s="2064"/>
      <c r="N177" s="2065"/>
      <c r="O177" s="1190"/>
      <c r="P177" s="2058"/>
      <c r="Q177" s="2059"/>
      <c r="R177" s="2059"/>
      <c r="S177" s="2059"/>
      <c r="T177" s="2059"/>
      <c r="U177" s="2059"/>
      <c r="V177" s="2059"/>
      <c r="W177" s="2059"/>
      <c r="X177" s="2059"/>
      <c r="Y177" s="2059"/>
      <c r="Z177" s="2059"/>
      <c r="AA177" s="2059"/>
      <c r="AB177" s="2059"/>
      <c r="AC177" s="2059"/>
      <c r="AD177" s="2059"/>
      <c r="AE177" s="2059"/>
      <c r="AF177" s="2059"/>
      <c r="AG177" s="2059"/>
      <c r="AH177" s="2059"/>
      <c r="AI177" s="2059"/>
      <c r="AJ177" s="2059"/>
      <c r="AK177" s="2059"/>
      <c r="AL177" s="2059"/>
      <c r="AM177" s="2059"/>
      <c r="AN177" s="2059"/>
      <c r="AO177" s="206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03"/>
      <c r="D178" s="2004"/>
      <c r="E178" s="2004"/>
      <c r="F178" s="2004"/>
      <c r="G178" s="2004"/>
      <c r="H178" s="2004"/>
      <c r="I178" s="2064"/>
      <c r="J178" s="2064"/>
      <c r="K178" s="2064"/>
      <c r="L178" s="2064"/>
      <c r="M178" s="2064"/>
      <c r="N178" s="2065"/>
      <c r="O178" s="1190"/>
      <c r="P178" s="2058"/>
      <c r="Q178" s="2059"/>
      <c r="R178" s="2059"/>
      <c r="S178" s="2059"/>
      <c r="T178" s="2059"/>
      <c r="U178" s="2059"/>
      <c r="V178" s="2059"/>
      <c r="W178" s="2059"/>
      <c r="X178" s="2059"/>
      <c r="Y178" s="2059"/>
      <c r="Z178" s="2059"/>
      <c r="AA178" s="2059"/>
      <c r="AB178" s="2059"/>
      <c r="AC178" s="2059"/>
      <c r="AD178" s="2059"/>
      <c r="AE178" s="2059"/>
      <c r="AF178" s="2059"/>
      <c r="AG178" s="2059"/>
      <c r="AH178" s="2059"/>
      <c r="AI178" s="2059"/>
      <c r="AJ178" s="2059"/>
      <c r="AK178" s="2059"/>
      <c r="AL178" s="2059"/>
      <c r="AM178" s="2059"/>
      <c r="AN178" s="2059"/>
      <c r="AO178" s="206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03"/>
      <c r="D179" s="2004"/>
      <c r="E179" s="2004"/>
      <c r="F179" s="2004"/>
      <c r="G179" s="2004"/>
      <c r="H179" s="2004"/>
      <c r="I179" s="2064"/>
      <c r="J179" s="2064"/>
      <c r="K179" s="2064"/>
      <c r="L179" s="2064"/>
      <c r="M179" s="2064"/>
      <c r="N179" s="2065"/>
      <c r="O179" s="1190"/>
      <c r="P179" s="2058"/>
      <c r="Q179" s="2059"/>
      <c r="R179" s="2059"/>
      <c r="S179" s="2059"/>
      <c r="T179" s="2059"/>
      <c r="U179" s="2059"/>
      <c r="V179" s="2059"/>
      <c r="W179" s="2059"/>
      <c r="X179" s="2059"/>
      <c r="Y179" s="2059"/>
      <c r="Z179" s="2059"/>
      <c r="AA179" s="2059"/>
      <c r="AB179" s="2059"/>
      <c r="AC179" s="2059"/>
      <c r="AD179" s="2059"/>
      <c r="AE179" s="2059"/>
      <c r="AF179" s="2059"/>
      <c r="AG179" s="2059"/>
      <c r="AH179" s="2059"/>
      <c r="AI179" s="2059"/>
      <c r="AJ179" s="2059"/>
      <c r="AK179" s="2059"/>
      <c r="AL179" s="2059"/>
      <c r="AM179" s="2059"/>
      <c r="AN179" s="2059"/>
      <c r="AO179" s="206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66"/>
      <c r="D180" s="2067"/>
      <c r="E180" s="2067"/>
      <c r="F180" s="2067"/>
      <c r="G180" s="2067"/>
      <c r="H180" s="2067"/>
      <c r="I180" s="2068"/>
      <c r="J180" s="2068"/>
      <c r="K180" s="2068"/>
      <c r="L180" s="2068"/>
      <c r="M180" s="2068"/>
      <c r="N180" s="2069"/>
      <c r="O180" s="1190"/>
      <c r="P180" s="2061"/>
      <c r="Q180" s="2062"/>
      <c r="R180" s="2062"/>
      <c r="S180" s="2062"/>
      <c r="T180" s="2062"/>
      <c r="U180" s="2062"/>
      <c r="V180" s="2062"/>
      <c r="W180" s="2062"/>
      <c r="X180" s="2062"/>
      <c r="Y180" s="2062"/>
      <c r="Z180" s="2062"/>
      <c r="AA180" s="2062"/>
      <c r="AB180" s="2062"/>
      <c r="AC180" s="2062"/>
      <c r="AD180" s="2062"/>
      <c r="AE180" s="2062"/>
      <c r="AF180" s="2062"/>
      <c r="AG180" s="2062"/>
      <c r="AH180" s="2062"/>
      <c r="AI180" s="2062"/>
      <c r="AJ180" s="2062"/>
      <c r="AK180" s="2062"/>
      <c r="AL180" s="2062"/>
      <c r="AM180" s="2062"/>
      <c r="AN180" s="2062"/>
      <c r="AO180" s="206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32" t="s">
        <v>2329</v>
      </c>
      <c r="D182" s="2033"/>
      <c r="E182" s="2033"/>
      <c r="F182" s="2033"/>
      <c r="G182" s="2033"/>
      <c r="H182" s="2033"/>
      <c r="I182" s="2033"/>
      <c r="J182" s="2033"/>
      <c r="K182" s="2033"/>
      <c r="L182" s="2033"/>
      <c r="M182" s="2033"/>
      <c r="N182" s="2033"/>
      <c r="O182" s="2033"/>
      <c r="P182" s="2033"/>
      <c r="Q182" s="2033"/>
      <c r="R182" s="2033"/>
      <c r="S182" s="2033"/>
      <c r="T182" s="2033"/>
      <c r="U182" s="2033"/>
      <c r="V182" s="2033"/>
      <c r="W182" s="2033"/>
      <c r="X182" s="2033"/>
      <c r="Y182" s="2033"/>
      <c r="Z182" s="2033"/>
      <c r="AA182" s="2033"/>
      <c r="AB182" s="2033"/>
      <c r="AC182" s="2033"/>
      <c r="AD182" s="2033"/>
      <c r="AE182" s="2034"/>
      <c r="AF182" s="1190"/>
      <c r="AG182" s="1190"/>
      <c r="AH182" s="1917"/>
      <c r="AI182" s="1917"/>
      <c r="AJ182" s="1917"/>
      <c r="AK182" s="1917"/>
      <c r="AL182" s="1917"/>
      <c r="AM182" s="1917"/>
      <c r="AN182" s="1917"/>
      <c r="AO182" s="1917"/>
      <c r="AP182" s="1917"/>
      <c r="AQ182" s="1917"/>
      <c r="AR182" s="1917"/>
      <c r="AS182" s="1917"/>
      <c r="AT182" s="1917"/>
      <c r="AU182" s="1917"/>
      <c r="AV182" s="1917"/>
      <c r="AW182" s="1917"/>
      <c r="AX182" s="1917"/>
      <c r="AY182" s="1917"/>
      <c r="AZ182" s="1917"/>
      <c r="BA182" s="1917"/>
      <c r="BB182" s="1917"/>
      <c r="BC182" s="1917"/>
      <c r="BD182" s="1917"/>
      <c r="BE182" s="1917"/>
    </row>
    <row r="183" spans="1:57" ht="15.75" customHeight="1" thickBot="1">
      <c r="A183" s="1190"/>
      <c r="B183" s="1190"/>
      <c r="C183" s="2035"/>
      <c r="D183" s="2036"/>
      <c r="E183" s="2036"/>
      <c r="F183" s="2036"/>
      <c r="G183" s="2036"/>
      <c r="H183" s="2036"/>
      <c r="I183" s="2036"/>
      <c r="J183" s="2036"/>
      <c r="K183" s="2036"/>
      <c r="L183" s="2036"/>
      <c r="M183" s="2036"/>
      <c r="N183" s="2036"/>
      <c r="O183" s="2036"/>
      <c r="P183" s="2036"/>
      <c r="Q183" s="2036"/>
      <c r="R183" s="2036"/>
      <c r="S183" s="2036"/>
      <c r="T183" s="2036"/>
      <c r="U183" s="2036"/>
      <c r="V183" s="2036"/>
      <c r="W183" s="2036"/>
      <c r="X183" s="2036"/>
      <c r="Y183" s="2036"/>
      <c r="Z183" s="2036"/>
      <c r="AA183" s="2036"/>
      <c r="AB183" s="2036"/>
      <c r="AC183" s="2036"/>
      <c r="AD183" s="2036"/>
      <c r="AE183" s="2037"/>
      <c r="AF183" s="1190"/>
      <c r="AG183" s="1190"/>
      <c r="AH183" s="1917"/>
      <c r="AI183" s="1917"/>
      <c r="AJ183" s="1917"/>
      <c r="AK183" s="1917"/>
      <c r="AL183" s="1917"/>
      <c r="AM183" s="1917"/>
      <c r="AN183" s="1917"/>
      <c r="AO183" s="1917"/>
      <c r="AP183" s="1917"/>
      <c r="AQ183" s="1917"/>
      <c r="AR183" s="1917"/>
      <c r="AS183" s="1917"/>
      <c r="AT183" s="1917"/>
      <c r="AU183" s="1917"/>
      <c r="AV183" s="1917"/>
      <c r="AW183" s="1917"/>
      <c r="AX183" s="1917"/>
      <c r="AY183" s="1917"/>
      <c r="AZ183" s="1917"/>
      <c r="BA183" s="1917"/>
      <c r="BB183" s="1917"/>
      <c r="BC183" s="1917"/>
      <c r="BD183" s="1917"/>
      <c r="BE183" s="1917"/>
    </row>
    <row r="184" spans="1:57" ht="15.75" customHeight="1">
      <c r="A184" s="1190"/>
      <c r="B184" s="1190"/>
      <c r="C184" s="2041" t="s">
        <v>2327</v>
      </c>
      <c r="D184" s="2042"/>
      <c r="E184" s="2042"/>
      <c r="F184" s="2042"/>
      <c r="G184" s="2042"/>
      <c r="H184" s="2042"/>
      <c r="I184" s="2042"/>
      <c r="J184" s="2042"/>
      <c r="K184" s="2042"/>
      <c r="L184" s="2042"/>
      <c r="M184" s="2042"/>
      <c r="N184" s="2042" t="s">
        <v>2328</v>
      </c>
      <c r="O184" s="2042"/>
      <c r="P184" s="2042"/>
      <c r="Q184" s="2042"/>
      <c r="R184" s="2042"/>
      <c r="S184" s="2042"/>
      <c r="T184" s="2042"/>
      <c r="U184" s="2043" t="s">
        <v>2327</v>
      </c>
      <c r="V184" s="2043"/>
      <c r="W184" s="2043"/>
      <c r="X184" s="2043"/>
      <c r="Y184" s="2043"/>
      <c r="Z184" s="2043"/>
      <c r="AA184" s="2043"/>
      <c r="AB184" s="2043"/>
      <c r="AC184" s="2043"/>
      <c r="AD184" s="2043"/>
      <c r="AE184" s="2044"/>
      <c r="AF184" s="1190"/>
      <c r="AG184" s="1190"/>
      <c r="AH184" s="1917"/>
      <c r="AI184" s="1917"/>
      <c r="AJ184" s="1917"/>
      <c r="AK184" s="1917"/>
      <c r="AL184" s="1917"/>
      <c r="AM184" s="1917"/>
      <c r="AN184" s="1917"/>
      <c r="AO184" s="1917"/>
      <c r="AP184" s="1917"/>
      <c r="AQ184" s="1917"/>
      <c r="AR184" s="1917"/>
      <c r="AS184" s="1917"/>
      <c r="AT184" s="1917"/>
      <c r="AU184" s="1917"/>
      <c r="AV184" s="1917"/>
      <c r="AW184" s="1917"/>
      <c r="AX184" s="1917"/>
      <c r="AY184" s="1917"/>
      <c r="AZ184" s="1917"/>
      <c r="BA184" s="1917"/>
      <c r="BB184" s="1917"/>
      <c r="BC184" s="1917"/>
      <c r="BD184" s="1917"/>
      <c r="BE184" s="1917"/>
    </row>
    <row r="185" spans="1:57" ht="15.75" customHeight="1">
      <c r="A185" s="1190"/>
      <c r="B185" s="1190"/>
      <c r="C185" s="2020" t="s">
        <v>2326</v>
      </c>
      <c r="D185" s="2021"/>
      <c r="E185" s="2021"/>
      <c r="F185" s="2021"/>
      <c r="G185" s="2021"/>
      <c r="H185" s="2021"/>
      <c r="I185" s="2021"/>
      <c r="J185" s="2021"/>
      <c r="K185" s="2021"/>
      <c r="L185" s="2021"/>
      <c r="M185" s="2021"/>
      <c r="N185" s="2031">
        <f>'Sources and Uses Budget'!B105</f>
        <v>38908132</v>
      </c>
      <c r="O185" s="2031"/>
      <c r="P185" s="2031"/>
      <c r="Q185" s="2031"/>
      <c r="R185" s="2031"/>
      <c r="S185" s="2031"/>
      <c r="T185" s="2031"/>
      <c r="U185" s="2045"/>
      <c r="V185" s="2045"/>
      <c r="W185" s="2045"/>
      <c r="X185" s="2045"/>
      <c r="Y185" s="2045"/>
      <c r="Z185" s="2045"/>
      <c r="AA185" s="2045"/>
      <c r="AB185" s="2045"/>
      <c r="AC185" s="2045"/>
      <c r="AD185" s="2045"/>
      <c r="AE185" s="2046"/>
      <c r="AF185" s="1190"/>
      <c r="AG185" s="1190"/>
      <c r="AH185" s="1917"/>
      <c r="AI185" s="1917"/>
      <c r="AJ185" s="1917"/>
      <c r="AK185" s="1917"/>
      <c r="AL185" s="1917"/>
      <c r="AM185" s="1917"/>
      <c r="AN185" s="1917"/>
      <c r="AO185" s="1917"/>
      <c r="AP185" s="1917"/>
      <c r="AQ185" s="1917"/>
      <c r="AR185" s="1917"/>
      <c r="AS185" s="1917"/>
      <c r="AT185" s="1917"/>
      <c r="AU185" s="1917"/>
      <c r="AV185" s="1917"/>
      <c r="AW185" s="1917"/>
      <c r="AX185" s="1917"/>
      <c r="AY185" s="1917"/>
      <c r="AZ185" s="1917"/>
      <c r="BA185" s="1917"/>
      <c r="BB185" s="1917"/>
      <c r="BC185" s="1917"/>
      <c r="BD185" s="1917"/>
      <c r="BE185" s="1917"/>
    </row>
    <row r="186" spans="1:57" ht="15.75" customHeight="1">
      <c r="A186" s="1190"/>
      <c r="B186" s="1190"/>
      <c r="C186" s="2020" t="s">
        <v>2325</v>
      </c>
      <c r="D186" s="2021"/>
      <c r="E186" s="2021"/>
      <c r="F186" s="2021"/>
      <c r="G186" s="2021"/>
      <c r="H186" s="2021"/>
      <c r="I186" s="2021"/>
      <c r="J186" s="2021"/>
      <c r="K186" s="2021"/>
      <c r="L186" s="2021"/>
      <c r="M186" s="2021"/>
      <c r="N186" s="2031">
        <f>N185/J29</f>
        <v>864625.1555555556</v>
      </c>
      <c r="O186" s="2031"/>
      <c r="P186" s="2031"/>
      <c r="Q186" s="2031"/>
      <c r="R186" s="2031"/>
      <c r="S186" s="2031"/>
      <c r="T186" s="2031"/>
      <c r="U186" s="1228"/>
      <c r="V186" s="1228"/>
      <c r="W186" s="1228"/>
      <c r="X186" s="1228"/>
      <c r="Y186" s="1228"/>
      <c r="Z186" s="1228"/>
      <c r="AA186" s="1228"/>
      <c r="AB186" s="1228"/>
      <c r="AC186" s="1228"/>
      <c r="AD186" s="1228"/>
      <c r="AE186" s="1229"/>
      <c r="AF186" s="1190"/>
      <c r="AG186" s="1190"/>
      <c r="AH186" s="1917"/>
      <c r="AI186" s="1917"/>
      <c r="AJ186" s="1917"/>
      <c r="AK186" s="1917"/>
      <c r="AL186" s="1917"/>
      <c r="AM186" s="1917"/>
      <c r="AN186" s="1917"/>
      <c r="AO186" s="1917"/>
      <c r="AP186" s="1917"/>
      <c r="AQ186" s="1917"/>
      <c r="AR186" s="1917"/>
      <c r="AS186" s="1917"/>
      <c r="AT186" s="1917"/>
      <c r="AU186" s="1917"/>
      <c r="AV186" s="1917"/>
      <c r="AW186" s="1917"/>
      <c r="AX186" s="1917"/>
      <c r="AY186" s="1917"/>
      <c r="AZ186" s="1917"/>
      <c r="BA186" s="1917"/>
      <c r="BB186" s="1917"/>
      <c r="BC186" s="1917"/>
      <c r="BD186" s="1917"/>
      <c r="BE186" s="1917"/>
    </row>
    <row r="187" spans="1:57" ht="15.75" customHeight="1">
      <c r="A187" s="1190"/>
      <c r="B187" s="1190"/>
      <c r="C187" s="2047" t="s">
        <v>2324</v>
      </c>
      <c r="D187" s="2048"/>
      <c r="E187" s="2048"/>
      <c r="F187" s="2048"/>
      <c r="G187" s="2048"/>
      <c r="H187" s="2048"/>
      <c r="I187" s="2048"/>
      <c r="J187" s="2048"/>
      <c r="K187" s="2048"/>
      <c r="L187" s="2048"/>
      <c r="M187" s="2048"/>
      <c r="N187" s="2049">
        <v>0</v>
      </c>
      <c r="O187" s="2049"/>
      <c r="P187" s="2049"/>
      <c r="Q187" s="2049"/>
      <c r="R187" s="2049"/>
      <c r="S187" s="2049"/>
      <c r="T187" s="2049"/>
      <c r="U187" s="2007"/>
      <c r="V187" s="2007"/>
      <c r="W187" s="2007"/>
      <c r="X187" s="2007"/>
      <c r="Y187" s="2007"/>
      <c r="Z187" s="2007"/>
      <c r="AA187" s="2007"/>
      <c r="AB187" s="2007"/>
      <c r="AC187" s="2007"/>
      <c r="AD187" s="2007"/>
      <c r="AE187" s="2008"/>
      <c r="AF187" s="1190"/>
      <c r="AG187" s="1190"/>
      <c r="AH187" s="1917"/>
      <c r="AI187" s="1917"/>
      <c r="AJ187" s="1917"/>
      <c r="AK187" s="1917"/>
      <c r="AL187" s="1917"/>
      <c r="AM187" s="1917"/>
      <c r="AN187" s="1917"/>
      <c r="AO187" s="1917"/>
      <c r="AP187" s="1917"/>
      <c r="AQ187" s="1917"/>
      <c r="AR187" s="1917"/>
      <c r="AS187" s="1917"/>
      <c r="AT187" s="1917"/>
      <c r="AU187" s="1917"/>
      <c r="AV187" s="1917"/>
      <c r="AW187" s="1917"/>
      <c r="AX187" s="1917"/>
      <c r="AY187" s="1917"/>
      <c r="AZ187" s="1917"/>
      <c r="BA187" s="1917"/>
      <c r="BB187" s="1917"/>
      <c r="BC187" s="1917"/>
      <c r="BD187" s="1917"/>
      <c r="BE187" s="1917"/>
    </row>
    <row r="188" spans="1:57" ht="15.75" customHeight="1" thickBot="1">
      <c r="A188" s="1190"/>
      <c r="B188" s="1190"/>
      <c r="C188" s="2020" t="s">
        <v>2323</v>
      </c>
      <c r="D188" s="2021"/>
      <c r="E188" s="2021"/>
      <c r="F188" s="2021"/>
      <c r="G188" s="2021"/>
      <c r="H188" s="2021"/>
      <c r="I188" s="2021"/>
      <c r="J188" s="2021"/>
      <c r="K188" s="2021"/>
      <c r="L188" s="2021"/>
      <c r="M188" s="2021"/>
      <c r="N188" s="2050">
        <f>SUM('Sources and Uses Budget'!B85:B86)</f>
        <v>900000</v>
      </c>
      <c r="O188" s="2050"/>
      <c r="P188" s="2050"/>
      <c r="Q188" s="2050"/>
      <c r="R188" s="2050"/>
      <c r="S188" s="2050"/>
      <c r="T188" s="2050"/>
      <c r="U188" s="2007"/>
      <c r="V188" s="2007"/>
      <c r="W188" s="2007"/>
      <c r="X188" s="2007"/>
      <c r="Y188" s="2007"/>
      <c r="Z188" s="2007"/>
      <c r="AA188" s="2007"/>
      <c r="AB188" s="2007"/>
      <c r="AC188" s="2007"/>
      <c r="AD188" s="2007"/>
      <c r="AE188" s="2008"/>
      <c r="AF188" s="1190"/>
      <c r="AG188" s="1190"/>
      <c r="AH188" s="1917"/>
      <c r="AI188" s="1917"/>
      <c r="AJ188" s="1917"/>
      <c r="AK188" s="1917"/>
      <c r="AL188" s="1917"/>
      <c r="AM188" s="1917"/>
      <c r="AN188" s="1917"/>
      <c r="AO188" s="1917"/>
      <c r="AP188" s="1917"/>
      <c r="AQ188" s="1917"/>
      <c r="AR188" s="1917"/>
      <c r="AS188" s="1917"/>
      <c r="AT188" s="1917"/>
      <c r="AU188" s="1917"/>
      <c r="AV188" s="1917"/>
      <c r="AW188" s="1917"/>
      <c r="AX188" s="1917"/>
      <c r="AY188" s="1917"/>
      <c r="AZ188" s="1917"/>
      <c r="BA188" s="1917"/>
      <c r="BB188" s="1917"/>
      <c r="BC188" s="1917"/>
      <c r="BD188" s="1917"/>
      <c r="BE188" s="1917"/>
    </row>
    <row r="189" spans="1:57" ht="15.75" customHeight="1" thickBot="1">
      <c r="A189" s="1190"/>
      <c r="B189" s="1190"/>
      <c r="C189" s="2020" t="s">
        <v>2322</v>
      </c>
      <c r="D189" s="2021"/>
      <c r="E189" s="2021"/>
      <c r="F189" s="2021"/>
      <c r="G189" s="2021"/>
      <c r="H189" s="2021"/>
      <c r="I189" s="2021"/>
      <c r="J189" s="2021"/>
      <c r="K189" s="2021"/>
      <c r="L189" s="2021"/>
      <c r="M189" s="2021"/>
      <c r="N189" s="2050">
        <f>'Sources and Uses Budget'!B8</f>
        <v>3725000</v>
      </c>
      <c r="O189" s="2050"/>
      <c r="P189" s="2050"/>
      <c r="Q189" s="2050"/>
      <c r="R189" s="2050"/>
      <c r="S189" s="2050"/>
      <c r="T189" s="2050"/>
      <c r="U189" s="2007"/>
      <c r="V189" s="2007"/>
      <c r="W189" s="2007"/>
      <c r="X189" s="2007"/>
      <c r="Y189" s="2007"/>
      <c r="Z189" s="2007"/>
      <c r="AA189" s="2007"/>
      <c r="AB189" s="2007"/>
      <c r="AC189" s="2007"/>
      <c r="AD189" s="2007"/>
      <c r="AE189" s="2008"/>
      <c r="AF189" s="1190"/>
      <c r="AG189" s="1190"/>
      <c r="AH189" s="2017" t="s">
        <v>2320</v>
      </c>
      <c r="AI189" s="2018"/>
      <c r="AJ189" s="2018"/>
      <c r="AK189" s="2018"/>
      <c r="AL189" s="2018"/>
      <c r="AM189" s="2018"/>
      <c r="AN189" s="2018"/>
      <c r="AO189" s="2018"/>
      <c r="AP189" s="2018"/>
      <c r="AQ189" s="2018"/>
      <c r="AR189" s="2018"/>
      <c r="AS189" s="2018"/>
      <c r="AT189" s="2018"/>
      <c r="AU189" s="2018"/>
      <c r="AV189" s="2018"/>
      <c r="AW189" s="2018"/>
      <c r="AX189" s="2018"/>
      <c r="AY189" s="2018"/>
      <c r="AZ189" s="2018"/>
      <c r="BA189" s="2018"/>
      <c r="BB189" s="2018"/>
      <c r="BC189" s="2018"/>
      <c r="BD189" s="2018"/>
      <c r="BE189" s="2019"/>
    </row>
    <row r="190" spans="1:57" ht="15.75" customHeight="1">
      <c r="A190" s="1190"/>
      <c r="B190" s="1190"/>
      <c r="C190" s="2020" t="s">
        <v>2321</v>
      </c>
      <c r="D190" s="2021"/>
      <c r="E190" s="2021"/>
      <c r="F190" s="2021"/>
      <c r="G190" s="2021"/>
      <c r="H190" s="2021"/>
      <c r="I190" s="2021"/>
      <c r="J190" s="2021"/>
      <c r="K190" s="2021"/>
      <c r="L190" s="2021"/>
      <c r="M190" s="2021"/>
      <c r="N190" s="2006">
        <v>0</v>
      </c>
      <c r="O190" s="2006"/>
      <c r="P190" s="2006"/>
      <c r="Q190" s="2006"/>
      <c r="R190" s="2006"/>
      <c r="S190" s="2006"/>
      <c r="T190" s="2006"/>
      <c r="U190" s="2007"/>
      <c r="V190" s="2007"/>
      <c r="W190" s="2007"/>
      <c r="X190" s="2007"/>
      <c r="Y190" s="2007"/>
      <c r="Z190" s="2007"/>
      <c r="AA190" s="2007"/>
      <c r="AB190" s="2007"/>
      <c r="AC190" s="2007"/>
      <c r="AD190" s="2007"/>
      <c r="AE190" s="2008"/>
      <c r="AF190" s="1190"/>
      <c r="AG190" s="1190"/>
      <c r="AH190" s="2022" t="s">
        <v>2320</v>
      </c>
      <c r="AI190" s="2023"/>
      <c r="AJ190" s="2023"/>
      <c r="AK190" s="2023"/>
      <c r="AL190" s="2023"/>
      <c r="AM190" s="2023"/>
      <c r="AN190" s="2023"/>
      <c r="AO190" s="2023"/>
      <c r="AP190" s="2023"/>
      <c r="AQ190" s="2023"/>
      <c r="AR190" s="2023"/>
      <c r="AS190" s="2023"/>
      <c r="AT190" s="2023"/>
      <c r="AU190" s="2024">
        <v>0</v>
      </c>
      <c r="AV190" s="2024"/>
      <c r="AW190" s="2024"/>
      <c r="AX190" s="2024"/>
      <c r="AY190" s="2024"/>
      <c r="AZ190" s="2024"/>
      <c r="BA190" s="2024"/>
      <c r="BB190" s="2024"/>
      <c r="BC190" s="2025"/>
      <c r="BD190" s="2026"/>
      <c r="BE190" s="2027"/>
    </row>
    <row r="191" spans="1:57" ht="15.75" customHeight="1">
      <c r="A191" s="1190"/>
      <c r="B191" s="1190"/>
      <c r="C191" s="2020" t="s">
        <v>2319</v>
      </c>
      <c r="D191" s="2021"/>
      <c r="E191" s="2021"/>
      <c r="F191" s="2021"/>
      <c r="G191" s="2021"/>
      <c r="H191" s="2021"/>
      <c r="I191" s="2021"/>
      <c r="J191" s="2021"/>
      <c r="K191" s="2021"/>
      <c r="L191" s="2021"/>
      <c r="M191" s="2021"/>
      <c r="N191" s="2006">
        <v>0</v>
      </c>
      <c r="O191" s="2006"/>
      <c r="P191" s="2006"/>
      <c r="Q191" s="2006"/>
      <c r="R191" s="2006"/>
      <c r="S191" s="2006"/>
      <c r="T191" s="2006"/>
      <c r="U191" s="2007"/>
      <c r="V191" s="2007"/>
      <c r="W191" s="2007"/>
      <c r="X191" s="2007"/>
      <c r="Y191" s="2007"/>
      <c r="Z191" s="2007"/>
      <c r="AA191" s="2007"/>
      <c r="AB191" s="2007"/>
      <c r="AC191" s="2007"/>
      <c r="AD191" s="2007"/>
      <c r="AE191" s="2008"/>
      <c r="AF191" s="1190"/>
      <c r="AG191" s="1190"/>
      <c r="AH191" s="2038" t="s">
        <v>2318</v>
      </c>
      <c r="AI191" s="2039"/>
      <c r="AJ191" s="2039"/>
      <c r="AK191" s="2039"/>
      <c r="AL191" s="2039"/>
      <c r="AM191" s="2039"/>
      <c r="AN191" s="2039"/>
      <c r="AO191" s="2039"/>
      <c r="AP191" s="2039"/>
      <c r="AQ191" s="2039"/>
      <c r="AR191" s="2039"/>
      <c r="AS191" s="2039"/>
      <c r="AT191" s="2039"/>
      <c r="AU191" s="2040"/>
      <c r="AV191" s="2040"/>
      <c r="AW191" s="2040"/>
      <c r="AX191" s="2040"/>
      <c r="AY191" s="2040"/>
      <c r="AZ191" s="2040"/>
      <c r="BA191" s="2040"/>
      <c r="BB191" s="2040"/>
      <c r="BC191" s="2028"/>
      <c r="BD191" s="2029"/>
      <c r="BE191" s="2030"/>
    </row>
    <row r="192" spans="1:57" ht="15.75" customHeight="1">
      <c r="A192" s="1190"/>
      <c r="B192" s="1190"/>
      <c r="C192" s="2012" t="s">
        <v>300</v>
      </c>
      <c r="D192" s="2013"/>
      <c r="E192" s="2005" t="s">
        <v>2316</v>
      </c>
      <c r="F192" s="2005"/>
      <c r="G192" s="2005"/>
      <c r="H192" s="2005"/>
      <c r="I192" s="2005"/>
      <c r="J192" s="2005"/>
      <c r="K192" s="2005"/>
      <c r="L192" s="2005"/>
      <c r="M192" s="2005"/>
      <c r="N192" s="2006">
        <v>0</v>
      </c>
      <c r="O192" s="2006"/>
      <c r="P192" s="2006"/>
      <c r="Q192" s="2006"/>
      <c r="R192" s="2006"/>
      <c r="S192" s="2006"/>
      <c r="T192" s="2006"/>
      <c r="U192" s="2007"/>
      <c r="V192" s="2007"/>
      <c r="W192" s="2007"/>
      <c r="X192" s="2007"/>
      <c r="Y192" s="2007"/>
      <c r="Z192" s="2007"/>
      <c r="AA192" s="2007"/>
      <c r="AB192" s="2007"/>
      <c r="AC192" s="2007"/>
      <c r="AD192" s="2007"/>
      <c r="AE192" s="2008"/>
      <c r="AF192" s="1190"/>
      <c r="AG192" s="1190"/>
      <c r="AH192" s="2014" t="s">
        <v>2317</v>
      </c>
      <c r="AI192" s="2015"/>
      <c r="AJ192" s="2015"/>
      <c r="AK192" s="2015"/>
      <c r="AL192" s="2015"/>
      <c r="AM192" s="2015"/>
      <c r="AN192" s="2015"/>
      <c r="AO192" s="2015"/>
      <c r="AP192" s="2015"/>
      <c r="AQ192" s="2015"/>
      <c r="AR192" s="2015"/>
      <c r="AS192" s="2015"/>
      <c r="AT192" s="2015"/>
      <c r="AU192" s="2016">
        <f>SUM(AU190:BB191)</f>
        <v>0</v>
      </c>
      <c r="AV192" s="2016"/>
      <c r="AW192" s="2016"/>
      <c r="AX192" s="2016"/>
      <c r="AY192" s="2016"/>
      <c r="AZ192" s="2016"/>
      <c r="BA192" s="2016"/>
      <c r="BB192" s="2016"/>
      <c r="BC192" s="2028"/>
      <c r="BD192" s="2029"/>
      <c r="BE192" s="2030"/>
    </row>
    <row r="193" spans="1:57" ht="15.75" customHeight="1" thickBot="1">
      <c r="A193" s="1190"/>
      <c r="B193" s="1190"/>
      <c r="C193" s="2003" t="s">
        <v>300</v>
      </c>
      <c r="D193" s="2004"/>
      <c r="E193" s="2005" t="s">
        <v>2316</v>
      </c>
      <c r="F193" s="2005"/>
      <c r="G193" s="2005"/>
      <c r="H193" s="2005"/>
      <c r="I193" s="2005"/>
      <c r="J193" s="2005"/>
      <c r="K193" s="2005"/>
      <c r="L193" s="2005"/>
      <c r="M193" s="2005"/>
      <c r="N193" s="2006">
        <v>0</v>
      </c>
      <c r="O193" s="2006"/>
      <c r="P193" s="2006"/>
      <c r="Q193" s="2006"/>
      <c r="R193" s="2006"/>
      <c r="S193" s="2006"/>
      <c r="T193" s="2006"/>
      <c r="U193" s="2007"/>
      <c r="V193" s="2007"/>
      <c r="W193" s="2007"/>
      <c r="X193" s="2007"/>
      <c r="Y193" s="2007"/>
      <c r="Z193" s="2007"/>
      <c r="AA193" s="2007"/>
      <c r="AB193" s="2007"/>
      <c r="AC193" s="2007"/>
      <c r="AD193" s="2007"/>
      <c r="AE193" s="200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9"/>
      <c r="BD193" s="2010"/>
      <c r="BE193" s="2011"/>
    </row>
    <row r="194" spans="1:57" ht="15.75" customHeight="1" thickBot="1">
      <c r="A194" s="1190"/>
      <c r="B194" s="1190"/>
      <c r="C194" s="1991" t="s">
        <v>300</v>
      </c>
      <c r="D194" s="1992"/>
      <c r="E194" s="1993" t="s">
        <v>2316</v>
      </c>
      <c r="F194" s="1993"/>
      <c r="G194" s="1993"/>
      <c r="H194" s="1993"/>
      <c r="I194" s="1993"/>
      <c r="J194" s="1993"/>
      <c r="K194" s="1993"/>
      <c r="L194" s="1993"/>
      <c r="M194" s="1994"/>
      <c r="N194" s="1995">
        <v>0</v>
      </c>
      <c r="O194" s="1995"/>
      <c r="P194" s="1995"/>
      <c r="Q194" s="1995"/>
      <c r="R194" s="1995"/>
      <c r="S194" s="1995"/>
      <c r="T194" s="1996"/>
      <c r="U194" s="1997"/>
      <c r="V194" s="1998"/>
      <c r="W194" s="1998"/>
      <c r="X194" s="1998"/>
      <c r="Y194" s="1998"/>
      <c r="Z194" s="1998"/>
      <c r="AA194" s="1998"/>
      <c r="AB194" s="1998"/>
      <c r="AC194" s="1998"/>
      <c r="AD194" s="1998"/>
      <c r="AE194" s="1999"/>
      <c r="AF194" s="1190"/>
      <c r="AG194" s="1190"/>
      <c r="AH194" s="2000" t="s">
        <v>2315</v>
      </c>
      <c r="AI194" s="2001"/>
      <c r="AJ194" s="2001"/>
      <c r="AK194" s="2001"/>
      <c r="AL194" s="2001"/>
      <c r="AM194" s="2001"/>
      <c r="AN194" s="2001"/>
      <c r="AO194" s="2001"/>
      <c r="AP194" s="2001"/>
      <c r="AQ194" s="2001"/>
      <c r="AR194" s="2001"/>
      <c r="AS194" s="2001"/>
      <c r="AT194" s="2001"/>
      <c r="AU194" s="2002"/>
      <c r="AV194" s="2002"/>
      <c r="AW194" s="2002"/>
      <c r="AX194" s="2002"/>
      <c r="AY194" s="2002"/>
      <c r="AZ194" s="2002"/>
      <c r="BA194" s="2002"/>
      <c r="BB194" s="2002"/>
      <c r="BC194" s="1171"/>
      <c r="BD194" s="1171"/>
      <c r="BE194" s="1232"/>
    </row>
    <row r="195" spans="1:57" ht="15.75" customHeight="1">
      <c r="A195" s="1190"/>
      <c r="B195" s="1190"/>
      <c r="C195" s="1974" t="s">
        <v>2314</v>
      </c>
      <c r="D195" s="1975"/>
      <c r="E195" s="1975"/>
      <c r="F195" s="1975"/>
      <c r="G195" s="1975"/>
      <c r="H195" s="1975"/>
      <c r="I195" s="1975"/>
      <c r="J195" s="1975"/>
      <c r="K195" s="1975"/>
      <c r="L195" s="1975"/>
      <c r="M195" s="1975"/>
      <c r="N195" s="1976">
        <f>SUM(N187:T194)</f>
        <v>4625000</v>
      </c>
      <c r="O195" s="1976"/>
      <c r="P195" s="1976"/>
      <c r="Q195" s="1976"/>
      <c r="R195" s="1976"/>
      <c r="S195" s="1976"/>
      <c r="T195" s="1977"/>
      <c r="U195" s="1190"/>
      <c r="V195" s="1190"/>
      <c r="W195" s="1190"/>
      <c r="X195" s="1190"/>
      <c r="Y195" s="1190"/>
      <c r="Z195" s="1190"/>
      <c r="AA195" s="1190"/>
      <c r="AB195" s="1190"/>
      <c r="AC195" s="1190"/>
      <c r="AD195" s="1190"/>
      <c r="AE195" s="1190"/>
      <c r="AF195" s="1190"/>
      <c r="AG195" s="1190"/>
      <c r="AH195" s="1978" t="s">
        <v>2313</v>
      </c>
      <c r="AI195" s="1979"/>
      <c r="AJ195" s="1979"/>
      <c r="AK195" s="1979"/>
      <c r="AL195" s="1979"/>
      <c r="AM195" s="1979"/>
      <c r="AN195" s="1979"/>
      <c r="AO195" s="1979"/>
      <c r="AP195" s="1979"/>
      <c r="AQ195" s="1979"/>
      <c r="AR195" s="1979"/>
      <c r="AS195" s="1979"/>
      <c r="AT195" s="1979"/>
      <c r="AU195" s="1979"/>
      <c r="AV195" s="1979"/>
      <c r="AW195" s="1979"/>
      <c r="AX195" s="1979"/>
      <c r="AY195" s="1979"/>
      <c r="AZ195" s="1979"/>
      <c r="BA195" s="1979"/>
      <c r="BB195" s="1979"/>
      <c r="BC195" s="1979"/>
      <c r="BD195" s="1979"/>
      <c r="BE195" s="1980"/>
    </row>
    <row r="196" spans="1:57" ht="15.75" customHeight="1" thickBot="1">
      <c r="A196" s="1190"/>
      <c r="B196" s="1190"/>
      <c r="C196" s="1984" t="s">
        <v>2312</v>
      </c>
      <c r="D196" s="1985"/>
      <c r="E196" s="1985"/>
      <c r="F196" s="1985"/>
      <c r="G196" s="1985"/>
      <c r="H196" s="1985"/>
      <c r="I196" s="1985"/>
      <c r="J196" s="1985"/>
      <c r="K196" s="1985"/>
      <c r="L196" s="1985"/>
      <c r="M196" s="1985"/>
      <c r="N196" s="1986">
        <f>(N185-N195)/J29</f>
        <v>761847.37777777773</v>
      </c>
      <c r="O196" s="1987"/>
      <c r="P196" s="1987"/>
      <c r="Q196" s="1987"/>
      <c r="R196" s="1987"/>
      <c r="S196" s="1987"/>
      <c r="T196" s="1988"/>
      <c r="U196" s="1195"/>
      <c r="V196" s="1190"/>
      <c r="W196" s="1190"/>
      <c r="X196" s="1190"/>
      <c r="Y196" s="1190"/>
      <c r="Z196" s="1190"/>
      <c r="AA196" s="1190"/>
      <c r="AB196" s="1190"/>
      <c r="AC196" s="1190"/>
      <c r="AD196" s="1190"/>
      <c r="AE196" s="1190"/>
      <c r="AF196" s="1190"/>
      <c r="AG196" s="1190"/>
      <c r="AH196" s="1981"/>
      <c r="AI196" s="1982"/>
      <c r="AJ196" s="1982"/>
      <c r="AK196" s="1982"/>
      <c r="AL196" s="1982"/>
      <c r="AM196" s="1982"/>
      <c r="AN196" s="1982"/>
      <c r="AO196" s="1982"/>
      <c r="AP196" s="1982"/>
      <c r="AQ196" s="1982"/>
      <c r="AR196" s="1982"/>
      <c r="AS196" s="1982"/>
      <c r="AT196" s="1982"/>
      <c r="AU196" s="1982"/>
      <c r="AV196" s="1982"/>
      <c r="AW196" s="1982"/>
      <c r="AX196" s="1982"/>
      <c r="AY196" s="1982"/>
      <c r="AZ196" s="1982"/>
      <c r="BA196" s="1982"/>
      <c r="BB196" s="1982"/>
      <c r="BC196" s="1982"/>
      <c r="BD196" s="1982"/>
      <c r="BE196" s="198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9"/>
      <c r="AI197" s="1989"/>
      <c r="AJ197" s="1989"/>
      <c r="AK197" s="1989"/>
      <c r="AL197" s="1989"/>
      <c r="AM197" s="1989"/>
      <c r="AN197" s="1989"/>
      <c r="AO197" s="1989"/>
      <c r="AP197" s="1989"/>
      <c r="AQ197" s="1989"/>
      <c r="AR197" s="1989"/>
      <c r="AS197" s="1990"/>
      <c r="AT197" s="1990"/>
      <c r="AU197" s="1990"/>
      <c r="AV197" s="1990"/>
      <c r="AW197" s="1990"/>
      <c r="AX197" s="1990"/>
      <c r="AY197" s="1990"/>
      <c r="AZ197" s="1990"/>
      <c r="BA197" s="1990"/>
      <c r="BB197" s="1990"/>
      <c r="BC197" s="1990"/>
      <c r="BD197" s="199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9" t="s">
        <v>2311</v>
      </c>
      <c r="D199" s="1970"/>
      <c r="E199" s="1970"/>
      <c r="F199" s="1970"/>
      <c r="G199" s="1970"/>
      <c r="H199" s="1970"/>
      <c r="I199" s="1970"/>
      <c r="J199" s="1970"/>
      <c r="K199" s="1970"/>
      <c r="L199" s="1970"/>
      <c r="M199" s="1970"/>
      <c r="N199" s="1970"/>
      <c r="O199" s="1970"/>
      <c r="P199" s="1970"/>
      <c r="Q199" s="1970"/>
      <c r="R199" s="1970"/>
      <c r="S199" s="1970"/>
      <c r="T199" s="1970"/>
      <c r="U199" s="1970"/>
      <c r="V199" s="1970"/>
      <c r="W199" s="1970"/>
      <c r="X199" s="1970"/>
      <c r="Y199" s="1970"/>
      <c r="Z199" s="1970"/>
      <c r="AA199" s="1970"/>
      <c r="AB199" s="1970"/>
      <c r="AC199" s="1970"/>
      <c r="AD199" s="1970"/>
      <c r="AE199" s="197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72" t="s">
        <v>2310</v>
      </c>
      <c r="D200" s="1972"/>
      <c r="E200" s="1972"/>
      <c r="F200" s="1972"/>
      <c r="G200" s="1972"/>
      <c r="H200" s="1972"/>
      <c r="I200" s="1972"/>
      <c r="J200" s="1972"/>
      <c r="K200" s="1972"/>
      <c r="L200" s="1972"/>
      <c r="M200" s="1972"/>
      <c r="N200" s="1972"/>
      <c r="O200" s="1973" t="s">
        <v>2309</v>
      </c>
      <c r="P200" s="1973"/>
      <c r="Q200" s="1973"/>
      <c r="R200" s="1973"/>
      <c r="S200" s="1973"/>
      <c r="T200" s="1973"/>
      <c r="U200" s="1973"/>
      <c r="V200" s="1973"/>
      <c r="W200" s="1973"/>
      <c r="X200" s="1973" t="s">
        <v>2308</v>
      </c>
      <c r="Y200" s="1973"/>
      <c r="Z200" s="1973"/>
      <c r="AA200" s="1973"/>
      <c r="AB200" s="1973"/>
      <c r="AC200" s="1973"/>
      <c r="AD200" s="1973"/>
      <c r="AE200" s="197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64" t="s">
        <v>2307</v>
      </c>
      <c r="D201" s="1964"/>
      <c r="E201" s="1964"/>
      <c r="F201" s="1964"/>
      <c r="G201" s="1964"/>
      <c r="H201" s="1964"/>
      <c r="I201" s="1964"/>
      <c r="J201" s="1964"/>
      <c r="K201" s="1964"/>
      <c r="L201" s="1964"/>
      <c r="M201" s="1964"/>
      <c r="N201" s="1964"/>
      <c r="O201" s="1965" t="s">
        <v>2306</v>
      </c>
      <c r="P201" s="1965"/>
      <c r="Q201" s="1965"/>
      <c r="R201" s="1965"/>
      <c r="S201" s="1965"/>
      <c r="T201" s="1965"/>
      <c r="U201" s="1965"/>
      <c r="V201" s="1965"/>
      <c r="W201" s="1965"/>
      <c r="X201" s="1966">
        <v>0.03</v>
      </c>
      <c r="Y201" s="1966"/>
      <c r="Z201" s="1966"/>
      <c r="AA201" s="1966"/>
      <c r="AB201" s="1966"/>
      <c r="AC201" s="1966"/>
      <c r="AD201" s="1966"/>
      <c r="AE201" s="196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64" t="s">
        <v>854</v>
      </c>
      <c r="D202" s="1964"/>
      <c r="E202" s="1964"/>
      <c r="F202" s="1964"/>
      <c r="G202" s="1964"/>
      <c r="H202" s="1964"/>
      <c r="I202" s="1964"/>
      <c r="J202" s="1964"/>
      <c r="K202" s="1964"/>
      <c r="L202" s="1964"/>
      <c r="M202" s="1964"/>
      <c r="N202" s="1964"/>
      <c r="O202" s="1965" t="s">
        <v>2306</v>
      </c>
      <c r="P202" s="1965"/>
      <c r="Q202" s="1965"/>
      <c r="R202" s="1965"/>
      <c r="S202" s="1965"/>
      <c r="T202" s="1965"/>
      <c r="U202" s="1965"/>
      <c r="V202" s="1965"/>
      <c r="W202" s="1965"/>
      <c r="X202" s="1966">
        <v>0.03</v>
      </c>
      <c r="Y202" s="1966"/>
      <c r="Z202" s="1966"/>
      <c r="AA202" s="1966"/>
      <c r="AB202" s="1966"/>
      <c r="AC202" s="1966"/>
      <c r="AD202" s="1966"/>
      <c r="AE202" s="196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64" t="s">
        <v>2305</v>
      </c>
      <c r="D203" s="1964"/>
      <c r="E203" s="1964"/>
      <c r="F203" s="1964"/>
      <c r="G203" s="1964"/>
      <c r="H203" s="1964"/>
      <c r="I203" s="1964"/>
      <c r="J203" s="1964"/>
      <c r="K203" s="1964"/>
      <c r="L203" s="1964"/>
      <c r="M203" s="1964"/>
      <c r="N203" s="1964"/>
      <c r="O203" s="1967">
        <f>SUM(O201:W202)</f>
        <v>0</v>
      </c>
      <c r="P203" s="1968"/>
      <c r="Q203" s="1968"/>
      <c r="R203" s="1968"/>
      <c r="S203" s="1968"/>
      <c r="T203" s="1968"/>
      <c r="U203" s="1968"/>
      <c r="V203" s="1968"/>
      <c r="W203" s="1968"/>
      <c r="X203" s="1968" t="s">
        <v>2304</v>
      </c>
      <c r="Y203" s="1968"/>
      <c r="Z203" s="1968"/>
      <c r="AA203" s="1968"/>
      <c r="AB203" s="1968"/>
      <c r="AC203" s="1968"/>
      <c r="AD203" s="1968"/>
      <c r="AE203" s="196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8" t="s">
        <v>2303</v>
      </c>
      <c r="D204" s="1938"/>
      <c r="E204" s="1938"/>
      <c r="F204" s="1938"/>
      <c r="G204" s="1938"/>
      <c r="H204" s="1938"/>
      <c r="I204" s="1938"/>
      <c r="J204" s="1938"/>
      <c r="K204" s="1938"/>
      <c r="L204" s="1938"/>
      <c r="M204" s="1938"/>
      <c r="N204" s="1938"/>
      <c r="O204" s="1938"/>
      <c r="P204" s="1938"/>
      <c r="Q204" s="1938"/>
      <c r="R204" s="1938"/>
      <c r="S204" s="1938"/>
      <c r="T204" s="1938"/>
      <c r="U204" s="1938"/>
      <c r="V204" s="1938"/>
      <c r="W204" s="1938"/>
      <c r="X204" s="1938"/>
      <c r="Y204" s="1938"/>
      <c r="Z204" s="1938"/>
      <c r="AA204" s="1938"/>
      <c r="AB204" s="1938"/>
      <c r="AC204" s="1938"/>
      <c r="AD204" s="1938"/>
      <c r="AE204" s="193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9" t="s">
        <v>2302</v>
      </c>
      <c r="D206" s="1940"/>
      <c r="E206" s="1940"/>
      <c r="F206" s="1940"/>
      <c r="G206" s="1940"/>
      <c r="H206" s="1940"/>
      <c r="I206" s="1940"/>
      <c r="J206" s="1940"/>
      <c r="K206" s="1940"/>
      <c r="L206" s="1940"/>
      <c r="M206" s="1940"/>
      <c r="N206" s="1940"/>
      <c r="O206" s="1940"/>
      <c r="P206" s="1940"/>
      <c r="Q206" s="1940"/>
      <c r="R206" s="1940"/>
      <c r="S206" s="1940"/>
      <c r="T206" s="1940"/>
      <c r="U206" s="1940"/>
      <c r="V206" s="1940"/>
      <c r="W206" s="1940"/>
      <c r="X206" s="1940"/>
      <c r="Y206" s="1940"/>
      <c r="Z206" s="1940"/>
      <c r="AA206" s="1940"/>
      <c r="AB206" s="1940"/>
      <c r="AC206" s="1940"/>
      <c r="AD206" s="1940"/>
      <c r="AE206" s="1940"/>
      <c r="AF206" s="1940"/>
      <c r="AG206" s="1940"/>
      <c r="AH206" s="1940"/>
      <c r="AI206" s="1940"/>
      <c r="AJ206" s="1940"/>
      <c r="AK206" s="194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42" t="s">
        <v>2301</v>
      </c>
      <c r="D207" s="1943"/>
      <c r="E207" s="1943"/>
      <c r="F207" s="1944"/>
      <c r="G207" s="1948" t="s">
        <v>2300</v>
      </c>
      <c r="H207" s="1943"/>
      <c r="I207" s="1943"/>
      <c r="J207" s="1943"/>
      <c r="K207" s="1943"/>
      <c r="L207" s="1943"/>
      <c r="M207" s="1943"/>
      <c r="N207" s="1943"/>
      <c r="O207" s="1944"/>
      <c r="P207" s="1950" t="s">
        <v>2299</v>
      </c>
      <c r="Q207" s="1951"/>
      <c r="R207" s="1951"/>
      <c r="S207" s="1951"/>
      <c r="T207" s="1952"/>
      <c r="U207" s="1956" t="s">
        <v>2298</v>
      </c>
      <c r="V207" s="1957"/>
      <c r="W207" s="1957"/>
      <c r="X207" s="1958"/>
      <c r="Y207" s="1956" t="s">
        <v>2297</v>
      </c>
      <c r="Z207" s="1957"/>
      <c r="AA207" s="1957"/>
      <c r="AB207" s="1958"/>
      <c r="AC207" s="1956" t="s">
        <v>2296</v>
      </c>
      <c r="AD207" s="1957"/>
      <c r="AE207" s="1957"/>
      <c r="AF207" s="1958"/>
      <c r="AG207" s="1948" t="s">
        <v>2295</v>
      </c>
      <c r="AH207" s="1943"/>
      <c r="AI207" s="1943"/>
      <c r="AJ207" s="1943"/>
      <c r="AK207" s="196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45"/>
      <c r="D208" s="1946"/>
      <c r="E208" s="1946"/>
      <c r="F208" s="1947"/>
      <c r="G208" s="1949"/>
      <c r="H208" s="1946"/>
      <c r="I208" s="1946"/>
      <c r="J208" s="1946"/>
      <c r="K208" s="1946"/>
      <c r="L208" s="1946"/>
      <c r="M208" s="1946"/>
      <c r="N208" s="1946"/>
      <c r="O208" s="1947"/>
      <c r="P208" s="1953"/>
      <c r="Q208" s="1954"/>
      <c r="R208" s="1954"/>
      <c r="S208" s="1954"/>
      <c r="T208" s="1955"/>
      <c r="U208" s="1959"/>
      <c r="V208" s="1960"/>
      <c r="W208" s="1960"/>
      <c r="X208" s="1961"/>
      <c r="Y208" s="1959"/>
      <c r="Z208" s="1960"/>
      <c r="AA208" s="1960"/>
      <c r="AB208" s="1961"/>
      <c r="AC208" s="1959"/>
      <c r="AD208" s="1960"/>
      <c r="AE208" s="1960"/>
      <c r="AF208" s="1961"/>
      <c r="AG208" s="1949"/>
      <c r="AH208" s="1946"/>
      <c r="AI208" s="1946"/>
      <c r="AJ208" s="1946"/>
      <c r="AK208" s="196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31">
        <v>1</v>
      </c>
      <c r="D209" s="1932"/>
      <c r="E209" s="1932"/>
      <c r="F209" s="1932"/>
      <c r="G209" s="1933" t="s">
        <v>1884</v>
      </c>
      <c r="H209" s="1933"/>
      <c r="I209" s="1933"/>
      <c r="J209" s="1933"/>
      <c r="K209" s="1933"/>
      <c r="L209" s="1933"/>
      <c r="M209" s="1933"/>
      <c r="N209" s="1933"/>
      <c r="O209" s="1933"/>
      <c r="P209" s="1934"/>
      <c r="Q209" s="1937"/>
      <c r="R209" s="1937"/>
      <c r="S209" s="1937"/>
      <c r="T209" s="1937"/>
      <c r="U209" s="1935" t="s">
        <v>1884</v>
      </c>
      <c r="V209" s="1935"/>
      <c r="W209" s="1935"/>
      <c r="X209" s="1935"/>
      <c r="Y209" s="1935" t="s">
        <v>1884</v>
      </c>
      <c r="Z209" s="1935"/>
      <c r="AA209" s="1935"/>
      <c r="AB209" s="1935"/>
      <c r="AC209" s="1936" t="s">
        <v>1884</v>
      </c>
      <c r="AD209" s="1936"/>
      <c r="AE209" s="1936"/>
      <c r="AF209" s="1936"/>
      <c r="AG209" s="1920"/>
      <c r="AH209" s="1921"/>
      <c r="AI209" s="1921"/>
      <c r="AJ209" s="1921"/>
      <c r="AK209" s="192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31">
        <v>2</v>
      </c>
      <c r="D210" s="1932"/>
      <c r="E210" s="1932"/>
      <c r="F210" s="1932"/>
      <c r="G210" s="1933" t="s">
        <v>1884</v>
      </c>
      <c r="H210" s="1933"/>
      <c r="I210" s="1933"/>
      <c r="J210" s="1933"/>
      <c r="K210" s="1933"/>
      <c r="L210" s="1933"/>
      <c r="M210" s="1933"/>
      <c r="N210" s="1933"/>
      <c r="O210" s="1933"/>
      <c r="P210" s="1934"/>
      <c r="Q210" s="1934"/>
      <c r="R210" s="1934"/>
      <c r="S210" s="1934"/>
      <c r="T210" s="1934"/>
      <c r="U210" s="1935" t="s">
        <v>1884</v>
      </c>
      <c r="V210" s="1935"/>
      <c r="W210" s="1935"/>
      <c r="X210" s="1935"/>
      <c r="Y210" s="1935" t="s">
        <v>1884</v>
      </c>
      <c r="Z210" s="1935"/>
      <c r="AA210" s="1935"/>
      <c r="AB210" s="1935"/>
      <c r="AC210" s="1936" t="s">
        <v>1884</v>
      </c>
      <c r="AD210" s="1936"/>
      <c r="AE210" s="1936"/>
      <c r="AF210" s="1936"/>
      <c r="AG210" s="1920"/>
      <c r="AH210" s="1921"/>
      <c r="AI210" s="1921"/>
      <c r="AJ210" s="1921"/>
      <c r="AK210" s="192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31">
        <v>3</v>
      </c>
      <c r="D211" s="1932"/>
      <c r="E211" s="1932"/>
      <c r="F211" s="1932"/>
      <c r="G211" s="1933" t="s">
        <v>1884</v>
      </c>
      <c r="H211" s="1933"/>
      <c r="I211" s="1933"/>
      <c r="J211" s="1933"/>
      <c r="K211" s="1933"/>
      <c r="L211" s="1933"/>
      <c r="M211" s="1933"/>
      <c r="N211" s="1933"/>
      <c r="O211" s="1933"/>
      <c r="P211" s="1934"/>
      <c r="Q211" s="1934"/>
      <c r="R211" s="1934"/>
      <c r="S211" s="1934"/>
      <c r="T211" s="1934"/>
      <c r="U211" s="1935" t="s">
        <v>1884</v>
      </c>
      <c r="V211" s="1935"/>
      <c r="W211" s="1935"/>
      <c r="X211" s="1935"/>
      <c r="Y211" s="1935" t="s">
        <v>1884</v>
      </c>
      <c r="Z211" s="1935"/>
      <c r="AA211" s="1935"/>
      <c r="AB211" s="1935"/>
      <c r="AC211" s="1936" t="s">
        <v>1884</v>
      </c>
      <c r="AD211" s="1936"/>
      <c r="AE211" s="1936"/>
      <c r="AF211" s="1936"/>
      <c r="AG211" s="1920"/>
      <c r="AH211" s="1921"/>
      <c r="AI211" s="1921"/>
      <c r="AJ211" s="1921"/>
      <c r="AK211" s="192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31">
        <v>4</v>
      </c>
      <c r="D212" s="1932"/>
      <c r="E212" s="1932"/>
      <c r="F212" s="1932"/>
      <c r="G212" s="1933" t="s">
        <v>1884</v>
      </c>
      <c r="H212" s="1933"/>
      <c r="I212" s="1933"/>
      <c r="J212" s="1933"/>
      <c r="K212" s="1933"/>
      <c r="L212" s="1933"/>
      <c r="M212" s="1933"/>
      <c r="N212" s="1933"/>
      <c r="O212" s="1933"/>
      <c r="P212" s="1934"/>
      <c r="Q212" s="1934"/>
      <c r="R212" s="1934"/>
      <c r="S212" s="1934"/>
      <c r="T212" s="1934"/>
      <c r="U212" s="1935" t="s">
        <v>1884</v>
      </c>
      <c r="V212" s="1935"/>
      <c r="W212" s="1935"/>
      <c r="X212" s="1935"/>
      <c r="Y212" s="1935" t="s">
        <v>1884</v>
      </c>
      <c r="Z212" s="1935"/>
      <c r="AA212" s="1935"/>
      <c r="AB212" s="1935"/>
      <c r="AC212" s="1936" t="s">
        <v>1884</v>
      </c>
      <c r="AD212" s="1936"/>
      <c r="AE212" s="1936"/>
      <c r="AF212" s="1936"/>
      <c r="AG212" s="1920"/>
      <c r="AH212" s="1921"/>
      <c r="AI212" s="1921"/>
      <c r="AJ212" s="1921"/>
      <c r="AK212" s="192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31">
        <v>5</v>
      </c>
      <c r="D213" s="1932"/>
      <c r="E213" s="1932"/>
      <c r="F213" s="1932"/>
      <c r="G213" s="1933" t="s">
        <v>1884</v>
      </c>
      <c r="H213" s="1933"/>
      <c r="I213" s="1933"/>
      <c r="J213" s="1933"/>
      <c r="K213" s="1933"/>
      <c r="L213" s="1933"/>
      <c r="M213" s="1933"/>
      <c r="N213" s="1933"/>
      <c r="O213" s="1933"/>
      <c r="P213" s="1934"/>
      <c r="Q213" s="1934"/>
      <c r="R213" s="1934"/>
      <c r="S213" s="1934"/>
      <c r="T213" s="1934"/>
      <c r="U213" s="1935" t="s">
        <v>1884</v>
      </c>
      <c r="V213" s="1935"/>
      <c r="W213" s="1935"/>
      <c r="X213" s="1935"/>
      <c r="Y213" s="1935" t="s">
        <v>1884</v>
      </c>
      <c r="Z213" s="1935"/>
      <c r="AA213" s="1935"/>
      <c r="AB213" s="1935"/>
      <c r="AC213" s="1936" t="s">
        <v>1884</v>
      </c>
      <c r="AD213" s="1936"/>
      <c r="AE213" s="1936"/>
      <c r="AF213" s="1936"/>
      <c r="AG213" s="1920"/>
      <c r="AH213" s="1921"/>
      <c r="AI213" s="1921"/>
      <c r="AJ213" s="1921"/>
      <c r="AK213" s="192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31">
        <v>6</v>
      </c>
      <c r="D214" s="1932"/>
      <c r="E214" s="1932"/>
      <c r="F214" s="1932"/>
      <c r="G214" s="1933" t="s">
        <v>1884</v>
      </c>
      <c r="H214" s="1933"/>
      <c r="I214" s="1933"/>
      <c r="J214" s="1933"/>
      <c r="K214" s="1933"/>
      <c r="L214" s="1933"/>
      <c r="M214" s="1933"/>
      <c r="N214" s="1933"/>
      <c r="O214" s="1933"/>
      <c r="P214" s="1934"/>
      <c r="Q214" s="1934"/>
      <c r="R214" s="1934"/>
      <c r="S214" s="1934"/>
      <c r="T214" s="1934"/>
      <c r="U214" s="1935"/>
      <c r="V214" s="1935"/>
      <c r="W214" s="1935"/>
      <c r="X214" s="1935"/>
      <c r="Y214" s="1935"/>
      <c r="Z214" s="1935"/>
      <c r="AA214" s="1935"/>
      <c r="AB214" s="1935"/>
      <c r="AC214" s="1936" t="s">
        <v>1884</v>
      </c>
      <c r="AD214" s="1936"/>
      <c r="AE214" s="1936"/>
      <c r="AF214" s="1936"/>
      <c r="AG214" s="1920"/>
      <c r="AH214" s="1921"/>
      <c r="AI214" s="1921"/>
      <c r="AJ214" s="1921"/>
      <c r="AK214" s="192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31">
        <v>7</v>
      </c>
      <c r="D215" s="1932"/>
      <c r="E215" s="1932"/>
      <c r="F215" s="1932"/>
      <c r="G215" s="1933"/>
      <c r="H215" s="1933"/>
      <c r="I215" s="1933"/>
      <c r="J215" s="1933"/>
      <c r="K215" s="1933"/>
      <c r="L215" s="1933"/>
      <c r="M215" s="1933"/>
      <c r="N215" s="1933"/>
      <c r="O215" s="1933"/>
      <c r="P215" s="1934"/>
      <c r="Q215" s="1934"/>
      <c r="R215" s="1934"/>
      <c r="S215" s="1934"/>
      <c r="T215" s="1934"/>
      <c r="U215" s="1935"/>
      <c r="V215" s="1935"/>
      <c r="W215" s="1935"/>
      <c r="X215" s="1935"/>
      <c r="Y215" s="1935"/>
      <c r="Z215" s="1935"/>
      <c r="AA215" s="1935"/>
      <c r="AB215" s="1935"/>
      <c r="AC215" s="1936" t="s">
        <v>1884</v>
      </c>
      <c r="AD215" s="1936"/>
      <c r="AE215" s="1936"/>
      <c r="AF215" s="1936"/>
      <c r="AG215" s="1920"/>
      <c r="AH215" s="1921"/>
      <c r="AI215" s="1921"/>
      <c r="AJ215" s="1921"/>
      <c r="AK215" s="192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23" t="s">
        <v>2294</v>
      </c>
      <c r="D216" s="1924"/>
      <c r="E216" s="1924"/>
      <c r="F216" s="1924"/>
      <c r="G216" s="1924"/>
      <c r="H216" s="1924"/>
      <c r="I216" s="1924"/>
      <c r="J216" s="1924"/>
      <c r="K216" s="1924"/>
      <c r="L216" s="1924"/>
      <c r="M216" s="1924"/>
      <c r="N216" s="1924"/>
      <c r="O216" s="1924"/>
      <c r="P216" s="1925"/>
      <c r="Q216" s="1925"/>
      <c r="R216" s="1925"/>
      <c r="S216" s="1925"/>
      <c r="T216" s="1925"/>
      <c r="U216" s="1926">
        <f>-SUM(U209:U215)</f>
        <v>0</v>
      </c>
      <c r="V216" s="1926"/>
      <c r="W216" s="1926"/>
      <c r="X216" s="1926"/>
      <c r="Y216" s="1926">
        <f>-SUM(Y209:Y215)</f>
        <v>0</v>
      </c>
      <c r="Z216" s="1926"/>
      <c r="AA216" s="1926"/>
      <c r="AB216" s="1926"/>
      <c r="AC216" s="1927">
        <f>-SUM(AC209:AC215)</f>
        <v>0</v>
      </c>
      <c r="AD216" s="1927"/>
      <c r="AE216" s="1927"/>
      <c r="AF216" s="1927"/>
      <c r="AG216" s="1928"/>
      <c r="AH216" s="1929"/>
      <c r="AI216" s="1929"/>
      <c r="AJ216" s="1929"/>
      <c r="AK216" s="193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7" t="s">
        <v>2292</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194"/>
    </row>
    <row r="222" spans="1:57" ht="15.75" customHeight="1">
      <c r="A222" s="1190"/>
      <c r="B222" s="1910"/>
      <c r="C222" s="1911"/>
      <c r="D222" s="1911"/>
      <c r="E222" s="1911"/>
      <c r="F222" s="1911"/>
      <c r="G222" s="1911"/>
      <c r="H222" s="1911"/>
      <c r="I222" s="1911"/>
      <c r="J222" s="1911"/>
      <c r="K222" s="1911"/>
      <c r="L222" s="1911"/>
      <c r="M222" s="1911"/>
      <c r="N222" s="1911"/>
      <c r="O222" s="1911"/>
      <c r="P222" s="1911"/>
      <c r="Q222" s="1911"/>
      <c r="R222" s="1911"/>
      <c r="S222" s="1911"/>
      <c r="T222" s="1911"/>
      <c r="U222" s="1911"/>
      <c r="V222" s="1911"/>
      <c r="W222" s="1911"/>
      <c r="X222" s="1911"/>
      <c r="Y222" s="1911"/>
      <c r="Z222" s="1911"/>
      <c r="AA222" s="1911"/>
      <c r="AB222" s="1911"/>
      <c r="AC222" s="1911"/>
      <c r="AD222" s="1911"/>
      <c r="AE222" s="1911"/>
      <c r="AF222" s="1911"/>
      <c r="AG222" s="1911"/>
      <c r="AH222" s="1911"/>
      <c r="AI222" s="1911"/>
      <c r="AJ222" s="1911"/>
      <c r="AK222" s="1911"/>
      <c r="AL222" s="1911"/>
      <c r="AM222" s="1911"/>
      <c r="AN222" s="1911"/>
      <c r="AO222" s="1911"/>
      <c r="AP222" s="1911"/>
      <c r="AQ222" s="1911"/>
      <c r="AR222" s="1911"/>
      <c r="AS222" s="1911"/>
      <c r="AT222" s="1911"/>
      <c r="AU222" s="1911"/>
      <c r="AV222" s="1911"/>
      <c r="AW222" s="1911"/>
      <c r="AX222" s="1911"/>
      <c r="AY222" s="1911"/>
      <c r="AZ222" s="1911"/>
      <c r="BA222" s="1911"/>
      <c r="BB222" s="1911"/>
      <c r="BC222" s="1911"/>
      <c r="BD222" s="1912"/>
      <c r="BE222" s="1194"/>
    </row>
    <row r="223" spans="1:57" ht="15.75" customHeight="1">
      <c r="A223" s="1190"/>
      <c r="B223" s="1913" t="s">
        <v>2291</v>
      </c>
      <c r="C223" s="1914"/>
      <c r="D223" s="1914"/>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c r="AA223" s="1914"/>
      <c r="AB223" s="1914"/>
      <c r="AC223" s="1914"/>
      <c r="AD223" s="1914"/>
      <c r="AE223" s="1914"/>
      <c r="AF223" s="1914"/>
      <c r="AG223" s="1914"/>
      <c r="AH223" s="1914"/>
      <c r="AI223" s="1914"/>
      <c r="AJ223" s="1914"/>
      <c r="AK223" s="1914"/>
      <c r="AL223" s="1914"/>
      <c r="AM223" s="1914"/>
      <c r="AN223" s="1914"/>
      <c r="AO223" s="1914"/>
      <c r="AP223" s="1914"/>
      <c r="AQ223" s="1914"/>
      <c r="AR223" s="1914"/>
      <c r="AS223" s="1914"/>
      <c r="AT223" s="1914"/>
      <c r="AU223" s="1914"/>
      <c r="AV223" s="1914"/>
      <c r="AW223" s="1914"/>
      <c r="AX223" s="1914"/>
      <c r="AY223" s="1914"/>
      <c r="AZ223" s="1914"/>
      <c r="BA223" s="1914"/>
      <c r="BB223" s="1914"/>
      <c r="BC223" s="1914"/>
      <c r="BD223" s="1915"/>
      <c r="BE223" s="1194"/>
    </row>
    <row r="224" spans="1:57" ht="15.75" customHeight="1">
      <c r="A224" s="1190"/>
      <c r="B224" s="1913" t="s">
        <v>2290</v>
      </c>
      <c r="C224" s="1914"/>
      <c r="D224" s="1914"/>
      <c r="E224" s="1914"/>
      <c r="F224" s="1914"/>
      <c r="G224" s="1914"/>
      <c r="H224" s="1914"/>
      <c r="I224" s="1914"/>
      <c r="J224" s="1914"/>
      <c r="K224" s="1914"/>
      <c r="L224" s="1914"/>
      <c r="M224" s="1914"/>
      <c r="N224" s="1914"/>
      <c r="O224" s="1914"/>
      <c r="P224" s="1914"/>
      <c r="Q224" s="1914"/>
      <c r="R224" s="1914"/>
      <c r="S224" s="1914"/>
      <c r="T224" s="1914"/>
      <c r="U224" s="1914"/>
      <c r="V224" s="1914"/>
      <c r="W224" s="1914"/>
      <c r="X224" s="1914"/>
      <c r="Y224" s="1914"/>
      <c r="Z224" s="1914"/>
      <c r="AA224" s="1914"/>
      <c r="AB224" s="1914"/>
      <c r="AC224" s="1914"/>
      <c r="AD224" s="1914"/>
      <c r="AE224" s="1914"/>
      <c r="AF224" s="1914"/>
      <c r="AG224" s="1914"/>
      <c r="AH224" s="1914"/>
      <c r="AI224" s="1914"/>
      <c r="AJ224" s="1914"/>
      <c r="AK224" s="1914"/>
      <c r="AL224" s="1914"/>
      <c r="AM224" s="1914"/>
      <c r="AN224" s="1914"/>
      <c r="AO224" s="1914"/>
      <c r="AP224" s="1914"/>
      <c r="AQ224" s="1914"/>
      <c r="AR224" s="1914"/>
      <c r="AS224" s="1914"/>
      <c r="AT224" s="1914"/>
      <c r="AU224" s="1914"/>
      <c r="AV224" s="1914"/>
      <c r="AW224" s="1914"/>
      <c r="AX224" s="1914"/>
      <c r="AY224" s="1914"/>
      <c r="AZ224" s="1914"/>
      <c r="BA224" s="1914"/>
      <c r="BB224" s="1914"/>
      <c r="BC224" s="1914"/>
      <c r="BD224" s="191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16" t="s">
        <v>2289</v>
      </c>
      <c r="C226" s="1917"/>
      <c r="D226" s="1917"/>
      <c r="E226" s="1917"/>
      <c r="F226" s="1917"/>
      <c r="G226" s="1917"/>
      <c r="H226" s="1917"/>
      <c r="I226" s="1917"/>
      <c r="J226" s="1917"/>
      <c r="K226" s="1917"/>
      <c r="L226" s="1917"/>
      <c r="M226" s="1917"/>
      <c r="N226" s="1917"/>
      <c r="O226" s="1917"/>
      <c r="P226" s="1917"/>
      <c r="Q226" s="1917"/>
      <c r="R226" s="1917"/>
      <c r="S226" s="1917"/>
      <c r="T226" s="1917"/>
      <c r="U226" s="1917"/>
      <c r="V226" s="1917"/>
      <c r="W226" s="1917"/>
      <c r="X226" s="1917"/>
      <c r="Y226" s="1917"/>
      <c r="Z226" s="1917"/>
      <c r="AA226" s="1917"/>
      <c r="AB226" s="1917"/>
      <c r="AC226" s="1917"/>
      <c r="AD226" s="1917"/>
      <c r="AE226" s="1917"/>
      <c r="AF226" s="1917"/>
      <c r="AG226" s="1917"/>
      <c r="AH226" s="1917"/>
      <c r="AI226" s="1917"/>
      <c r="AJ226" s="1917"/>
      <c r="AK226" s="1917"/>
      <c r="AL226" s="1917"/>
      <c r="AM226" s="1917"/>
      <c r="AN226" s="1917"/>
      <c r="AO226" s="1917"/>
      <c r="AP226" s="1917"/>
      <c r="AQ226" s="1917"/>
      <c r="AR226" s="1917"/>
      <c r="AS226" s="1917"/>
      <c r="AT226" s="1917"/>
      <c r="AU226" s="1917"/>
      <c r="AV226" s="1917"/>
      <c r="AW226" s="1917"/>
      <c r="AX226" s="1917"/>
      <c r="AY226" s="1917"/>
      <c r="AZ226" s="1917"/>
      <c r="BA226" s="1917"/>
      <c r="BB226" s="1917"/>
      <c r="BC226" s="1917"/>
      <c r="BD226" s="191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9" t="s">
        <v>2287</v>
      </c>
      <c r="I230" s="1919"/>
      <c r="J230" s="1919"/>
      <c r="K230" s="1919"/>
      <c r="L230" s="1919"/>
      <c r="M230" s="1919"/>
      <c r="N230" s="1919"/>
      <c r="O230" s="1919"/>
      <c r="P230" s="1919"/>
      <c r="Q230" s="1919"/>
      <c r="R230" s="1919"/>
      <c r="S230" s="1919"/>
      <c r="T230" s="1919"/>
      <c r="U230" s="1919"/>
      <c r="V230" s="1919"/>
      <c r="W230" s="1919"/>
      <c r="X230" s="1919"/>
      <c r="Y230" s="1919"/>
      <c r="Z230" s="1919"/>
      <c r="AA230" s="1919"/>
      <c r="AB230" s="1919"/>
      <c r="AC230" s="1919"/>
      <c r="AD230" s="1919"/>
      <c r="AE230" s="1919"/>
      <c r="AF230" s="1919"/>
      <c r="AG230" s="1919"/>
      <c r="AH230" s="1919"/>
      <c r="AI230" s="1919"/>
      <c r="AJ230" s="1919"/>
      <c r="AK230" s="1919"/>
      <c r="AL230" s="1919"/>
      <c r="AM230" s="1919"/>
      <c r="AN230" s="1919"/>
      <c r="AO230" s="1919"/>
      <c r="AP230" s="1919"/>
      <c r="AQ230" s="1919"/>
      <c r="AR230" s="1919"/>
      <c r="AS230" s="1919"/>
      <c r="AT230" s="1919"/>
      <c r="AU230" s="1919"/>
      <c r="AV230" s="1919"/>
      <c r="AW230" s="1919"/>
      <c r="AX230" s="1919"/>
      <c r="AY230" s="191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902" t="s">
        <v>2286</v>
      </c>
      <c r="I232" s="1902"/>
      <c r="J232" s="1902"/>
      <c r="K232" s="1902"/>
      <c r="L232" s="1902"/>
      <c r="M232" s="1902"/>
      <c r="N232" s="1902"/>
      <c r="O232" s="1902"/>
      <c r="P232" s="1902"/>
      <c r="Q232" s="1902"/>
      <c r="R232" s="1902"/>
      <c r="S232" s="1902"/>
      <c r="T232" s="1902"/>
      <c r="U232" s="1902"/>
      <c r="V232" s="1902"/>
      <c r="W232" s="1902"/>
      <c r="X232" s="1902"/>
      <c r="Y232" s="1902"/>
      <c r="Z232" s="1902"/>
      <c r="AA232" s="1902"/>
      <c r="AB232" s="1902"/>
      <c r="AC232" s="1902"/>
      <c r="AD232" s="1902"/>
      <c r="AE232" s="1902"/>
      <c r="AF232" s="1902"/>
      <c r="AG232" s="1902"/>
      <c r="AH232" s="1902"/>
      <c r="AI232" s="1902"/>
      <c r="AJ232" s="1902"/>
      <c r="AK232" s="1902"/>
      <c r="AL232" s="1902"/>
      <c r="AM232" s="1902"/>
      <c r="AN232" s="1902"/>
      <c r="AO232" s="1902"/>
      <c r="AP232" s="1902"/>
      <c r="AQ232" s="1902"/>
      <c r="AR232" s="1902"/>
      <c r="AS232" s="1902"/>
      <c r="AT232" s="1902"/>
      <c r="AU232" s="1902"/>
      <c r="AV232" s="1902"/>
      <c r="AW232" s="1902"/>
      <c r="AX232" s="1902"/>
      <c r="AY232" s="1902"/>
      <c r="AZ232" s="1902"/>
      <c r="BA232" s="1190"/>
      <c r="BB232" s="1190"/>
      <c r="BC232" s="1190"/>
      <c r="BD232" s="1194"/>
      <c r="BE232" s="1194"/>
    </row>
    <row r="233" spans="1:57" ht="15.75" customHeight="1">
      <c r="A233" s="1190"/>
      <c r="B233" s="1189"/>
      <c r="C233" s="1190"/>
      <c r="D233" s="1190"/>
      <c r="E233" s="1190"/>
      <c r="F233" s="1190"/>
      <c r="G233" s="1190"/>
      <c r="H233" s="1902"/>
      <c r="I233" s="1902"/>
      <c r="J233" s="1902"/>
      <c r="K233" s="1902"/>
      <c r="L233" s="1902"/>
      <c r="M233" s="1902"/>
      <c r="N233" s="1902"/>
      <c r="O233" s="1902"/>
      <c r="P233" s="1902"/>
      <c r="Q233" s="1902"/>
      <c r="R233" s="1902"/>
      <c r="S233" s="1902"/>
      <c r="T233" s="1902"/>
      <c r="U233" s="1902"/>
      <c r="V233" s="1902"/>
      <c r="W233" s="1902"/>
      <c r="X233" s="1902"/>
      <c r="Y233" s="1902"/>
      <c r="Z233" s="1902"/>
      <c r="AA233" s="1902"/>
      <c r="AB233" s="1902"/>
      <c r="AC233" s="1902"/>
      <c r="AD233" s="1902"/>
      <c r="AE233" s="1902"/>
      <c r="AF233" s="1902"/>
      <c r="AG233" s="1902"/>
      <c r="AH233" s="1902"/>
      <c r="AI233" s="1902"/>
      <c r="AJ233" s="1902"/>
      <c r="AK233" s="1902"/>
      <c r="AL233" s="1902"/>
      <c r="AM233" s="1902"/>
      <c r="AN233" s="1902"/>
      <c r="AO233" s="1902"/>
      <c r="AP233" s="1902"/>
      <c r="AQ233" s="1902"/>
      <c r="AR233" s="1902"/>
      <c r="AS233" s="1902"/>
      <c r="AT233" s="1902"/>
      <c r="AU233" s="1902"/>
      <c r="AV233" s="1902"/>
      <c r="AW233" s="1902"/>
      <c r="AX233" s="1902"/>
      <c r="AY233" s="1902"/>
      <c r="AZ233" s="1902"/>
      <c r="BA233" s="1190"/>
      <c r="BB233" s="1190"/>
      <c r="BC233" s="1190"/>
      <c r="BD233" s="1194"/>
      <c r="BE233" s="1194"/>
    </row>
    <row r="234" spans="1:57" ht="15.75" customHeight="1">
      <c r="A234" s="1190"/>
      <c r="B234" s="1189"/>
      <c r="C234" s="1190"/>
      <c r="D234" s="1190"/>
      <c r="E234" s="1190"/>
      <c r="F234" s="1190"/>
      <c r="G234" s="1190"/>
      <c r="H234" s="1902"/>
      <c r="I234" s="1902"/>
      <c r="J234" s="1902"/>
      <c r="K234" s="1902"/>
      <c r="L234" s="1902"/>
      <c r="M234" s="1902"/>
      <c r="N234" s="1902"/>
      <c r="O234" s="1902"/>
      <c r="P234" s="1902"/>
      <c r="Q234" s="1902"/>
      <c r="R234" s="1902"/>
      <c r="S234" s="1902"/>
      <c r="T234" s="1902"/>
      <c r="U234" s="1902"/>
      <c r="V234" s="1902"/>
      <c r="W234" s="1902"/>
      <c r="X234" s="1902"/>
      <c r="Y234" s="1902"/>
      <c r="Z234" s="1902"/>
      <c r="AA234" s="1902"/>
      <c r="AB234" s="1902"/>
      <c r="AC234" s="1902"/>
      <c r="AD234" s="1902"/>
      <c r="AE234" s="1902"/>
      <c r="AF234" s="1902"/>
      <c r="AG234" s="1902"/>
      <c r="AH234" s="1902"/>
      <c r="AI234" s="1902"/>
      <c r="AJ234" s="1902"/>
      <c r="AK234" s="1902"/>
      <c r="AL234" s="1902"/>
      <c r="AM234" s="1902"/>
      <c r="AN234" s="1902"/>
      <c r="AO234" s="1902"/>
      <c r="AP234" s="1902"/>
      <c r="AQ234" s="1902"/>
      <c r="AR234" s="1902"/>
      <c r="AS234" s="1902"/>
      <c r="AT234" s="1902"/>
      <c r="AU234" s="1902"/>
      <c r="AV234" s="1902"/>
      <c r="AW234" s="1902"/>
      <c r="AX234" s="1902"/>
      <c r="AY234" s="1902"/>
      <c r="AZ234" s="1902"/>
      <c r="BA234" s="1190"/>
      <c r="BB234" s="1190"/>
      <c r="BC234" s="1190"/>
      <c r="BD234" s="1194"/>
      <c r="BE234" s="1194"/>
    </row>
    <row r="235" spans="1:57" ht="15.75" customHeight="1">
      <c r="A235" s="1190"/>
      <c r="B235" s="1189"/>
      <c r="C235" s="1190"/>
      <c r="D235" s="1190"/>
      <c r="E235" s="1190"/>
      <c r="F235" s="1190"/>
      <c r="G235" s="1190"/>
      <c r="H235" s="1902"/>
      <c r="I235" s="1902"/>
      <c r="J235" s="1902"/>
      <c r="K235" s="1902"/>
      <c r="L235" s="1902"/>
      <c r="M235" s="1902"/>
      <c r="N235" s="1902"/>
      <c r="O235" s="1902"/>
      <c r="P235" s="1902"/>
      <c r="Q235" s="1902"/>
      <c r="R235" s="1902"/>
      <c r="S235" s="1902"/>
      <c r="T235" s="1902"/>
      <c r="U235" s="1902"/>
      <c r="V235" s="1902"/>
      <c r="W235" s="1902"/>
      <c r="X235" s="1902"/>
      <c r="Y235" s="1902"/>
      <c r="Z235" s="1902"/>
      <c r="AA235" s="1902"/>
      <c r="AB235" s="1902"/>
      <c r="AC235" s="1902"/>
      <c r="AD235" s="1902"/>
      <c r="AE235" s="1902"/>
      <c r="AF235" s="1902"/>
      <c r="AG235" s="1902"/>
      <c r="AH235" s="1902"/>
      <c r="AI235" s="1902"/>
      <c r="AJ235" s="1902"/>
      <c r="AK235" s="1902"/>
      <c r="AL235" s="1902"/>
      <c r="AM235" s="1902"/>
      <c r="AN235" s="1902"/>
      <c r="AO235" s="1902"/>
      <c r="AP235" s="1902"/>
      <c r="AQ235" s="1902"/>
      <c r="AR235" s="1902"/>
      <c r="AS235" s="1902"/>
      <c r="AT235" s="1902"/>
      <c r="AU235" s="1902"/>
      <c r="AV235" s="1902"/>
      <c r="AW235" s="1902"/>
      <c r="AX235" s="1902"/>
      <c r="AY235" s="1902"/>
      <c r="AZ235" s="190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03" t="s">
        <v>2285</v>
      </c>
      <c r="I237" s="1903"/>
      <c r="J237" s="1903"/>
      <c r="K237" s="1903"/>
      <c r="L237" s="1903"/>
      <c r="M237" s="1903"/>
      <c r="N237" s="1903"/>
      <c r="O237" s="1903"/>
      <c r="P237" s="1903"/>
      <c r="Q237" s="1903"/>
      <c r="R237" s="1903"/>
      <c r="S237" s="1903"/>
      <c r="T237" s="1903"/>
      <c r="U237" s="1903"/>
      <c r="V237" s="1903"/>
      <c r="W237" s="1903"/>
      <c r="X237" s="1903"/>
      <c r="Y237" s="1903"/>
      <c r="Z237" s="1903"/>
      <c r="AA237" s="1903"/>
      <c r="AB237" s="1903"/>
      <c r="AC237" s="1903"/>
      <c r="AD237" s="1903"/>
      <c r="AE237" s="1903"/>
      <c r="AF237" s="1903"/>
      <c r="AG237" s="1903"/>
      <c r="AH237" s="1903"/>
      <c r="AI237" s="1903"/>
      <c r="AJ237" s="1903"/>
      <c r="AK237" s="1903"/>
      <c r="AL237" s="1903"/>
      <c r="AM237" s="1903"/>
      <c r="AN237" s="1903"/>
      <c r="AO237" s="1903"/>
      <c r="AP237" s="1903"/>
      <c r="AQ237" s="1903"/>
      <c r="AR237" s="1903"/>
      <c r="AS237" s="1903"/>
      <c r="AT237" s="1903"/>
      <c r="AU237" s="1903"/>
      <c r="AV237" s="190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93" t="s">
        <v>2284</v>
      </c>
      <c r="I239" s="1893"/>
      <c r="J239" s="1893"/>
      <c r="K239" s="1893"/>
      <c r="L239" s="1239"/>
      <c r="M239" s="1239"/>
      <c r="N239" s="1239"/>
      <c r="O239" s="1239"/>
      <c r="P239" s="1239"/>
      <c r="Q239" s="1239"/>
      <c r="R239" s="1239"/>
      <c r="S239" s="1904"/>
      <c r="T239" s="1905"/>
      <c r="U239" s="1905"/>
      <c r="V239" s="1905"/>
      <c r="W239" s="1905"/>
      <c r="X239" s="1905"/>
      <c r="Y239" s="1905"/>
      <c r="Z239" s="1905"/>
      <c r="AA239" s="1905"/>
      <c r="AB239" s="1905"/>
      <c r="AC239" s="1905"/>
      <c r="AD239" s="1905"/>
      <c r="AE239" s="1905"/>
      <c r="AF239" s="1905"/>
      <c r="AG239" s="1905"/>
      <c r="AH239" s="1905"/>
      <c r="AI239" s="1905"/>
      <c r="AJ239" s="190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93" t="s">
        <v>2283</v>
      </c>
      <c r="I241" s="1893"/>
      <c r="J241" s="1893"/>
      <c r="K241" s="1241"/>
      <c r="L241" s="1239"/>
      <c r="M241" s="1239"/>
      <c r="N241" s="1239"/>
      <c r="O241" s="1239"/>
      <c r="P241" s="1239"/>
      <c r="Q241" s="1239"/>
      <c r="R241" s="1239"/>
      <c r="S241" s="1894"/>
      <c r="T241" s="1895"/>
      <c r="U241" s="1895"/>
      <c r="V241" s="1895"/>
      <c r="W241" s="1895"/>
      <c r="X241" s="1895"/>
      <c r="Y241" s="1895"/>
      <c r="Z241" s="1895"/>
      <c r="AA241" s="1895"/>
      <c r="AB241" s="1895"/>
      <c r="AC241" s="1895"/>
      <c r="AD241" s="1895"/>
      <c r="AE241" s="1895"/>
      <c r="AF241" s="1895"/>
      <c r="AG241" s="1895"/>
      <c r="AH241" s="1895"/>
      <c r="AI241" s="1895"/>
      <c r="AJ241" s="189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93" t="s">
        <v>441</v>
      </c>
      <c r="I243" s="1893"/>
      <c r="J243" s="1241"/>
      <c r="K243" s="1241"/>
      <c r="L243" s="1239"/>
      <c r="M243" s="1239"/>
      <c r="N243" s="1239"/>
      <c r="O243" s="1239"/>
      <c r="P243" s="1239"/>
      <c r="Q243" s="1239"/>
      <c r="R243" s="1239"/>
      <c r="S243" s="1894"/>
      <c r="T243" s="1895"/>
      <c r="U243" s="1895"/>
      <c r="V243" s="1895"/>
      <c r="W243" s="1895"/>
      <c r="X243" s="1895"/>
      <c r="Y243" s="1895"/>
      <c r="Z243" s="1895"/>
      <c r="AA243" s="1895"/>
      <c r="AB243" s="1895"/>
      <c r="AC243" s="1895"/>
      <c r="AD243" s="1895"/>
      <c r="AE243" s="1895"/>
      <c r="AF243" s="1895"/>
      <c r="AG243" s="1895"/>
      <c r="AH243" s="1895"/>
      <c r="AI243" s="1895"/>
      <c r="AJ243" s="189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7" t="s">
        <v>2282</v>
      </c>
      <c r="I245" s="1897"/>
      <c r="J245" s="1897"/>
      <c r="K245" s="1897"/>
      <c r="L245" s="1897"/>
      <c r="M245" s="1897"/>
      <c r="N245" s="1897"/>
      <c r="O245" s="1897"/>
      <c r="P245" s="1239"/>
      <c r="Q245" s="1239"/>
      <c r="R245" s="1239"/>
      <c r="S245" s="1894"/>
      <c r="T245" s="1895"/>
      <c r="U245" s="1895"/>
      <c r="V245" s="1895"/>
      <c r="W245" s="1895"/>
      <c r="X245" s="1895"/>
      <c r="Y245" s="1895"/>
      <c r="Z245" s="1895"/>
      <c r="AA245" s="1895"/>
      <c r="AB245" s="1895"/>
      <c r="AC245" s="1895"/>
      <c r="AD245" s="1895"/>
      <c r="AE245" s="1895"/>
      <c r="AF245" s="1895"/>
      <c r="AG245" s="1895"/>
      <c r="AH245" s="1895"/>
      <c r="AI245" s="1895"/>
      <c r="AJ245" s="189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8" t="s">
        <v>2281</v>
      </c>
      <c r="I247" s="1898"/>
      <c r="J247" s="1239"/>
      <c r="K247" s="1239"/>
      <c r="L247" s="1239"/>
      <c r="M247" s="1239"/>
      <c r="N247" s="1239"/>
      <c r="O247" s="1239"/>
      <c r="P247" s="1239"/>
      <c r="Q247" s="1239"/>
      <c r="R247" s="1239"/>
      <c r="S247" s="1899"/>
      <c r="T247" s="1900"/>
      <c r="U247" s="1900"/>
      <c r="V247" s="1900"/>
      <c r="W247" s="1900"/>
      <c r="X247" s="1900"/>
      <c r="Y247" s="1900"/>
      <c r="Z247" s="1900"/>
      <c r="AA247" s="1900"/>
      <c r="AB247" s="1900"/>
      <c r="AC247" s="1900"/>
      <c r="AD247" s="1900"/>
      <c r="AE247" s="1900"/>
      <c r="AF247" s="1900"/>
      <c r="AG247" s="1900"/>
      <c r="AH247" s="1900"/>
      <c r="AI247" s="1900"/>
      <c r="AJ247" s="190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B51" sqref="AB51"/>
    </sheetView>
  </sheetViews>
  <sheetFormatPr defaultColWidth="0" defaultRowHeight="13" customHeight="1"/>
  <cols>
    <col min="1" max="1" width="1.6328125" style="402" customWidth="1"/>
    <col min="2" max="2" width="0.81640625" style="402" customWidth="1"/>
    <col min="3" max="18" width="2.6328125" style="402" customWidth="1"/>
    <col min="19" max="19" width="6.36328125" style="402" customWidth="1"/>
    <col min="20" max="39" width="2.6328125" style="402" customWidth="1"/>
    <col min="40" max="40" width="1.6328125" style="402" customWidth="1"/>
    <col min="41" max="256" width="2.6328125" style="402" hidden="1"/>
    <col min="257" max="257" width="1.6328125" style="402" hidden="1" customWidth="1"/>
    <col min="258" max="258" width="0.81640625" style="402" hidden="1" customWidth="1"/>
    <col min="259" max="274" width="2.6328125" style="402" hidden="1" customWidth="1"/>
    <col min="275" max="275" width="4" style="402" hidden="1" customWidth="1"/>
    <col min="276" max="279" width="2.6328125" style="402" hidden="1" customWidth="1"/>
    <col min="280" max="280" width="2.36328125" style="402" hidden="1" customWidth="1"/>
    <col min="281" max="284" width="2.6328125" style="402" hidden="1" customWidth="1"/>
    <col min="285" max="285" width="2.36328125" style="402" hidden="1" customWidth="1"/>
    <col min="286" max="289" width="2.6328125" style="402" hidden="1" customWidth="1"/>
    <col min="290" max="295" width="2.36328125" style="402" hidden="1" customWidth="1"/>
    <col min="296" max="296" width="1.6328125" style="402" hidden="1" customWidth="1"/>
    <col min="297" max="512" width="2.6328125" style="402" hidden="1"/>
    <col min="513" max="513" width="1.6328125" style="402" hidden="1" customWidth="1"/>
    <col min="514" max="514" width="0.81640625" style="402" hidden="1" customWidth="1"/>
    <col min="515" max="530" width="2.6328125" style="402" hidden="1" customWidth="1"/>
    <col min="531" max="531" width="4" style="402" hidden="1" customWidth="1"/>
    <col min="532" max="535" width="2.6328125" style="402" hidden="1" customWidth="1"/>
    <col min="536" max="536" width="2.36328125" style="402" hidden="1" customWidth="1"/>
    <col min="537" max="540" width="2.6328125" style="402" hidden="1" customWidth="1"/>
    <col min="541" max="541" width="2.36328125" style="402" hidden="1" customWidth="1"/>
    <col min="542" max="545" width="2.6328125" style="402" hidden="1" customWidth="1"/>
    <col min="546" max="551" width="2.36328125" style="402" hidden="1" customWidth="1"/>
    <col min="552" max="552" width="1.6328125" style="402" hidden="1" customWidth="1"/>
    <col min="553" max="768" width="2.6328125" style="402" hidden="1"/>
    <col min="769" max="769" width="1.6328125" style="402" hidden="1" customWidth="1"/>
    <col min="770" max="770" width="0.81640625" style="402" hidden="1" customWidth="1"/>
    <col min="771" max="786" width="2.6328125" style="402" hidden="1" customWidth="1"/>
    <col min="787" max="787" width="4" style="402" hidden="1" customWidth="1"/>
    <col min="788" max="791" width="2.6328125" style="402" hidden="1" customWidth="1"/>
    <col min="792" max="792" width="2.36328125" style="402" hidden="1" customWidth="1"/>
    <col min="793" max="796" width="2.6328125" style="402" hidden="1" customWidth="1"/>
    <col min="797" max="797" width="2.36328125" style="402" hidden="1" customWidth="1"/>
    <col min="798" max="801" width="2.6328125" style="402" hidden="1" customWidth="1"/>
    <col min="802" max="807" width="2.36328125" style="402" hidden="1" customWidth="1"/>
    <col min="808" max="808" width="1.6328125" style="402" hidden="1" customWidth="1"/>
    <col min="809" max="1024" width="2.6328125" style="402" hidden="1"/>
    <col min="1025" max="1025" width="1.6328125" style="402" hidden="1" customWidth="1"/>
    <col min="1026" max="1026" width="0.81640625" style="402" hidden="1" customWidth="1"/>
    <col min="1027" max="1042" width="2.6328125" style="402" hidden="1" customWidth="1"/>
    <col min="1043" max="1043" width="4" style="402" hidden="1" customWidth="1"/>
    <col min="1044" max="1047" width="2.6328125" style="402" hidden="1" customWidth="1"/>
    <col min="1048" max="1048" width="2.36328125" style="402" hidden="1" customWidth="1"/>
    <col min="1049" max="1052" width="2.6328125" style="402" hidden="1" customWidth="1"/>
    <col min="1053" max="1053" width="2.36328125" style="402" hidden="1" customWidth="1"/>
    <col min="1054" max="1057" width="2.6328125" style="402" hidden="1" customWidth="1"/>
    <col min="1058" max="1063" width="2.36328125" style="402" hidden="1" customWidth="1"/>
    <col min="1064" max="1064" width="1.6328125" style="402" hidden="1" customWidth="1"/>
    <col min="1065" max="1280" width="2.6328125" style="402" hidden="1"/>
    <col min="1281" max="1281" width="1.6328125" style="402" hidden="1" customWidth="1"/>
    <col min="1282" max="1282" width="0.81640625" style="402" hidden="1" customWidth="1"/>
    <col min="1283" max="1298" width="2.6328125" style="402" hidden="1" customWidth="1"/>
    <col min="1299" max="1299" width="4" style="402" hidden="1" customWidth="1"/>
    <col min="1300" max="1303" width="2.6328125" style="402" hidden="1" customWidth="1"/>
    <col min="1304" max="1304" width="2.36328125" style="402" hidden="1" customWidth="1"/>
    <col min="1305" max="1308" width="2.6328125" style="402" hidden="1" customWidth="1"/>
    <col min="1309" max="1309" width="2.36328125" style="402" hidden="1" customWidth="1"/>
    <col min="1310" max="1313" width="2.6328125" style="402" hidden="1" customWidth="1"/>
    <col min="1314" max="1319" width="2.36328125" style="402" hidden="1" customWidth="1"/>
    <col min="1320" max="1320" width="1.6328125" style="402" hidden="1" customWidth="1"/>
    <col min="1321" max="1536" width="2.6328125" style="402" hidden="1"/>
    <col min="1537" max="1537" width="1.6328125" style="402" hidden="1" customWidth="1"/>
    <col min="1538" max="1538" width="0.81640625" style="402" hidden="1" customWidth="1"/>
    <col min="1539" max="1554" width="2.6328125" style="402" hidden="1" customWidth="1"/>
    <col min="1555" max="1555" width="4" style="402" hidden="1" customWidth="1"/>
    <col min="1556" max="1559" width="2.6328125" style="402" hidden="1" customWidth="1"/>
    <col min="1560" max="1560" width="2.36328125" style="402" hidden="1" customWidth="1"/>
    <col min="1561" max="1564" width="2.6328125" style="402" hidden="1" customWidth="1"/>
    <col min="1565" max="1565" width="2.36328125" style="402" hidden="1" customWidth="1"/>
    <col min="1566" max="1569" width="2.6328125" style="402" hidden="1" customWidth="1"/>
    <col min="1570" max="1575" width="2.36328125" style="402" hidden="1" customWidth="1"/>
    <col min="1576" max="1576" width="1.6328125" style="402" hidden="1" customWidth="1"/>
    <col min="1577" max="1792" width="2.6328125" style="402" hidden="1"/>
    <col min="1793" max="1793" width="1.6328125" style="402" hidden="1" customWidth="1"/>
    <col min="1794" max="1794" width="0.81640625" style="402" hidden="1" customWidth="1"/>
    <col min="1795" max="1810" width="2.6328125" style="402" hidden="1" customWidth="1"/>
    <col min="1811" max="1811" width="4" style="402" hidden="1" customWidth="1"/>
    <col min="1812" max="1815" width="2.6328125" style="402" hidden="1" customWidth="1"/>
    <col min="1816" max="1816" width="2.36328125" style="402" hidden="1" customWidth="1"/>
    <col min="1817" max="1820" width="2.6328125" style="402" hidden="1" customWidth="1"/>
    <col min="1821" max="1821" width="2.36328125" style="402" hidden="1" customWidth="1"/>
    <col min="1822" max="1825" width="2.6328125" style="402" hidden="1" customWidth="1"/>
    <col min="1826" max="1831" width="2.36328125" style="402" hidden="1" customWidth="1"/>
    <col min="1832" max="1832" width="1.6328125" style="402" hidden="1" customWidth="1"/>
    <col min="1833" max="2048" width="2.6328125" style="402" hidden="1"/>
    <col min="2049" max="2049" width="1.6328125" style="402" hidden="1" customWidth="1"/>
    <col min="2050" max="2050" width="0.81640625" style="402" hidden="1" customWidth="1"/>
    <col min="2051" max="2066" width="2.6328125" style="402" hidden="1" customWidth="1"/>
    <col min="2067" max="2067" width="4" style="402" hidden="1" customWidth="1"/>
    <col min="2068" max="2071" width="2.6328125" style="402" hidden="1" customWidth="1"/>
    <col min="2072" max="2072" width="2.36328125" style="402" hidden="1" customWidth="1"/>
    <col min="2073" max="2076" width="2.6328125" style="402" hidden="1" customWidth="1"/>
    <col min="2077" max="2077" width="2.36328125" style="402" hidden="1" customWidth="1"/>
    <col min="2078" max="2081" width="2.6328125" style="402" hidden="1" customWidth="1"/>
    <col min="2082" max="2087" width="2.36328125" style="402" hidden="1" customWidth="1"/>
    <col min="2088" max="2088" width="1.6328125" style="402" hidden="1" customWidth="1"/>
    <col min="2089" max="2304" width="2.6328125" style="402" hidden="1"/>
    <col min="2305" max="2305" width="1.6328125" style="402" hidden="1" customWidth="1"/>
    <col min="2306" max="2306" width="0.81640625" style="402" hidden="1" customWidth="1"/>
    <col min="2307" max="2322" width="2.6328125" style="402" hidden="1" customWidth="1"/>
    <col min="2323" max="2323" width="4" style="402" hidden="1" customWidth="1"/>
    <col min="2324" max="2327" width="2.6328125" style="402" hidden="1" customWidth="1"/>
    <col min="2328" max="2328" width="2.36328125" style="402" hidden="1" customWidth="1"/>
    <col min="2329" max="2332" width="2.6328125" style="402" hidden="1" customWidth="1"/>
    <col min="2333" max="2333" width="2.36328125" style="402" hidden="1" customWidth="1"/>
    <col min="2334" max="2337" width="2.6328125" style="402" hidden="1" customWidth="1"/>
    <col min="2338" max="2343" width="2.36328125" style="402" hidden="1" customWidth="1"/>
    <col min="2344" max="2344" width="1.6328125" style="402" hidden="1" customWidth="1"/>
    <col min="2345" max="2560" width="2.6328125" style="402" hidden="1"/>
    <col min="2561" max="2561" width="1.6328125" style="402" hidden="1" customWidth="1"/>
    <col min="2562" max="2562" width="0.81640625" style="402" hidden="1" customWidth="1"/>
    <col min="2563" max="2578" width="2.6328125" style="402" hidden="1" customWidth="1"/>
    <col min="2579" max="2579" width="4" style="402" hidden="1" customWidth="1"/>
    <col min="2580" max="2583" width="2.6328125" style="402" hidden="1" customWidth="1"/>
    <col min="2584" max="2584" width="2.36328125" style="402" hidden="1" customWidth="1"/>
    <col min="2585" max="2588" width="2.6328125" style="402" hidden="1" customWidth="1"/>
    <col min="2589" max="2589" width="2.36328125" style="402" hidden="1" customWidth="1"/>
    <col min="2590" max="2593" width="2.6328125" style="402" hidden="1" customWidth="1"/>
    <col min="2594" max="2599" width="2.36328125" style="402" hidden="1" customWidth="1"/>
    <col min="2600" max="2600" width="1.6328125" style="402" hidden="1" customWidth="1"/>
    <col min="2601" max="2816" width="2.6328125" style="402" hidden="1"/>
    <col min="2817" max="2817" width="1.6328125" style="402" hidden="1" customWidth="1"/>
    <col min="2818" max="2818" width="0.81640625" style="402" hidden="1" customWidth="1"/>
    <col min="2819" max="2834" width="2.6328125" style="402" hidden="1" customWidth="1"/>
    <col min="2835" max="2835" width="4" style="402" hidden="1" customWidth="1"/>
    <col min="2836" max="2839" width="2.6328125" style="402" hidden="1" customWidth="1"/>
    <col min="2840" max="2840" width="2.36328125" style="402" hidden="1" customWidth="1"/>
    <col min="2841" max="2844" width="2.6328125" style="402" hidden="1" customWidth="1"/>
    <col min="2845" max="2845" width="2.36328125" style="402" hidden="1" customWidth="1"/>
    <col min="2846" max="2849" width="2.6328125" style="402" hidden="1" customWidth="1"/>
    <col min="2850" max="2855" width="2.36328125" style="402" hidden="1" customWidth="1"/>
    <col min="2856" max="2856" width="1.6328125" style="402" hidden="1" customWidth="1"/>
    <col min="2857" max="3072" width="2.6328125" style="402" hidden="1"/>
    <col min="3073" max="3073" width="1.6328125" style="402" hidden="1" customWidth="1"/>
    <col min="3074" max="3074" width="0.81640625" style="402" hidden="1" customWidth="1"/>
    <col min="3075" max="3090" width="2.6328125" style="402" hidden="1" customWidth="1"/>
    <col min="3091" max="3091" width="4" style="402" hidden="1" customWidth="1"/>
    <col min="3092" max="3095" width="2.6328125" style="402" hidden="1" customWidth="1"/>
    <col min="3096" max="3096" width="2.36328125" style="402" hidden="1" customWidth="1"/>
    <col min="3097" max="3100" width="2.6328125" style="402" hidden="1" customWidth="1"/>
    <col min="3101" max="3101" width="2.36328125" style="402" hidden="1" customWidth="1"/>
    <col min="3102" max="3105" width="2.6328125" style="402" hidden="1" customWidth="1"/>
    <col min="3106" max="3111" width="2.36328125" style="402" hidden="1" customWidth="1"/>
    <col min="3112" max="3112" width="1.6328125" style="402" hidden="1" customWidth="1"/>
    <col min="3113" max="3328" width="2.6328125" style="402" hidden="1"/>
    <col min="3329" max="3329" width="1.6328125" style="402" hidden="1" customWidth="1"/>
    <col min="3330" max="3330" width="0.81640625" style="402" hidden="1" customWidth="1"/>
    <col min="3331" max="3346" width="2.6328125" style="402" hidden="1" customWidth="1"/>
    <col min="3347" max="3347" width="4" style="402" hidden="1" customWidth="1"/>
    <col min="3348" max="3351" width="2.6328125" style="402" hidden="1" customWidth="1"/>
    <col min="3352" max="3352" width="2.36328125" style="402" hidden="1" customWidth="1"/>
    <col min="3353" max="3356" width="2.6328125" style="402" hidden="1" customWidth="1"/>
    <col min="3357" max="3357" width="2.36328125" style="402" hidden="1" customWidth="1"/>
    <col min="3358" max="3361" width="2.6328125" style="402" hidden="1" customWidth="1"/>
    <col min="3362" max="3367" width="2.36328125" style="402" hidden="1" customWidth="1"/>
    <col min="3368" max="3368" width="1.6328125" style="402" hidden="1" customWidth="1"/>
    <col min="3369" max="3584" width="2.6328125" style="402" hidden="1"/>
    <col min="3585" max="3585" width="1.6328125" style="402" hidden="1" customWidth="1"/>
    <col min="3586" max="3586" width="0.81640625" style="402" hidden="1" customWidth="1"/>
    <col min="3587" max="3602" width="2.6328125" style="402" hidden="1" customWidth="1"/>
    <col min="3603" max="3603" width="4" style="402" hidden="1" customWidth="1"/>
    <col min="3604" max="3607" width="2.6328125" style="402" hidden="1" customWidth="1"/>
    <col min="3608" max="3608" width="2.36328125" style="402" hidden="1" customWidth="1"/>
    <col min="3609" max="3612" width="2.6328125" style="402" hidden="1" customWidth="1"/>
    <col min="3613" max="3613" width="2.36328125" style="402" hidden="1" customWidth="1"/>
    <col min="3614" max="3617" width="2.6328125" style="402" hidden="1" customWidth="1"/>
    <col min="3618" max="3623" width="2.36328125" style="402" hidden="1" customWidth="1"/>
    <col min="3624" max="3624" width="1.6328125" style="402" hidden="1" customWidth="1"/>
    <col min="3625" max="3840" width="2.6328125" style="402" hidden="1"/>
    <col min="3841" max="3841" width="1.6328125" style="402" hidden="1" customWidth="1"/>
    <col min="3842" max="3842" width="0.81640625" style="402" hidden="1" customWidth="1"/>
    <col min="3843" max="3858" width="2.6328125" style="402" hidden="1" customWidth="1"/>
    <col min="3859" max="3859" width="4" style="402" hidden="1" customWidth="1"/>
    <col min="3860" max="3863" width="2.6328125" style="402" hidden="1" customWidth="1"/>
    <col min="3864" max="3864" width="2.36328125" style="402" hidden="1" customWidth="1"/>
    <col min="3865" max="3868" width="2.6328125" style="402" hidden="1" customWidth="1"/>
    <col min="3869" max="3869" width="2.36328125" style="402" hidden="1" customWidth="1"/>
    <col min="3870" max="3873" width="2.6328125" style="402" hidden="1" customWidth="1"/>
    <col min="3874" max="3879" width="2.36328125" style="402" hidden="1" customWidth="1"/>
    <col min="3880" max="3880" width="1.6328125" style="402" hidden="1" customWidth="1"/>
    <col min="3881" max="4096" width="2.6328125" style="402" hidden="1"/>
    <col min="4097" max="4097" width="1.6328125" style="402" hidden="1" customWidth="1"/>
    <col min="4098" max="4098" width="0.81640625" style="402" hidden="1" customWidth="1"/>
    <col min="4099" max="4114" width="2.6328125" style="402" hidden="1" customWidth="1"/>
    <col min="4115" max="4115" width="4" style="402" hidden="1" customWidth="1"/>
    <col min="4116" max="4119" width="2.6328125" style="402" hidden="1" customWidth="1"/>
    <col min="4120" max="4120" width="2.36328125" style="402" hidden="1" customWidth="1"/>
    <col min="4121" max="4124" width="2.6328125" style="402" hidden="1" customWidth="1"/>
    <col min="4125" max="4125" width="2.36328125" style="402" hidden="1" customWidth="1"/>
    <col min="4126" max="4129" width="2.6328125" style="402" hidden="1" customWidth="1"/>
    <col min="4130" max="4135" width="2.36328125" style="402" hidden="1" customWidth="1"/>
    <col min="4136" max="4136" width="1.6328125" style="402" hidden="1" customWidth="1"/>
    <col min="4137" max="4352" width="2.6328125" style="402" hidden="1"/>
    <col min="4353" max="4353" width="1.6328125" style="402" hidden="1" customWidth="1"/>
    <col min="4354" max="4354" width="0.81640625" style="402" hidden="1" customWidth="1"/>
    <col min="4355" max="4370" width="2.6328125" style="402" hidden="1" customWidth="1"/>
    <col min="4371" max="4371" width="4" style="402" hidden="1" customWidth="1"/>
    <col min="4372" max="4375" width="2.6328125" style="402" hidden="1" customWidth="1"/>
    <col min="4376" max="4376" width="2.36328125" style="402" hidden="1" customWidth="1"/>
    <col min="4377" max="4380" width="2.6328125" style="402" hidden="1" customWidth="1"/>
    <col min="4381" max="4381" width="2.36328125" style="402" hidden="1" customWidth="1"/>
    <col min="4382" max="4385" width="2.6328125" style="402" hidden="1" customWidth="1"/>
    <col min="4386" max="4391" width="2.36328125" style="402" hidden="1" customWidth="1"/>
    <col min="4392" max="4392" width="1.6328125" style="402" hidden="1" customWidth="1"/>
    <col min="4393" max="4608" width="2.6328125" style="402" hidden="1"/>
    <col min="4609" max="4609" width="1.6328125" style="402" hidden="1" customWidth="1"/>
    <col min="4610" max="4610" width="0.81640625" style="402" hidden="1" customWidth="1"/>
    <col min="4611" max="4626" width="2.6328125" style="402" hidden="1" customWidth="1"/>
    <col min="4627" max="4627" width="4" style="402" hidden="1" customWidth="1"/>
    <col min="4628" max="4631" width="2.6328125" style="402" hidden="1" customWidth="1"/>
    <col min="4632" max="4632" width="2.36328125" style="402" hidden="1" customWidth="1"/>
    <col min="4633" max="4636" width="2.6328125" style="402" hidden="1" customWidth="1"/>
    <col min="4637" max="4637" width="2.36328125" style="402" hidden="1" customWidth="1"/>
    <col min="4638" max="4641" width="2.6328125" style="402" hidden="1" customWidth="1"/>
    <col min="4642" max="4647" width="2.36328125" style="402" hidden="1" customWidth="1"/>
    <col min="4648" max="4648" width="1.6328125" style="402" hidden="1" customWidth="1"/>
    <col min="4649" max="4864" width="2.6328125" style="402" hidden="1"/>
    <col min="4865" max="4865" width="1.6328125" style="402" hidden="1" customWidth="1"/>
    <col min="4866" max="4866" width="0.81640625" style="402" hidden="1" customWidth="1"/>
    <col min="4867" max="4882" width="2.6328125" style="402" hidden="1" customWidth="1"/>
    <col min="4883" max="4883" width="4" style="402" hidden="1" customWidth="1"/>
    <col min="4884" max="4887" width="2.6328125" style="402" hidden="1" customWidth="1"/>
    <col min="4888" max="4888" width="2.36328125" style="402" hidden="1" customWidth="1"/>
    <col min="4889" max="4892" width="2.6328125" style="402" hidden="1" customWidth="1"/>
    <col min="4893" max="4893" width="2.36328125" style="402" hidden="1" customWidth="1"/>
    <col min="4894" max="4897" width="2.6328125" style="402" hidden="1" customWidth="1"/>
    <col min="4898" max="4903" width="2.36328125" style="402" hidden="1" customWidth="1"/>
    <col min="4904" max="4904" width="1.6328125" style="402" hidden="1" customWidth="1"/>
    <col min="4905" max="5120" width="2.6328125" style="402" hidden="1"/>
    <col min="5121" max="5121" width="1.6328125" style="402" hidden="1" customWidth="1"/>
    <col min="5122" max="5122" width="0.81640625" style="402" hidden="1" customWidth="1"/>
    <col min="5123" max="5138" width="2.6328125" style="402" hidden="1" customWidth="1"/>
    <col min="5139" max="5139" width="4" style="402" hidden="1" customWidth="1"/>
    <col min="5140" max="5143" width="2.6328125" style="402" hidden="1" customWidth="1"/>
    <col min="5144" max="5144" width="2.36328125" style="402" hidden="1" customWidth="1"/>
    <col min="5145" max="5148" width="2.6328125" style="402" hidden="1" customWidth="1"/>
    <col min="5149" max="5149" width="2.36328125" style="402" hidden="1" customWidth="1"/>
    <col min="5150" max="5153" width="2.6328125" style="402" hidden="1" customWidth="1"/>
    <col min="5154" max="5159" width="2.36328125" style="402" hidden="1" customWidth="1"/>
    <col min="5160" max="5160" width="1.6328125" style="402" hidden="1" customWidth="1"/>
    <col min="5161" max="5376" width="2.6328125" style="402" hidden="1"/>
    <col min="5377" max="5377" width="1.6328125" style="402" hidden="1" customWidth="1"/>
    <col min="5378" max="5378" width="0.81640625" style="402" hidden="1" customWidth="1"/>
    <col min="5379" max="5394" width="2.6328125" style="402" hidden="1" customWidth="1"/>
    <col min="5395" max="5395" width="4" style="402" hidden="1" customWidth="1"/>
    <col min="5396" max="5399" width="2.6328125" style="402" hidden="1" customWidth="1"/>
    <col min="5400" max="5400" width="2.36328125" style="402" hidden="1" customWidth="1"/>
    <col min="5401" max="5404" width="2.6328125" style="402" hidden="1" customWidth="1"/>
    <col min="5405" max="5405" width="2.36328125" style="402" hidden="1" customWidth="1"/>
    <col min="5406" max="5409" width="2.6328125" style="402" hidden="1" customWidth="1"/>
    <col min="5410" max="5415" width="2.36328125" style="402" hidden="1" customWidth="1"/>
    <col min="5416" max="5416" width="1.6328125" style="402" hidden="1" customWidth="1"/>
    <col min="5417" max="5632" width="2.6328125" style="402" hidden="1"/>
    <col min="5633" max="5633" width="1.6328125" style="402" hidden="1" customWidth="1"/>
    <col min="5634" max="5634" width="0.81640625" style="402" hidden="1" customWidth="1"/>
    <col min="5635" max="5650" width="2.6328125" style="402" hidden="1" customWidth="1"/>
    <col min="5651" max="5651" width="4" style="402" hidden="1" customWidth="1"/>
    <col min="5652" max="5655" width="2.6328125" style="402" hidden="1" customWidth="1"/>
    <col min="5656" max="5656" width="2.36328125" style="402" hidden="1" customWidth="1"/>
    <col min="5657" max="5660" width="2.6328125" style="402" hidden="1" customWidth="1"/>
    <col min="5661" max="5661" width="2.36328125" style="402" hidden="1" customWidth="1"/>
    <col min="5662" max="5665" width="2.6328125" style="402" hidden="1" customWidth="1"/>
    <col min="5666" max="5671" width="2.36328125" style="402" hidden="1" customWidth="1"/>
    <col min="5672" max="5672" width="1.6328125" style="402" hidden="1" customWidth="1"/>
    <col min="5673" max="5888" width="2.6328125" style="402" hidden="1"/>
    <col min="5889" max="5889" width="1.6328125" style="402" hidden="1" customWidth="1"/>
    <col min="5890" max="5890" width="0.81640625" style="402" hidden="1" customWidth="1"/>
    <col min="5891" max="5906" width="2.6328125" style="402" hidden="1" customWidth="1"/>
    <col min="5907" max="5907" width="4" style="402" hidden="1" customWidth="1"/>
    <col min="5908" max="5911" width="2.6328125" style="402" hidden="1" customWidth="1"/>
    <col min="5912" max="5912" width="2.36328125" style="402" hidden="1" customWidth="1"/>
    <col min="5913" max="5916" width="2.6328125" style="402" hidden="1" customWidth="1"/>
    <col min="5917" max="5917" width="2.36328125" style="402" hidden="1" customWidth="1"/>
    <col min="5918" max="5921" width="2.6328125" style="402" hidden="1" customWidth="1"/>
    <col min="5922" max="5927" width="2.36328125" style="402" hidden="1" customWidth="1"/>
    <col min="5928" max="5928" width="1.6328125" style="402" hidden="1" customWidth="1"/>
    <col min="5929" max="6144" width="2.6328125" style="402" hidden="1"/>
    <col min="6145" max="6145" width="1.6328125" style="402" hidden="1" customWidth="1"/>
    <col min="6146" max="6146" width="0.81640625" style="402" hidden="1" customWidth="1"/>
    <col min="6147" max="6162" width="2.6328125" style="402" hidden="1" customWidth="1"/>
    <col min="6163" max="6163" width="4" style="402" hidden="1" customWidth="1"/>
    <col min="6164" max="6167" width="2.6328125" style="402" hidden="1" customWidth="1"/>
    <col min="6168" max="6168" width="2.36328125" style="402" hidden="1" customWidth="1"/>
    <col min="6169" max="6172" width="2.6328125" style="402" hidden="1" customWidth="1"/>
    <col min="6173" max="6173" width="2.36328125" style="402" hidden="1" customWidth="1"/>
    <col min="6174" max="6177" width="2.6328125" style="402" hidden="1" customWidth="1"/>
    <col min="6178" max="6183" width="2.36328125" style="402" hidden="1" customWidth="1"/>
    <col min="6184" max="6184" width="1.6328125" style="402" hidden="1" customWidth="1"/>
    <col min="6185" max="6400" width="2.6328125" style="402" hidden="1"/>
    <col min="6401" max="6401" width="1.6328125" style="402" hidden="1" customWidth="1"/>
    <col min="6402" max="6402" width="0.81640625" style="402" hidden="1" customWidth="1"/>
    <col min="6403" max="6418" width="2.6328125" style="402" hidden="1" customWidth="1"/>
    <col min="6419" max="6419" width="4" style="402" hidden="1" customWidth="1"/>
    <col min="6420" max="6423" width="2.6328125" style="402" hidden="1" customWidth="1"/>
    <col min="6424" max="6424" width="2.36328125" style="402" hidden="1" customWidth="1"/>
    <col min="6425" max="6428" width="2.6328125" style="402" hidden="1" customWidth="1"/>
    <col min="6429" max="6429" width="2.36328125" style="402" hidden="1" customWidth="1"/>
    <col min="6430" max="6433" width="2.6328125" style="402" hidden="1" customWidth="1"/>
    <col min="6434" max="6439" width="2.36328125" style="402" hidden="1" customWidth="1"/>
    <col min="6440" max="6440" width="1.6328125" style="402" hidden="1" customWidth="1"/>
    <col min="6441" max="6656" width="2.6328125" style="402" hidden="1"/>
    <col min="6657" max="6657" width="1.6328125" style="402" hidden="1" customWidth="1"/>
    <col min="6658" max="6658" width="0.81640625" style="402" hidden="1" customWidth="1"/>
    <col min="6659" max="6674" width="2.6328125" style="402" hidden="1" customWidth="1"/>
    <col min="6675" max="6675" width="4" style="402" hidden="1" customWidth="1"/>
    <col min="6676" max="6679" width="2.6328125" style="402" hidden="1" customWidth="1"/>
    <col min="6680" max="6680" width="2.36328125" style="402" hidden="1" customWidth="1"/>
    <col min="6681" max="6684" width="2.6328125" style="402" hidden="1" customWidth="1"/>
    <col min="6685" max="6685" width="2.36328125" style="402" hidden="1" customWidth="1"/>
    <col min="6686" max="6689" width="2.6328125" style="402" hidden="1" customWidth="1"/>
    <col min="6690" max="6695" width="2.36328125" style="402" hidden="1" customWidth="1"/>
    <col min="6696" max="6696" width="1.6328125" style="402" hidden="1" customWidth="1"/>
    <col min="6697" max="6912" width="2.6328125" style="402" hidden="1"/>
    <col min="6913" max="6913" width="1.6328125" style="402" hidden="1" customWidth="1"/>
    <col min="6914" max="6914" width="0.81640625" style="402" hidden="1" customWidth="1"/>
    <col min="6915" max="6930" width="2.6328125" style="402" hidden="1" customWidth="1"/>
    <col min="6931" max="6931" width="4" style="402" hidden="1" customWidth="1"/>
    <col min="6932" max="6935" width="2.6328125" style="402" hidden="1" customWidth="1"/>
    <col min="6936" max="6936" width="2.36328125" style="402" hidden="1" customWidth="1"/>
    <col min="6937" max="6940" width="2.6328125" style="402" hidden="1" customWidth="1"/>
    <col min="6941" max="6941" width="2.36328125" style="402" hidden="1" customWidth="1"/>
    <col min="6942" max="6945" width="2.6328125" style="402" hidden="1" customWidth="1"/>
    <col min="6946" max="6951" width="2.36328125" style="402" hidden="1" customWidth="1"/>
    <col min="6952" max="6952" width="1.6328125" style="402" hidden="1" customWidth="1"/>
    <col min="6953" max="7168" width="2.6328125" style="402" hidden="1"/>
    <col min="7169" max="7169" width="1.6328125" style="402" hidden="1" customWidth="1"/>
    <col min="7170" max="7170" width="0.81640625" style="402" hidden="1" customWidth="1"/>
    <col min="7171" max="7186" width="2.6328125" style="402" hidden="1" customWidth="1"/>
    <col min="7187" max="7187" width="4" style="402" hidden="1" customWidth="1"/>
    <col min="7188" max="7191" width="2.6328125" style="402" hidden="1" customWidth="1"/>
    <col min="7192" max="7192" width="2.36328125" style="402" hidden="1" customWidth="1"/>
    <col min="7193" max="7196" width="2.6328125" style="402" hidden="1" customWidth="1"/>
    <col min="7197" max="7197" width="2.36328125" style="402" hidden="1" customWidth="1"/>
    <col min="7198" max="7201" width="2.6328125" style="402" hidden="1" customWidth="1"/>
    <col min="7202" max="7207" width="2.36328125" style="402" hidden="1" customWidth="1"/>
    <col min="7208" max="7208" width="1.6328125" style="402" hidden="1" customWidth="1"/>
    <col min="7209" max="7424" width="2.6328125" style="402" hidden="1"/>
    <col min="7425" max="7425" width="1.6328125" style="402" hidden="1" customWidth="1"/>
    <col min="7426" max="7426" width="0.81640625" style="402" hidden="1" customWidth="1"/>
    <col min="7427" max="7442" width="2.6328125" style="402" hidden="1" customWidth="1"/>
    <col min="7443" max="7443" width="4" style="402" hidden="1" customWidth="1"/>
    <col min="7444" max="7447" width="2.6328125" style="402" hidden="1" customWidth="1"/>
    <col min="7448" max="7448" width="2.36328125" style="402" hidden="1" customWidth="1"/>
    <col min="7449" max="7452" width="2.6328125" style="402" hidden="1" customWidth="1"/>
    <col min="7453" max="7453" width="2.36328125" style="402" hidden="1" customWidth="1"/>
    <col min="7454" max="7457" width="2.6328125" style="402" hidden="1" customWidth="1"/>
    <col min="7458" max="7463" width="2.36328125" style="402" hidden="1" customWidth="1"/>
    <col min="7464" max="7464" width="1.6328125" style="402" hidden="1" customWidth="1"/>
    <col min="7465" max="7680" width="2.6328125" style="402" hidden="1"/>
    <col min="7681" max="7681" width="1.6328125" style="402" hidden="1" customWidth="1"/>
    <col min="7682" max="7682" width="0.81640625" style="402" hidden="1" customWidth="1"/>
    <col min="7683" max="7698" width="2.6328125" style="402" hidden="1" customWidth="1"/>
    <col min="7699" max="7699" width="4" style="402" hidden="1" customWidth="1"/>
    <col min="7700" max="7703" width="2.6328125" style="402" hidden="1" customWidth="1"/>
    <col min="7704" max="7704" width="2.36328125" style="402" hidden="1" customWidth="1"/>
    <col min="7705" max="7708" width="2.6328125" style="402" hidden="1" customWidth="1"/>
    <col min="7709" max="7709" width="2.36328125" style="402" hidden="1" customWidth="1"/>
    <col min="7710" max="7713" width="2.6328125" style="402" hidden="1" customWidth="1"/>
    <col min="7714" max="7719" width="2.36328125" style="402" hidden="1" customWidth="1"/>
    <col min="7720" max="7720" width="1.6328125" style="402" hidden="1" customWidth="1"/>
    <col min="7721" max="7936" width="2.6328125" style="402" hidden="1"/>
    <col min="7937" max="7937" width="1.6328125" style="402" hidden="1" customWidth="1"/>
    <col min="7938" max="7938" width="0.81640625" style="402" hidden="1" customWidth="1"/>
    <col min="7939" max="7954" width="2.6328125" style="402" hidden="1" customWidth="1"/>
    <col min="7955" max="7955" width="4" style="402" hidden="1" customWidth="1"/>
    <col min="7956" max="7959" width="2.6328125" style="402" hidden="1" customWidth="1"/>
    <col min="7960" max="7960" width="2.36328125" style="402" hidden="1" customWidth="1"/>
    <col min="7961" max="7964" width="2.6328125" style="402" hidden="1" customWidth="1"/>
    <col min="7965" max="7965" width="2.36328125" style="402" hidden="1" customWidth="1"/>
    <col min="7966" max="7969" width="2.6328125" style="402" hidden="1" customWidth="1"/>
    <col min="7970" max="7975" width="2.36328125" style="402" hidden="1" customWidth="1"/>
    <col min="7976" max="7976" width="1.6328125" style="402" hidden="1" customWidth="1"/>
    <col min="7977" max="8192" width="2.6328125" style="402" hidden="1"/>
    <col min="8193" max="8193" width="1.6328125" style="402" hidden="1" customWidth="1"/>
    <col min="8194" max="8194" width="0.81640625" style="402" hidden="1" customWidth="1"/>
    <col min="8195" max="8210" width="2.6328125" style="402" hidden="1" customWidth="1"/>
    <col min="8211" max="8211" width="4" style="402" hidden="1" customWidth="1"/>
    <col min="8212" max="8215" width="2.6328125" style="402" hidden="1" customWidth="1"/>
    <col min="8216" max="8216" width="2.36328125" style="402" hidden="1" customWidth="1"/>
    <col min="8217" max="8220" width="2.6328125" style="402" hidden="1" customWidth="1"/>
    <col min="8221" max="8221" width="2.36328125" style="402" hidden="1" customWidth="1"/>
    <col min="8222" max="8225" width="2.6328125" style="402" hidden="1" customWidth="1"/>
    <col min="8226" max="8231" width="2.36328125" style="402" hidden="1" customWidth="1"/>
    <col min="8232" max="8232" width="1.6328125" style="402" hidden="1" customWidth="1"/>
    <col min="8233" max="8448" width="2.6328125" style="402" hidden="1"/>
    <col min="8449" max="8449" width="1.6328125" style="402" hidden="1" customWidth="1"/>
    <col min="8450" max="8450" width="0.81640625" style="402" hidden="1" customWidth="1"/>
    <col min="8451" max="8466" width="2.6328125" style="402" hidden="1" customWidth="1"/>
    <col min="8467" max="8467" width="4" style="402" hidden="1" customWidth="1"/>
    <col min="8468" max="8471" width="2.6328125" style="402" hidden="1" customWidth="1"/>
    <col min="8472" max="8472" width="2.36328125" style="402" hidden="1" customWidth="1"/>
    <col min="8473" max="8476" width="2.6328125" style="402" hidden="1" customWidth="1"/>
    <col min="8477" max="8477" width="2.36328125" style="402" hidden="1" customWidth="1"/>
    <col min="8478" max="8481" width="2.6328125" style="402" hidden="1" customWidth="1"/>
    <col min="8482" max="8487" width="2.36328125" style="402" hidden="1" customWidth="1"/>
    <col min="8488" max="8488" width="1.6328125" style="402" hidden="1" customWidth="1"/>
    <col min="8489" max="8704" width="2.6328125" style="402" hidden="1"/>
    <col min="8705" max="8705" width="1.6328125" style="402" hidden="1" customWidth="1"/>
    <col min="8706" max="8706" width="0.81640625" style="402" hidden="1" customWidth="1"/>
    <col min="8707" max="8722" width="2.6328125" style="402" hidden="1" customWidth="1"/>
    <col min="8723" max="8723" width="4" style="402" hidden="1" customWidth="1"/>
    <col min="8724" max="8727" width="2.6328125" style="402" hidden="1" customWidth="1"/>
    <col min="8728" max="8728" width="2.36328125" style="402" hidden="1" customWidth="1"/>
    <col min="8729" max="8732" width="2.6328125" style="402" hidden="1" customWidth="1"/>
    <col min="8733" max="8733" width="2.36328125" style="402" hidden="1" customWidth="1"/>
    <col min="8734" max="8737" width="2.6328125" style="402" hidden="1" customWidth="1"/>
    <col min="8738" max="8743" width="2.36328125" style="402" hidden="1" customWidth="1"/>
    <col min="8744" max="8744" width="1.6328125" style="402" hidden="1" customWidth="1"/>
    <col min="8745" max="8960" width="2.6328125" style="402" hidden="1"/>
    <col min="8961" max="8961" width="1.6328125" style="402" hidden="1" customWidth="1"/>
    <col min="8962" max="8962" width="0.81640625" style="402" hidden="1" customWidth="1"/>
    <col min="8963" max="8978" width="2.6328125" style="402" hidden="1" customWidth="1"/>
    <col min="8979" max="8979" width="4" style="402" hidden="1" customWidth="1"/>
    <col min="8980" max="8983" width="2.6328125" style="402" hidden="1" customWidth="1"/>
    <col min="8984" max="8984" width="2.36328125" style="402" hidden="1" customWidth="1"/>
    <col min="8985" max="8988" width="2.6328125" style="402" hidden="1" customWidth="1"/>
    <col min="8989" max="8989" width="2.36328125" style="402" hidden="1" customWidth="1"/>
    <col min="8990" max="8993" width="2.6328125" style="402" hidden="1" customWidth="1"/>
    <col min="8994" max="8999" width="2.36328125" style="402" hidden="1" customWidth="1"/>
    <col min="9000" max="9000" width="1.6328125" style="402" hidden="1" customWidth="1"/>
    <col min="9001" max="9216" width="2.6328125" style="402" hidden="1"/>
    <col min="9217" max="9217" width="1.6328125" style="402" hidden="1" customWidth="1"/>
    <col min="9218" max="9218" width="0.81640625" style="402" hidden="1" customWidth="1"/>
    <col min="9219" max="9234" width="2.6328125" style="402" hidden="1" customWidth="1"/>
    <col min="9235" max="9235" width="4" style="402" hidden="1" customWidth="1"/>
    <col min="9236" max="9239" width="2.6328125" style="402" hidden="1" customWidth="1"/>
    <col min="9240" max="9240" width="2.36328125" style="402" hidden="1" customWidth="1"/>
    <col min="9241" max="9244" width="2.6328125" style="402" hidden="1" customWidth="1"/>
    <col min="9245" max="9245" width="2.36328125" style="402" hidden="1" customWidth="1"/>
    <col min="9246" max="9249" width="2.6328125" style="402" hidden="1" customWidth="1"/>
    <col min="9250" max="9255" width="2.36328125" style="402" hidden="1" customWidth="1"/>
    <col min="9256" max="9256" width="1.6328125" style="402" hidden="1" customWidth="1"/>
    <col min="9257" max="9472" width="2.6328125" style="402" hidden="1"/>
    <col min="9473" max="9473" width="1.6328125" style="402" hidden="1" customWidth="1"/>
    <col min="9474" max="9474" width="0.81640625" style="402" hidden="1" customWidth="1"/>
    <col min="9475" max="9490" width="2.6328125" style="402" hidden="1" customWidth="1"/>
    <col min="9491" max="9491" width="4" style="402" hidden="1" customWidth="1"/>
    <col min="9492" max="9495" width="2.6328125" style="402" hidden="1" customWidth="1"/>
    <col min="9496" max="9496" width="2.36328125" style="402" hidden="1" customWidth="1"/>
    <col min="9497" max="9500" width="2.6328125" style="402" hidden="1" customWidth="1"/>
    <col min="9501" max="9501" width="2.36328125" style="402" hidden="1" customWidth="1"/>
    <col min="9502" max="9505" width="2.6328125" style="402" hidden="1" customWidth="1"/>
    <col min="9506" max="9511" width="2.36328125" style="402" hidden="1" customWidth="1"/>
    <col min="9512" max="9512" width="1.6328125" style="402" hidden="1" customWidth="1"/>
    <col min="9513" max="9728" width="2.6328125" style="402" hidden="1"/>
    <col min="9729" max="9729" width="1.6328125" style="402" hidden="1" customWidth="1"/>
    <col min="9730" max="9730" width="0.81640625" style="402" hidden="1" customWidth="1"/>
    <col min="9731" max="9746" width="2.6328125" style="402" hidden="1" customWidth="1"/>
    <col min="9747" max="9747" width="4" style="402" hidden="1" customWidth="1"/>
    <col min="9748" max="9751" width="2.6328125" style="402" hidden="1" customWidth="1"/>
    <col min="9752" max="9752" width="2.36328125" style="402" hidden="1" customWidth="1"/>
    <col min="9753" max="9756" width="2.6328125" style="402" hidden="1" customWidth="1"/>
    <col min="9757" max="9757" width="2.36328125" style="402" hidden="1" customWidth="1"/>
    <col min="9758" max="9761" width="2.6328125" style="402" hidden="1" customWidth="1"/>
    <col min="9762" max="9767" width="2.36328125" style="402" hidden="1" customWidth="1"/>
    <col min="9768" max="9768" width="1.6328125" style="402" hidden="1" customWidth="1"/>
    <col min="9769" max="9984" width="2.6328125" style="402" hidden="1"/>
    <col min="9985" max="9985" width="1.6328125" style="402" hidden="1" customWidth="1"/>
    <col min="9986" max="9986" width="0.81640625" style="402" hidden="1" customWidth="1"/>
    <col min="9987" max="10002" width="2.6328125" style="402" hidden="1" customWidth="1"/>
    <col min="10003" max="10003" width="4" style="402" hidden="1" customWidth="1"/>
    <col min="10004" max="10007" width="2.6328125" style="402" hidden="1" customWidth="1"/>
    <col min="10008" max="10008" width="2.36328125" style="402" hidden="1" customWidth="1"/>
    <col min="10009" max="10012" width="2.6328125" style="402" hidden="1" customWidth="1"/>
    <col min="10013" max="10013" width="2.36328125" style="402" hidden="1" customWidth="1"/>
    <col min="10014" max="10017" width="2.6328125" style="402" hidden="1" customWidth="1"/>
    <col min="10018" max="10023" width="2.36328125" style="402" hidden="1" customWidth="1"/>
    <col min="10024" max="10024" width="1.6328125" style="402" hidden="1" customWidth="1"/>
    <col min="10025" max="10240" width="2.6328125" style="402" hidden="1"/>
    <col min="10241" max="10241" width="1.6328125" style="402" hidden="1" customWidth="1"/>
    <col min="10242" max="10242" width="0.81640625" style="402" hidden="1" customWidth="1"/>
    <col min="10243" max="10258" width="2.6328125" style="402" hidden="1" customWidth="1"/>
    <col min="10259" max="10259" width="4" style="402" hidden="1" customWidth="1"/>
    <col min="10260" max="10263" width="2.6328125" style="402" hidden="1" customWidth="1"/>
    <col min="10264" max="10264" width="2.36328125" style="402" hidden="1" customWidth="1"/>
    <col min="10265" max="10268" width="2.6328125" style="402" hidden="1" customWidth="1"/>
    <col min="10269" max="10269" width="2.36328125" style="402" hidden="1" customWidth="1"/>
    <col min="10270" max="10273" width="2.6328125" style="402" hidden="1" customWidth="1"/>
    <col min="10274" max="10279" width="2.36328125" style="402" hidden="1" customWidth="1"/>
    <col min="10280" max="10280" width="1.6328125" style="402" hidden="1" customWidth="1"/>
    <col min="10281" max="10496" width="2.6328125" style="402" hidden="1"/>
    <col min="10497" max="10497" width="1.6328125" style="402" hidden="1" customWidth="1"/>
    <col min="10498" max="10498" width="0.81640625" style="402" hidden="1" customWidth="1"/>
    <col min="10499" max="10514" width="2.6328125" style="402" hidden="1" customWidth="1"/>
    <col min="10515" max="10515" width="4" style="402" hidden="1" customWidth="1"/>
    <col min="10516" max="10519" width="2.6328125" style="402" hidden="1" customWidth="1"/>
    <col min="10520" max="10520" width="2.36328125" style="402" hidden="1" customWidth="1"/>
    <col min="10521" max="10524" width="2.6328125" style="402" hidden="1" customWidth="1"/>
    <col min="10525" max="10525" width="2.36328125" style="402" hidden="1" customWidth="1"/>
    <col min="10526" max="10529" width="2.6328125" style="402" hidden="1" customWidth="1"/>
    <col min="10530" max="10535" width="2.36328125" style="402" hidden="1" customWidth="1"/>
    <col min="10536" max="10536" width="1.6328125" style="402" hidden="1" customWidth="1"/>
    <col min="10537" max="10752" width="2.6328125" style="402" hidden="1"/>
    <col min="10753" max="10753" width="1.6328125" style="402" hidden="1" customWidth="1"/>
    <col min="10754" max="10754" width="0.81640625" style="402" hidden="1" customWidth="1"/>
    <col min="10755" max="10770" width="2.6328125" style="402" hidden="1" customWidth="1"/>
    <col min="10771" max="10771" width="4" style="402" hidden="1" customWidth="1"/>
    <col min="10772" max="10775" width="2.6328125" style="402" hidden="1" customWidth="1"/>
    <col min="10776" max="10776" width="2.36328125" style="402" hidden="1" customWidth="1"/>
    <col min="10777" max="10780" width="2.6328125" style="402" hidden="1" customWidth="1"/>
    <col min="10781" max="10781" width="2.36328125" style="402" hidden="1" customWidth="1"/>
    <col min="10782" max="10785" width="2.6328125" style="402" hidden="1" customWidth="1"/>
    <col min="10786" max="10791" width="2.36328125" style="402" hidden="1" customWidth="1"/>
    <col min="10792" max="10792" width="1.6328125" style="402" hidden="1" customWidth="1"/>
    <col min="10793" max="11008" width="2.6328125" style="402" hidden="1"/>
    <col min="11009" max="11009" width="1.6328125" style="402" hidden="1" customWidth="1"/>
    <col min="11010" max="11010" width="0.81640625" style="402" hidden="1" customWidth="1"/>
    <col min="11011" max="11026" width="2.6328125" style="402" hidden="1" customWidth="1"/>
    <col min="11027" max="11027" width="4" style="402" hidden="1" customWidth="1"/>
    <col min="11028" max="11031" width="2.6328125" style="402" hidden="1" customWidth="1"/>
    <col min="11032" max="11032" width="2.36328125" style="402" hidden="1" customWidth="1"/>
    <col min="11033" max="11036" width="2.6328125" style="402" hidden="1" customWidth="1"/>
    <col min="11037" max="11037" width="2.36328125" style="402" hidden="1" customWidth="1"/>
    <col min="11038" max="11041" width="2.6328125" style="402" hidden="1" customWidth="1"/>
    <col min="11042" max="11047" width="2.36328125" style="402" hidden="1" customWidth="1"/>
    <col min="11048" max="11048" width="1.6328125" style="402" hidden="1" customWidth="1"/>
    <col min="11049" max="11264" width="2.6328125" style="402" hidden="1"/>
    <col min="11265" max="11265" width="1.6328125" style="402" hidden="1" customWidth="1"/>
    <col min="11266" max="11266" width="0.81640625" style="402" hidden="1" customWidth="1"/>
    <col min="11267" max="11282" width="2.6328125" style="402" hidden="1" customWidth="1"/>
    <col min="11283" max="11283" width="4" style="402" hidden="1" customWidth="1"/>
    <col min="11284" max="11287" width="2.6328125" style="402" hidden="1" customWidth="1"/>
    <col min="11288" max="11288" width="2.36328125" style="402" hidden="1" customWidth="1"/>
    <col min="11289" max="11292" width="2.6328125" style="402" hidden="1" customWidth="1"/>
    <col min="11293" max="11293" width="2.36328125" style="402" hidden="1" customWidth="1"/>
    <col min="11294" max="11297" width="2.6328125" style="402" hidden="1" customWidth="1"/>
    <col min="11298" max="11303" width="2.36328125" style="402" hidden="1" customWidth="1"/>
    <col min="11304" max="11304" width="1.6328125" style="402" hidden="1" customWidth="1"/>
    <col min="11305" max="11520" width="2.6328125" style="402" hidden="1"/>
    <col min="11521" max="11521" width="1.6328125" style="402" hidden="1" customWidth="1"/>
    <col min="11522" max="11522" width="0.81640625" style="402" hidden="1" customWidth="1"/>
    <col min="11523" max="11538" width="2.6328125" style="402" hidden="1" customWidth="1"/>
    <col min="11539" max="11539" width="4" style="402" hidden="1" customWidth="1"/>
    <col min="11540" max="11543" width="2.6328125" style="402" hidden="1" customWidth="1"/>
    <col min="11544" max="11544" width="2.36328125" style="402" hidden="1" customWidth="1"/>
    <col min="11545" max="11548" width="2.6328125" style="402" hidden="1" customWidth="1"/>
    <col min="11549" max="11549" width="2.36328125" style="402" hidden="1" customWidth="1"/>
    <col min="11550" max="11553" width="2.6328125" style="402" hidden="1" customWidth="1"/>
    <col min="11554" max="11559" width="2.36328125" style="402" hidden="1" customWidth="1"/>
    <col min="11560" max="11560" width="1.6328125" style="402" hidden="1" customWidth="1"/>
    <col min="11561" max="11776" width="2.6328125" style="402" hidden="1"/>
    <col min="11777" max="11777" width="1.6328125" style="402" hidden="1" customWidth="1"/>
    <col min="11778" max="11778" width="0.81640625" style="402" hidden="1" customWidth="1"/>
    <col min="11779" max="11794" width="2.6328125" style="402" hidden="1" customWidth="1"/>
    <col min="11795" max="11795" width="4" style="402" hidden="1" customWidth="1"/>
    <col min="11796" max="11799" width="2.6328125" style="402" hidden="1" customWidth="1"/>
    <col min="11800" max="11800" width="2.36328125" style="402" hidden="1" customWidth="1"/>
    <col min="11801" max="11804" width="2.6328125" style="402" hidden="1" customWidth="1"/>
    <col min="11805" max="11805" width="2.36328125" style="402" hidden="1" customWidth="1"/>
    <col min="11806" max="11809" width="2.6328125" style="402" hidden="1" customWidth="1"/>
    <col min="11810" max="11815" width="2.36328125" style="402" hidden="1" customWidth="1"/>
    <col min="11816" max="11816" width="1.6328125" style="402" hidden="1" customWidth="1"/>
    <col min="11817" max="12032" width="2.6328125" style="402" hidden="1"/>
    <col min="12033" max="12033" width="1.6328125" style="402" hidden="1" customWidth="1"/>
    <col min="12034" max="12034" width="0.81640625" style="402" hidden="1" customWidth="1"/>
    <col min="12035" max="12050" width="2.6328125" style="402" hidden="1" customWidth="1"/>
    <col min="12051" max="12051" width="4" style="402" hidden="1" customWidth="1"/>
    <col min="12052" max="12055" width="2.6328125" style="402" hidden="1" customWidth="1"/>
    <col min="12056" max="12056" width="2.36328125" style="402" hidden="1" customWidth="1"/>
    <col min="12057" max="12060" width="2.6328125" style="402" hidden="1" customWidth="1"/>
    <col min="12061" max="12061" width="2.36328125" style="402" hidden="1" customWidth="1"/>
    <col min="12062" max="12065" width="2.6328125" style="402" hidden="1" customWidth="1"/>
    <col min="12066" max="12071" width="2.36328125" style="402" hidden="1" customWidth="1"/>
    <col min="12072" max="12072" width="1.6328125" style="402" hidden="1" customWidth="1"/>
    <col min="12073" max="12288" width="2.6328125" style="402" hidden="1"/>
    <col min="12289" max="12289" width="1.6328125" style="402" hidden="1" customWidth="1"/>
    <col min="12290" max="12290" width="0.81640625" style="402" hidden="1" customWidth="1"/>
    <col min="12291" max="12306" width="2.6328125" style="402" hidden="1" customWidth="1"/>
    <col min="12307" max="12307" width="4" style="402" hidden="1" customWidth="1"/>
    <col min="12308" max="12311" width="2.6328125" style="402" hidden="1" customWidth="1"/>
    <col min="12312" max="12312" width="2.36328125" style="402" hidden="1" customWidth="1"/>
    <col min="12313" max="12316" width="2.6328125" style="402" hidden="1" customWidth="1"/>
    <col min="12317" max="12317" width="2.36328125" style="402" hidden="1" customWidth="1"/>
    <col min="12318" max="12321" width="2.6328125" style="402" hidden="1" customWidth="1"/>
    <col min="12322" max="12327" width="2.36328125" style="402" hidden="1" customWidth="1"/>
    <col min="12328" max="12328" width="1.6328125" style="402" hidden="1" customWidth="1"/>
    <col min="12329" max="12544" width="2.6328125" style="402" hidden="1"/>
    <col min="12545" max="12545" width="1.6328125" style="402" hidden="1" customWidth="1"/>
    <col min="12546" max="12546" width="0.81640625" style="402" hidden="1" customWidth="1"/>
    <col min="12547" max="12562" width="2.6328125" style="402" hidden="1" customWidth="1"/>
    <col min="12563" max="12563" width="4" style="402" hidden="1" customWidth="1"/>
    <col min="12564" max="12567" width="2.6328125" style="402" hidden="1" customWidth="1"/>
    <col min="12568" max="12568" width="2.36328125" style="402" hidden="1" customWidth="1"/>
    <col min="12569" max="12572" width="2.6328125" style="402" hidden="1" customWidth="1"/>
    <col min="12573" max="12573" width="2.36328125" style="402" hidden="1" customWidth="1"/>
    <col min="12574" max="12577" width="2.6328125" style="402" hidden="1" customWidth="1"/>
    <col min="12578" max="12583" width="2.36328125" style="402" hidden="1" customWidth="1"/>
    <col min="12584" max="12584" width="1.6328125" style="402" hidden="1" customWidth="1"/>
    <col min="12585" max="12800" width="2.6328125" style="402" hidden="1"/>
    <col min="12801" max="12801" width="1.6328125" style="402" hidden="1" customWidth="1"/>
    <col min="12802" max="12802" width="0.81640625" style="402" hidden="1" customWidth="1"/>
    <col min="12803" max="12818" width="2.6328125" style="402" hidden="1" customWidth="1"/>
    <col min="12819" max="12819" width="4" style="402" hidden="1" customWidth="1"/>
    <col min="12820" max="12823" width="2.6328125" style="402" hidden="1" customWidth="1"/>
    <col min="12824" max="12824" width="2.36328125" style="402" hidden="1" customWidth="1"/>
    <col min="12825" max="12828" width="2.6328125" style="402" hidden="1" customWidth="1"/>
    <col min="12829" max="12829" width="2.36328125" style="402" hidden="1" customWidth="1"/>
    <col min="12830" max="12833" width="2.6328125" style="402" hidden="1" customWidth="1"/>
    <col min="12834" max="12839" width="2.36328125" style="402" hidden="1" customWidth="1"/>
    <col min="12840" max="12840" width="1.6328125" style="402" hidden="1" customWidth="1"/>
    <col min="12841" max="13056" width="2.6328125" style="402" hidden="1"/>
    <col min="13057" max="13057" width="1.6328125" style="402" hidden="1" customWidth="1"/>
    <col min="13058" max="13058" width="0.81640625" style="402" hidden="1" customWidth="1"/>
    <col min="13059" max="13074" width="2.6328125" style="402" hidden="1" customWidth="1"/>
    <col min="13075" max="13075" width="4" style="402" hidden="1" customWidth="1"/>
    <col min="13076" max="13079" width="2.6328125" style="402" hidden="1" customWidth="1"/>
    <col min="13080" max="13080" width="2.36328125" style="402" hidden="1" customWidth="1"/>
    <col min="13081" max="13084" width="2.6328125" style="402" hidden="1" customWidth="1"/>
    <col min="13085" max="13085" width="2.36328125" style="402" hidden="1" customWidth="1"/>
    <col min="13086" max="13089" width="2.6328125" style="402" hidden="1" customWidth="1"/>
    <col min="13090" max="13095" width="2.36328125" style="402" hidden="1" customWidth="1"/>
    <col min="13096" max="13096" width="1.6328125" style="402" hidden="1" customWidth="1"/>
    <col min="13097" max="13312" width="2.6328125" style="402" hidden="1"/>
    <col min="13313" max="13313" width="1.6328125" style="402" hidden="1" customWidth="1"/>
    <col min="13314" max="13314" width="0.81640625" style="402" hidden="1" customWidth="1"/>
    <col min="13315" max="13330" width="2.6328125" style="402" hidden="1" customWidth="1"/>
    <col min="13331" max="13331" width="4" style="402" hidden="1" customWidth="1"/>
    <col min="13332" max="13335" width="2.6328125" style="402" hidden="1" customWidth="1"/>
    <col min="13336" max="13336" width="2.36328125" style="402" hidden="1" customWidth="1"/>
    <col min="13337" max="13340" width="2.6328125" style="402" hidden="1" customWidth="1"/>
    <col min="13341" max="13341" width="2.36328125" style="402" hidden="1" customWidth="1"/>
    <col min="13342" max="13345" width="2.6328125" style="402" hidden="1" customWidth="1"/>
    <col min="13346" max="13351" width="2.36328125" style="402" hidden="1" customWidth="1"/>
    <col min="13352" max="13352" width="1.6328125" style="402" hidden="1" customWidth="1"/>
    <col min="13353" max="13568" width="2.6328125" style="402" hidden="1"/>
    <col min="13569" max="13569" width="1.6328125" style="402" hidden="1" customWidth="1"/>
    <col min="13570" max="13570" width="0.81640625" style="402" hidden="1" customWidth="1"/>
    <col min="13571" max="13586" width="2.6328125" style="402" hidden="1" customWidth="1"/>
    <col min="13587" max="13587" width="4" style="402" hidden="1" customWidth="1"/>
    <col min="13588" max="13591" width="2.6328125" style="402" hidden="1" customWidth="1"/>
    <col min="13592" max="13592" width="2.36328125" style="402" hidden="1" customWidth="1"/>
    <col min="13593" max="13596" width="2.6328125" style="402" hidden="1" customWidth="1"/>
    <col min="13597" max="13597" width="2.36328125" style="402" hidden="1" customWidth="1"/>
    <col min="13598" max="13601" width="2.6328125" style="402" hidden="1" customWidth="1"/>
    <col min="13602" max="13607" width="2.36328125" style="402" hidden="1" customWidth="1"/>
    <col min="13608" max="13608" width="1.6328125" style="402" hidden="1" customWidth="1"/>
    <col min="13609" max="13824" width="2.6328125" style="402" hidden="1"/>
    <col min="13825" max="13825" width="1.6328125" style="402" hidden="1" customWidth="1"/>
    <col min="13826" max="13826" width="0.81640625" style="402" hidden="1" customWidth="1"/>
    <col min="13827" max="13842" width="2.6328125" style="402" hidden="1" customWidth="1"/>
    <col min="13843" max="13843" width="4" style="402" hidden="1" customWidth="1"/>
    <col min="13844" max="13847" width="2.6328125" style="402" hidden="1" customWidth="1"/>
    <col min="13848" max="13848" width="2.36328125" style="402" hidden="1" customWidth="1"/>
    <col min="13849" max="13852" width="2.6328125" style="402" hidden="1" customWidth="1"/>
    <col min="13853" max="13853" width="2.36328125" style="402" hidden="1" customWidth="1"/>
    <col min="13854" max="13857" width="2.6328125" style="402" hidden="1" customWidth="1"/>
    <col min="13858" max="13863" width="2.36328125" style="402" hidden="1" customWidth="1"/>
    <col min="13864" max="13864" width="1.6328125" style="402" hidden="1" customWidth="1"/>
    <col min="13865" max="14080" width="2.6328125" style="402" hidden="1"/>
    <col min="14081" max="14081" width="1.6328125" style="402" hidden="1" customWidth="1"/>
    <col min="14082" max="14082" width="0.81640625" style="402" hidden="1" customWidth="1"/>
    <col min="14083" max="14098" width="2.6328125" style="402" hidden="1" customWidth="1"/>
    <col min="14099" max="14099" width="4" style="402" hidden="1" customWidth="1"/>
    <col min="14100" max="14103" width="2.6328125" style="402" hidden="1" customWidth="1"/>
    <col min="14104" max="14104" width="2.36328125" style="402" hidden="1" customWidth="1"/>
    <col min="14105" max="14108" width="2.6328125" style="402" hidden="1" customWidth="1"/>
    <col min="14109" max="14109" width="2.36328125" style="402" hidden="1" customWidth="1"/>
    <col min="14110" max="14113" width="2.6328125" style="402" hidden="1" customWidth="1"/>
    <col min="14114" max="14119" width="2.36328125" style="402" hidden="1" customWidth="1"/>
    <col min="14120" max="14120" width="1.6328125" style="402" hidden="1" customWidth="1"/>
    <col min="14121" max="14336" width="2.6328125" style="402" hidden="1"/>
    <col min="14337" max="14337" width="1.6328125" style="402" hidden="1" customWidth="1"/>
    <col min="14338" max="14338" width="0.81640625" style="402" hidden="1" customWidth="1"/>
    <col min="14339" max="14354" width="2.6328125" style="402" hidden="1" customWidth="1"/>
    <col min="14355" max="14355" width="4" style="402" hidden="1" customWidth="1"/>
    <col min="14356" max="14359" width="2.6328125" style="402" hidden="1" customWidth="1"/>
    <col min="14360" max="14360" width="2.36328125" style="402" hidden="1" customWidth="1"/>
    <col min="14361" max="14364" width="2.6328125" style="402" hidden="1" customWidth="1"/>
    <col min="14365" max="14365" width="2.36328125" style="402" hidden="1" customWidth="1"/>
    <col min="14366" max="14369" width="2.6328125" style="402" hidden="1" customWidth="1"/>
    <col min="14370" max="14375" width="2.36328125" style="402" hidden="1" customWidth="1"/>
    <col min="14376" max="14376" width="1.6328125" style="402" hidden="1" customWidth="1"/>
    <col min="14377" max="14592" width="2.6328125" style="402" hidden="1"/>
    <col min="14593" max="14593" width="1.6328125" style="402" hidden="1" customWidth="1"/>
    <col min="14594" max="14594" width="0.81640625" style="402" hidden="1" customWidth="1"/>
    <col min="14595" max="14610" width="2.6328125" style="402" hidden="1" customWidth="1"/>
    <col min="14611" max="14611" width="4" style="402" hidden="1" customWidth="1"/>
    <col min="14612" max="14615" width="2.6328125" style="402" hidden="1" customWidth="1"/>
    <col min="14616" max="14616" width="2.36328125" style="402" hidden="1" customWidth="1"/>
    <col min="14617" max="14620" width="2.6328125" style="402" hidden="1" customWidth="1"/>
    <col min="14621" max="14621" width="2.36328125" style="402" hidden="1" customWidth="1"/>
    <col min="14622" max="14625" width="2.6328125" style="402" hidden="1" customWidth="1"/>
    <col min="14626" max="14631" width="2.36328125" style="402" hidden="1" customWidth="1"/>
    <col min="14632" max="14632" width="1.6328125" style="402" hidden="1" customWidth="1"/>
    <col min="14633" max="14848" width="2.6328125" style="402" hidden="1"/>
    <col min="14849" max="14849" width="1.6328125" style="402" hidden="1" customWidth="1"/>
    <col min="14850" max="14850" width="0.81640625" style="402" hidden="1" customWidth="1"/>
    <col min="14851" max="14866" width="2.6328125" style="402" hidden="1" customWidth="1"/>
    <col min="14867" max="14867" width="4" style="402" hidden="1" customWidth="1"/>
    <col min="14868" max="14871" width="2.6328125" style="402" hidden="1" customWidth="1"/>
    <col min="14872" max="14872" width="2.36328125" style="402" hidden="1" customWidth="1"/>
    <col min="14873" max="14876" width="2.6328125" style="402" hidden="1" customWidth="1"/>
    <col min="14877" max="14877" width="2.36328125" style="402" hidden="1" customWidth="1"/>
    <col min="14878" max="14881" width="2.6328125" style="402" hidden="1" customWidth="1"/>
    <col min="14882" max="14887" width="2.36328125" style="402" hidden="1" customWidth="1"/>
    <col min="14888" max="14888" width="1.6328125" style="402" hidden="1" customWidth="1"/>
    <col min="14889" max="15104" width="2.6328125" style="402" hidden="1"/>
    <col min="15105" max="15105" width="1.6328125" style="402" hidden="1" customWidth="1"/>
    <col min="15106" max="15106" width="0.81640625" style="402" hidden="1" customWidth="1"/>
    <col min="15107" max="15122" width="2.6328125" style="402" hidden="1" customWidth="1"/>
    <col min="15123" max="15123" width="4" style="402" hidden="1" customWidth="1"/>
    <col min="15124" max="15127" width="2.6328125" style="402" hidden="1" customWidth="1"/>
    <col min="15128" max="15128" width="2.36328125" style="402" hidden="1" customWidth="1"/>
    <col min="15129" max="15132" width="2.6328125" style="402" hidden="1" customWidth="1"/>
    <col min="15133" max="15133" width="2.36328125" style="402" hidden="1" customWidth="1"/>
    <col min="15134" max="15137" width="2.6328125" style="402" hidden="1" customWidth="1"/>
    <col min="15138" max="15143" width="2.36328125" style="402" hidden="1" customWidth="1"/>
    <col min="15144" max="15144" width="1.6328125" style="402" hidden="1" customWidth="1"/>
    <col min="15145" max="15360" width="2.6328125" style="402" hidden="1"/>
    <col min="15361" max="15361" width="1.6328125" style="402" hidden="1" customWidth="1"/>
    <col min="15362" max="15362" width="0.81640625" style="402" hidden="1" customWidth="1"/>
    <col min="15363" max="15378" width="2.6328125" style="402" hidden="1" customWidth="1"/>
    <col min="15379" max="15379" width="4" style="402" hidden="1" customWidth="1"/>
    <col min="15380" max="15383" width="2.6328125" style="402" hidden="1" customWidth="1"/>
    <col min="15384" max="15384" width="2.36328125" style="402" hidden="1" customWidth="1"/>
    <col min="15385" max="15388" width="2.6328125" style="402" hidden="1" customWidth="1"/>
    <col min="15389" max="15389" width="2.36328125" style="402" hidden="1" customWidth="1"/>
    <col min="15390" max="15393" width="2.6328125" style="402" hidden="1" customWidth="1"/>
    <col min="15394" max="15399" width="2.36328125" style="402" hidden="1" customWidth="1"/>
    <col min="15400" max="15400" width="1.6328125" style="402" hidden="1" customWidth="1"/>
    <col min="15401" max="15616" width="2.6328125" style="402" hidden="1"/>
    <col min="15617" max="15617" width="1.6328125" style="402" hidden="1" customWidth="1"/>
    <col min="15618" max="15618" width="0.81640625" style="402" hidden="1" customWidth="1"/>
    <col min="15619" max="15634" width="2.6328125" style="402" hidden="1" customWidth="1"/>
    <col min="15635" max="15635" width="4" style="402" hidden="1" customWidth="1"/>
    <col min="15636" max="15639" width="2.6328125" style="402" hidden="1" customWidth="1"/>
    <col min="15640" max="15640" width="2.36328125" style="402" hidden="1" customWidth="1"/>
    <col min="15641" max="15644" width="2.6328125" style="402" hidden="1" customWidth="1"/>
    <col min="15645" max="15645" width="2.36328125" style="402" hidden="1" customWidth="1"/>
    <col min="15646" max="15649" width="2.6328125" style="402" hidden="1" customWidth="1"/>
    <col min="15650" max="15655" width="2.36328125" style="402" hidden="1" customWidth="1"/>
    <col min="15656" max="15656" width="1.6328125" style="402" hidden="1" customWidth="1"/>
    <col min="15657" max="15872" width="2.6328125" style="402" hidden="1"/>
    <col min="15873" max="15873" width="1.6328125" style="402" hidden="1" customWidth="1"/>
    <col min="15874" max="15874" width="0.81640625" style="402" hidden="1" customWidth="1"/>
    <col min="15875" max="15890" width="2.6328125" style="402" hidden="1" customWidth="1"/>
    <col min="15891" max="15891" width="4" style="402" hidden="1" customWidth="1"/>
    <col min="15892" max="15895" width="2.6328125" style="402" hidden="1" customWidth="1"/>
    <col min="15896" max="15896" width="2.36328125" style="402" hidden="1" customWidth="1"/>
    <col min="15897" max="15900" width="2.6328125" style="402" hidden="1" customWidth="1"/>
    <col min="15901" max="15901" width="2.36328125" style="402" hidden="1" customWidth="1"/>
    <col min="15902" max="15905" width="2.6328125" style="402" hidden="1" customWidth="1"/>
    <col min="15906" max="15911" width="2.36328125" style="402" hidden="1" customWidth="1"/>
    <col min="15912" max="15912" width="1.6328125" style="402" hidden="1" customWidth="1"/>
    <col min="15913" max="16128" width="2.6328125" style="402" hidden="1"/>
    <col min="16129" max="16129" width="1.6328125" style="402" hidden="1" customWidth="1"/>
    <col min="16130" max="16130" width="0.81640625" style="402" hidden="1" customWidth="1"/>
    <col min="16131" max="16146" width="2.6328125" style="402" hidden="1" customWidth="1"/>
    <col min="16147" max="16147" width="4" style="402" hidden="1" customWidth="1"/>
    <col min="16148" max="16151" width="2.6328125" style="402" hidden="1" customWidth="1"/>
    <col min="16152" max="16152" width="2.36328125" style="402" hidden="1" customWidth="1"/>
    <col min="16153" max="16156" width="2.6328125" style="402" hidden="1" customWidth="1"/>
    <col min="16157" max="16157" width="2.36328125" style="402" hidden="1" customWidth="1"/>
    <col min="16158" max="16161" width="2.6328125" style="402" hidden="1" customWidth="1"/>
    <col min="16162" max="16167" width="2.36328125" style="402" hidden="1" customWidth="1"/>
    <col min="16168" max="16168" width="1.6328125" style="402" hidden="1" customWidth="1"/>
    <col min="16169" max="16384" width="2.6328125" style="402" hidden="1"/>
  </cols>
  <sheetData>
    <row r="1" spans="1:40" ht="13" customHeight="1">
      <c r="A1" s="2391" t="s">
        <v>1280</v>
      </c>
      <c r="B1" s="2391"/>
      <c r="C1" s="2391"/>
      <c r="D1" s="2391"/>
      <c r="E1" s="2391"/>
      <c r="F1" s="2391"/>
      <c r="G1" s="2391"/>
      <c r="H1" s="2391"/>
      <c r="I1" s="2391"/>
      <c r="J1" s="2391"/>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row>
    <row r="2" spans="1:40" ht="13" customHeight="1" thickBot="1">
      <c r="A2" s="2392"/>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71" t="str">
        <f xml:space="preserve"> IF(T25=100%,'Sources and Basis Breakdown'!G2,'Sources and Basis Breakdown'!F2)</f>
        <v>30% PVC for New Const/
Rehabilitation
DDA/QCT
Building(s)</v>
      </c>
      <c r="U7" s="2371"/>
      <c r="V7" s="2371"/>
      <c r="W7" s="2371"/>
      <c r="X7" s="2371"/>
      <c r="Y7" s="2371" t="str">
        <f>IF(T25=100%,"",'Sources and Basis Breakdown'!G2)</f>
        <v>30% PVC for New Const/
Rehabilitation
NON-DDA/
NON-QCT Building(s)</v>
      </c>
      <c r="Z7" s="2371"/>
      <c r="AA7" s="2371"/>
      <c r="AB7" s="2371"/>
      <c r="AC7" s="2371"/>
      <c r="AD7" s="2371" t="str">
        <f xml:space="preserve"> IF(T25=100%, 'Sources and Basis Breakdown'!J2,'Sources and Basis Breakdown'!I2)</f>
        <v>30% PVC for Acquisition
DDA/QCT Building(s)</v>
      </c>
      <c r="AE7" s="2371"/>
      <c r="AF7" s="2371"/>
      <c r="AG7" s="2371"/>
      <c r="AH7" s="2371"/>
      <c r="AI7" s="2371" t="str">
        <f>IF(T25=100%,"",'Sources and Basis Breakdown'!J2)</f>
        <v>30% PVC for Acquisition
NON-DDA/
NON-QCT Building(s)</v>
      </c>
      <c r="AJ7" s="2371"/>
      <c r="AK7" s="2371"/>
      <c r="AL7" s="2371"/>
      <c r="AM7" s="2371"/>
    </row>
    <row r="8" spans="1:40" ht="13" customHeight="1">
      <c r="B8" s="407"/>
      <c r="T8" s="2371"/>
      <c r="U8" s="2371"/>
      <c r="V8" s="2371"/>
      <c r="W8" s="2371"/>
      <c r="X8" s="2371"/>
      <c r="Y8" s="2371"/>
      <c r="Z8" s="2371"/>
      <c r="AA8" s="2371"/>
      <c r="AB8" s="2371"/>
      <c r="AC8" s="2371"/>
      <c r="AD8" s="2371"/>
      <c r="AE8" s="2371"/>
      <c r="AF8" s="2371"/>
      <c r="AG8" s="2371"/>
      <c r="AH8" s="2371"/>
      <c r="AI8" s="2371"/>
      <c r="AJ8" s="2371"/>
      <c r="AK8" s="2371"/>
      <c r="AL8" s="2371"/>
      <c r="AM8" s="2371"/>
    </row>
    <row r="9" spans="1:40" ht="13" customHeight="1">
      <c r="B9" s="407"/>
      <c r="T9" s="2371"/>
      <c r="U9" s="2371"/>
      <c r="V9" s="2371"/>
      <c r="W9" s="2371"/>
      <c r="X9" s="2371"/>
      <c r="Y9" s="2371"/>
      <c r="Z9" s="2371"/>
      <c r="AA9" s="2371"/>
      <c r="AB9" s="2371"/>
      <c r="AC9" s="2371"/>
      <c r="AD9" s="2371"/>
      <c r="AE9" s="2371"/>
      <c r="AF9" s="2371"/>
      <c r="AG9" s="2371"/>
      <c r="AH9" s="2371"/>
      <c r="AI9" s="2371"/>
      <c r="AJ9" s="2371"/>
      <c r="AK9" s="2371"/>
      <c r="AL9" s="2371"/>
      <c r="AM9" s="2371"/>
    </row>
    <row r="10" spans="1:40" ht="13" customHeight="1">
      <c r="B10" s="408"/>
      <c r="C10" s="409"/>
      <c r="D10" s="409"/>
      <c r="E10" s="409"/>
      <c r="F10" s="409"/>
      <c r="G10" s="409"/>
      <c r="H10" s="409"/>
      <c r="I10" s="409"/>
      <c r="J10" s="409"/>
      <c r="K10" s="409"/>
      <c r="L10" s="409"/>
      <c r="M10" s="409"/>
      <c r="N10" s="409"/>
      <c r="O10" s="409"/>
      <c r="P10" s="409"/>
      <c r="Q10" s="409"/>
      <c r="R10" s="409"/>
      <c r="S10" s="409"/>
      <c r="T10" s="2371"/>
      <c r="U10" s="2371"/>
      <c r="V10" s="2371"/>
      <c r="W10" s="2371"/>
      <c r="X10" s="2371"/>
      <c r="Y10" s="2371"/>
      <c r="Z10" s="2371"/>
      <c r="AA10" s="2371"/>
      <c r="AB10" s="2371"/>
      <c r="AC10" s="2371"/>
      <c r="AD10" s="2371"/>
      <c r="AE10" s="2371"/>
      <c r="AF10" s="2371"/>
      <c r="AG10" s="2371"/>
      <c r="AH10" s="2371"/>
      <c r="AI10" s="2371"/>
      <c r="AJ10" s="2371"/>
      <c r="AK10" s="2371"/>
      <c r="AL10" s="2371"/>
      <c r="AM10" s="2371"/>
    </row>
    <row r="11" spans="1:40" ht="13" customHeight="1">
      <c r="B11" s="2357" t="s">
        <v>375</v>
      </c>
      <c r="C11" s="2358"/>
      <c r="D11" s="2358"/>
      <c r="E11" s="2358"/>
      <c r="F11" s="2358"/>
      <c r="G11" s="2358"/>
      <c r="H11" s="2358"/>
      <c r="I11" s="2358"/>
      <c r="J11" s="2358"/>
      <c r="K11" s="2358"/>
      <c r="L11" s="2358"/>
      <c r="M11" s="2358"/>
      <c r="N11" s="2358"/>
      <c r="O11" s="2358"/>
      <c r="P11" s="2358"/>
      <c r="Q11" s="2358"/>
      <c r="R11" s="2358"/>
      <c r="S11" s="2359"/>
      <c r="T11" s="2393">
        <f>IF('Sources and Basis Breakdown'!F107=0,'Sources and Basis Breakdown'!E107,'Sources and Basis Breakdown'!F107)</f>
        <v>33206252</v>
      </c>
      <c r="U11" s="2394"/>
      <c r="V11" s="2394"/>
      <c r="W11" s="2394"/>
      <c r="X11" s="2394"/>
      <c r="Y11" s="2393">
        <f>IF(Y7="",0,IF('Sources and Basis Breakdown'!G107+'Sources and Basis Breakdown'!F107='Sources and Basis Breakdown'!E107,'Sources and Basis Breakdown'!G107,0))</f>
        <v>0</v>
      </c>
      <c r="Z11" s="2394"/>
      <c r="AA11" s="2394"/>
      <c r="AB11" s="2394"/>
      <c r="AC11" s="2394"/>
      <c r="AD11" s="2394">
        <f>IF('Sources and Basis Breakdown'!I107=0,'Sources and Basis Breakdown'!H107,'Sources and Basis Breakdown'!I107)</f>
        <v>0</v>
      </c>
      <c r="AE11" s="2394"/>
      <c r="AF11" s="2394"/>
      <c r="AG11" s="2394"/>
      <c r="AH11" s="2394"/>
      <c r="AI11" s="2394">
        <f>IF(Y7="",0,IF('Sources and Basis Breakdown'!I107+'Sources and Basis Breakdown'!J107='Sources and Basis Breakdown'!H107,'Sources and Basis Breakdown'!J107,0))</f>
        <v>0</v>
      </c>
      <c r="AJ11" s="2394"/>
      <c r="AK11" s="2394"/>
      <c r="AL11" s="2394"/>
      <c r="AM11" s="2394"/>
    </row>
    <row r="12" spans="1:40" ht="13" customHeight="1">
      <c r="B12" s="2395" t="s">
        <v>497</v>
      </c>
      <c r="C12" s="1314"/>
      <c r="D12" s="1314"/>
      <c r="E12" s="1314"/>
      <c r="F12" s="1314"/>
      <c r="G12" s="1314"/>
      <c r="H12" s="1314"/>
      <c r="I12" s="1314"/>
      <c r="J12" s="1314"/>
      <c r="K12" s="1314"/>
      <c r="L12" s="1314"/>
      <c r="M12" s="1314"/>
      <c r="N12" s="1314"/>
      <c r="O12" s="1314"/>
      <c r="P12" s="1314"/>
      <c r="Q12" s="1314"/>
      <c r="R12" s="1314"/>
      <c r="S12" s="2396"/>
      <c r="T12" s="2386"/>
      <c r="U12" s="2387"/>
      <c r="V12" s="2387"/>
      <c r="W12" s="2387"/>
      <c r="X12" s="2388"/>
      <c r="Y12" s="2386"/>
      <c r="Z12" s="2387"/>
      <c r="AA12" s="2387"/>
      <c r="AB12" s="2387"/>
      <c r="AC12" s="2388"/>
      <c r="AD12" s="2386"/>
      <c r="AE12" s="2387"/>
      <c r="AF12" s="2387"/>
      <c r="AG12" s="2387"/>
      <c r="AH12" s="2388"/>
      <c r="AI12" s="2386"/>
      <c r="AJ12" s="2387"/>
      <c r="AK12" s="2387"/>
      <c r="AL12" s="2387"/>
      <c r="AM12" s="2388"/>
    </row>
    <row r="13" spans="1:40" ht="13" customHeight="1">
      <c r="B13" s="435"/>
      <c r="C13" s="2397" t="s">
        <v>498</v>
      </c>
      <c r="D13" s="2397"/>
      <c r="E13" s="2397"/>
      <c r="F13" s="2397"/>
      <c r="G13" s="2397"/>
      <c r="H13" s="2397"/>
      <c r="I13" s="2397"/>
      <c r="J13" s="2397"/>
      <c r="K13" s="2397"/>
      <c r="L13" s="2397"/>
      <c r="M13" s="2397"/>
      <c r="N13" s="2397"/>
      <c r="O13" s="2397"/>
      <c r="P13" s="2397"/>
      <c r="Q13" s="2397"/>
      <c r="R13" s="2397"/>
      <c r="S13" s="2398"/>
      <c r="T13" s="2389"/>
      <c r="U13" s="2390"/>
      <c r="V13" s="2390"/>
      <c r="W13" s="2390"/>
      <c r="X13" s="2390"/>
      <c r="Y13" s="2389"/>
      <c r="Z13" s="2390"/>
      <c r="AA13" s="2390"/>
      <c r="AB13" s="2390"/>
      <c r="AC13" s="2390"/>
      <c r="AD13" s="2390"/>
      <c r="AE13" s="2390"/>
      <c r="AF13" s="2390"/>
      <c r="AG13" s="2390"/>
      <c r="AH13" s="2390"/>
      <c r="AI13" s="2390"/>
      <c r="AJ13" s="2390"/>
      <c r="AK13" s="2390"/>
      <c r="AL13" s="2390"/>
      <c r="AM13" s="2390"/>
    </row>
    <row r="14" spans="1:40" ht="13" customHeight="1">
      <c r="B14" s="435"/>
      <c r="C14" s="2397" t="s">
        <v>499</v>
      </c>
      <c r="D14" s="2397"/>
      <c r="E14" s="2397"/>
      <c r="F14" s="2397"/>
      <c r="G14" s="2397"/>
      <c r="H14" s="2397"/>
      <c r="I14" s="2397"/>
      <c r="J14" s="2397"/>
      <c r="K14" s="2397"/>
      <c r="L14" s="2397"/>
      <c r="M14" s="2397"/>
      <c r="N14" s="2397"/>
      <c r="O14" s="2397"/>
      <c r="P14" s="2397"/>
      <c r="Q14" s="2397"/>
      <c r="R14" s="2397"/>
      <c r="S14" s="2398"/>
      <c r="T14" s="2379"/>
      <c r="U14" s="2380"/>
      <c r="V14" s="2380"/>
      <c r="W14" s="2380"/>
      <c r="X14" s="2380"/>
      <c r="Y14" s="2379"/>
      <c r="Z14" s="2380"/>
      <c r="AA14" s="2380"/>
      <c r="AB14" s="2380"/>
      <c r="AC14" s="2380"/>
      <c r="AD14" s="2380"/>
      <c r="AE14" s="2380"/>
      <c r="AF14" s="2380"/>
      <c r="AG14" s="2380"/>
      <c r="AH14" s="2380"/>
      <c r="AI14" s="2380"/>
      <c r="AJ14" s="2380"/>
      <c r="AK14" s="2380"/>
      <c r="AL14" s="2380"/>
      <c r="AM14" s="2380"/>
    </row>
    <row r="15" spans="1:40" ht="13" customHeight="1">
      <c r="B15" s="435"/>
      <c r="C15" s="2397" t="s">
        <v>500</v>
      </c>
      <c r="D15" s="2397"/>
      <c r="E15" s="2397"/>
      <c r="F15" s="2397"/>
      <c r="G15" s="2397"/>
      <c r="H15" s="2397"/>
      <c r="I15" s="2397"/>
      <c r="J15" s="2397"/>
      <c r="K15" s="2397"/>
      <c r="L15" s="2397"/>
      <c r="M15" s="2397"/>
      <c r="N15" s="2397"/>
      <c r="O15" s="2397"/>
      <c r="P15" s="2397"/>
      <c r="Q15" s="2397"/>
      <c r="R15" s="2397"/>
      <c r="S15" s="2398"/>
      <c r="T15" s="2379"/>
      <c r="U15" s="2380"/>
      <c r="V15" s="2380"/>
      <c r="W15" s="2380"/>
      <c r="X15" s="2380"/>
      <c r="Y15" s="2379"/>
      <c r="Z15" s="2380"/>
      <c r="AA15" s="2380"/>
      <c r="AB15" s="2380"/>
      <c r="AC15" s="2380"/>
      <c r="AD15" s="2380"/>
      <c r="AE15" s="2380"/>
      <c r="AF15" s="2380"/>
      <c r="AG15" s="2380"/>
      <c r="AH15" s="2380"/>
      <c r="AI15" s="2380"/>
      <c r="AJ15" s="2380"/>
      <c r="AK15" s="2380"/>
      <c r="AL15" s="2380"/>
      <c r="AM15" s="2380"/>
    </row>
    <row r="16" spans="1:40" ht="13" customHeight="1">
      <c r="B16" s="435"/>
      <c r="C16" s="2397" t="s">
        <v>805</v>
      </c>
      <c r="D16" s="2397"/>
      <c r="E16" s="2397"/>
      <c r="F16" s="2397"/>
      <c r="G16" s="2397"/>
      <c r="H16" s="2397"/>
      <c r="I16" s="2397"/>
      <c r="J16" s="2397"/>
      <c r="K16" s="2397"/>
      <c r="L16" s="2397"/>
      <c r="M16" s="2397"/>
      <c r="N16" s="2397"/>
      <c r="O16" s="2397"/>
      <c r="P16" s="2397"/>
      <c r="Q16" s="2397"/>
      <c r="R16" s="2397"/>
      <c r="S16" s="2398"/>
      <c r="T16" s="2379"/>
      <c r="U16" s="2380"/>
      <c r="V16" s="2380"/>
      <c r="W16" s="2380"/>
      <c r="X16" s="2380"/>
      <c r="Y16" s="2379"/>
      <c r="Z16" s="2380"/>
      <c r="AA16" s="2380"/>
      <c r="AB16" s="2380"/>
      <c r="AC16" s="2380"/>
      <c r="AD16" s="2380"/>
      <c r="AE16" s="2380"/>
      <c r="AF16" s="2380"/>
      <c r="AG16" s="2380"/>
      <c r="AH16" s="2380"/>
      <c r="AI16" s="2380"/>
      <c r="AJ16" s="2380"/>
      <c r="AK16" s="2380"/>
      <c r="AL16" s="2380"/>
      <c r="AM16" s="2380"/>
    </row>
    <row r="17" spans="1:40" ht="13" customHeight="1">
      <c r="B17" s="435"/>
      <c r="C17" s="2397" t="s">
        <v>501</v>
      </c>
      <c r="D17" s="2397"/>
      <c r="E17" s="2397"/>
      <c r="F17" s="2397"/>
      <c r="G17" s="2397"/>
      <c r="H17" s="2397"/>
      <c r="I17" s="2397"/>
      <c r="J17" s="2397"/>
      <c r="K17" s="2397"/>
      <c r="L17" s="2397"/>
      <c r="M17" s="2397"/>
      <c r="N17" s="2397"/>
      <c r="O17" s="2397"/>
      <c r="P17" s="2397"/>
      <c r="Q17" s="2397"/>
      <c r="R17" s="2397"/>
      <c r="S17" s="2398"/>
      <c r="T17" s="2379"/>
      <c r="U17" s="2380"/>
      <c r="V17" s="2380"/>
      <c r="W17" s="2380"/>
      <c r="X17" s="2380"/>
      <c r="Y17" s="2379"/>
      <c r="Z17" s="2380"/>
      <c r="AA17" s="2380"/>
      <c r="AB17" s="2380"/>
      <c r="AC17" s="2380"/>
      <c r="AD17" s="2380"/>
      <c r="AE17" s="2380"/>
      <c r="AF17" s="2380"/>
      <c r="AG17" s="2380"/>
      <c r="AH17" s="2380"/>
      <c r="AI17" s="2380"/>
      <c r="AJ17" s="2380"/>
      <c r="AK17" s="2380"/>
      <c r="AL17" s="2380"/>
      <c r="AM17" s="2380"/>
    </row>
    <row r="18" spans="1:40" ht="13" customHeight="1">
      <c r="A18"/>
      <c r="B18" s="1150"/>
      <c r="C18" s="1513" t="s">
        <v>960</v>
      </c>
      <c r="D18" s="1513"/>
      <c r="E18" s="1513"/>
      <c r="F18" s="1513"/>
      <c r="G18" s="1513"/>
      <c r="H18" s="1513"/>
      <c r="I18" s="1513"/>
      <c r="J18" s="1513"/>
      <c r="K18" s="1513"/>
      <c r="L18" s="1513"/>
      <c r="M18" s="1513"/>
      <c r="N18" s="1513"/>
      <c r="O18" s="1513"/>
      <c r="P18" s="1513"/>
      <c r="Q18" s="1513"/>
      <c r="R18" s="1513"/>
      <c r="S18" s="1514"/>
      <c r="T18" s="2379"/>
      <c r="U18" s="2380"/>
      <c r="V18" s="2380"/>
      <c r="W18" s="2380"/>
      <c r="X18" s="2380"/>
      <c r="Y18" s="2379"/>
      <c r="Z18" s="2380"/>
      <c r="AA18" s="2380"/>
      <c r="AB18" s="2380"/>
      <c r="AC18" s="2380"/>
      <c r="AD18" s="2380"/>
      <c r="AE18" s="2380"/>
      <c r="AF18" s="2380"/>
      <c r="AG18" s="2380"/>
      <c r="AH18" s="2380"/>
      <c r="AI18" s="2380"/>
      <c r="AJ18" s="2380"/>
      <c r="AK18" s="2380"/>
      <c r="AL18" s="2380"/>
      <c r="AM18" s="2380"/>
    </row>
    <row r="19" spans="1:40" ht="13" customHeight="1">
      <c r="B19" s="1150"/>
      <c r="C19" s="1513" t="s">
        <v>960</v>
      </c>
      <c r="D19" s="1513"/>
      <c r="E19" s="1513"/>
      <c r="F19" s="1513"/>
      <c r="G19" s="1513"/>
      <c r="H19" s="1513"/>
      <c r="I19" s="1513"/>
      <c r="J19" s="1513"/>
      <c r="K19" s="1513"/>
      <c r="L19" s="1513"/>
      <c r="M19" s="1513"/>
      <c r="N19" s="1513"/>
      <c r="O19" s="1513"/>
      <c r="P19" s="1513"/>
      <c r="Q19" s="1513"/>
      <c r="R19" s="1513"/>
      <c r="S19" s="1514"/>
      <c r="T19" s="2379"/>
      <c r="U19" s="2380"/>
      <c r="V19" s="2380"/>
      <c r="W19" s="2380"/>
      <c r="X19" s="2380"/>
      <c r="Y19" s="2379"/>
      <c r="Z19" s="2380"/>
      <c r="AA19" s="2380"/>
      <c r="AB19" s="2380"/>
      <c r="AC19" s="2380"/>
      <c r="AD19" s="2380"/>
      <c r="AE19" s="2380"/>
      <c r="AF19" s="2380"/>
      <c r="AG19" s="2380"/>
      <c r="AH19" s="2380"/>
      <c r="AI19" s="2380"/>
      <c r="AJ19" s="2380"/>
      <c r="AK19" s="2380"/>
      <c r="AL19" s="2380"/>
      <c r="AM19" s="2380"/>
    </row>
    <row r="20" spans="1:40" ht="13" customHeight="1">
      <c r="B20" s="2357" t="s">
        <v>502</v>
      </c>
      <c r="C20" s="2358"/>
      <c r="D20" s="2358"/>
      <c r="E20" s="2358"/>
      <c r="F20" s="2358"/>
      <c r="G20" s="2358"/>
      <c r="H20" s="2358"/>
      <c r="I20" s="2358"/>
      <c r="J20" s="2358"/>
      <c r="K20" s="2358"/>
      <c r="L20" s="2358"/>
      <c r="M20" s="2358"/>
      <c r="N20" s="2358"/>
      <c r="O20" s="2358"/>
      <c r="P20" s="2358"/>
      <c r="Q20" s="2358"/>
      <c r="R20" s="2358"/>
      <c r="S20" s="2359"/>
      <c r="T20" s="2370">
        <f>SUM(T13:X19)</f>
        <v>0</v>
      </c>
      <c r="U20" s="2351"/>
      <c r="V20" s="2351"/>
      <c r="W20" s="2351"/>
      <c r="X20" s="2351"/>
      <c r="Y20" s="2370">
        <f>SUM(Y13:AC19)</f>
        <v>0</v>
      </c>
      <c r="Z20" s="2351"/>
      <c r="AA20" s="2351"/>
      <c r="AB20" s="2351"/>
      <c r="AC20" s="2351"/>
      <c r="AD20" s="2361">
        <f>SUM(AD13:AH19)</f>
        <v>0</v>
      </c>
      <c r="AE20" s="2369"/>
      <c r="AF20" s="2369"/>
      <c r="AG20" s="2369"/>
      <c r="AH20" s="2370"/>
      <c r="AI20" s="2361">
        <f>SUM(AI13:AM19)</f>
        <v>0</v>
      </c>
      <c r="AJ20" s="2369"/>
      <c r="AK20" s="2369"/>
      <c r="AL20" s="2369"/>
      <c r="AM20" s="2370"/>
    </row>
    <row r="21" spans="1:40" ht="13" customHeight="1">
      <c r="B21" s="2357" t="s">
        <v>1263</v>
      </c>
      <c r="C21" s="2358"/>
      <c r="D21" s="2358"/>
      <c r="E21" s="2358"/>
      <c r="F21" s="2358"/>
      <c r="G21" s="2358"/>
      <c r="H21" s="2358"/>
      <c r="I21" s="2358"/>
      <c r="J21" s="2358"/>
      <c r="K21" s="2358"/>
      <c r="L21" s="2358"/>
      <c r="M21" s="2358"/>
      <c r="N21" s="2358"/>
      <c r="O21" s="2358"/>
      <c r="P21" s="2358"/>
      <c r="Q21" s="2358"/>
      <c r="R21" s="2358"/>
      <c r="S21" s="2359"/>
      <c r="T21" s="2379"/>
      <c r="U21" s="2380"/>
      <c r="V21" s="2380"/>
      <c r="W21" s="2380"/>
      <c r="X21" s="2380"/>
      <c r="Y21" s="2379"/>
      <c r="Z21" s="2380"/>
      <c r="AA21" s="2380"/>
      <c r="AB21" s="2380"/>
      <c r="AC21" s="2380"/>
      <c r="AD21" s="2386"/>
      <c r="AE21" s="2387"/>
      <c r="AF21" s="2387"/>
      <c r="AG21" s="2387"/>
      <c r="AH21" s="2388"/>
      <c r="AI21" s="2386"/>
      <c r="AJ21" s="2387"/>
      <c r="AK21" s="2387"/>
      <c r="AL21" s="2387"/>
      <c r="AM21" s="2388"/>
    </row>
    <row r="22" spans="1:40" ht="13" customHeight="1">
      <c r="B22" s="2357" t="s">
        <v>503</v>
      </c>
      <c r="C22" s="2358"/>
      <c r="D22" s="2358"/>
      <c r="E22" s="2358"/>
      <c r="F22" s="2358"/>
      <c r="G22" s="2358"/>
      <c r="H22" s="2358"/>
      <c r="I22" s="2358"/>
      <c r="J22" s="2358"/>
      <c r="K22" s="2358"/>
      <c r="L22" s="2358"/>
      <c r="M22" s="2358"/>
      <c r="N22" s="2358"/>
      <c r="O22" s="2358"/>
      <c r="P22" s="2358"/>
      <c r="Q22" s="2358"/>
      <c r="R22" s="2358"/>
      <c r="S22" s="2359"/>
      <c r="T22" s="2375">
        <f>(ABS(T20)+ABS(T21))*-1</f>
        <v>0</v>
      </c>
      <c r="U22" s="2376"/>
      <c r="V22" s="2376"/>
      <c r="W22" s="2376"/>
      <c r="X22" s="2376"/>
      <c r="Y22" s="2375">
        <f>(Y20+Y21)*-1</f>
        <v>0</v>
      </c>
      <c r="Z22" s="2376"/>
      <c r="AA22" s="2376"/>
      <c r="AB22" s="2376"/>
      <c r="AC22" s="2376"/>
      <c r="AD22" s="2377">
        <f>(AD20)*-1</f>
        <v>0</v>
      </c>
      <c r="AE22" s="2378"/>
      <c r="AF22" s="2378"/>
      <c r="AG22" s="2378"/>
      <c r="AH22" s="2375"/>
      <c r="AI22" s="2377">
        <f>(AI20)*-1</f>
        <v>0</v>
      </c>
      <c r="AJ22" s="2378"/>
      <c r="AK22" s="2378"/>
      <c r="AL22" s="2378"/>
      <c r="AM22" s="2375"/>
    </row>
    <row r="23" spans="1:40" ht="13" customHeight="1">
      <c r="B23" s="2357" t="s">
        <v>504</v>
      </c>
      <c r="C23" s="2358"/>
      <c r="D23" s="2358"/>
      <c r="E23" s="2358"/>
      <c r="F23" s="2358"/>
      <c r="G23" s="2358"/>
      <c r="H23" s="2358"/>
      <c r="I23" s="2358"/>
      <c r="J23" s="2358"/>
      <c r="K23" s="2358"/>
      <c r="L23" s="2358"/>
      <c r="M23" s="2358"/>
      <c r="N23" s="2358"/>
      <c r="O23" s="2358"/>
      <c r="P23" s="2358"/>
      <c r="Q23" s="2358"/>
      <c r="R23" s="2358"/>
      <c r="S23" s="2359"/>
      <c r="T23" s="2370">
        <f>T11+T22</f>
        <v>33206252</v>
      </c>
      <c r="U23" s="2351"/>
      <c r="V23" s="2351"/>
      <c r="W23" s="2351"/>
      <c r="X23" s="2351"/>
      <c r="Y23" s="2370">
        <f>Y11+Y22</f>
        <v>0</v>
      </c>
      <c r="Z23" s="2351"/>
      <c r="AA23" s="2351"/>
      <c r="AB23" s="2351"/>
      <c r="AC23" s="2351"/>
      <c r="AD23" s="2370">
        <f>AD11+AD22</f>
        <v>0</v>
      </c>
      <c r="AE23" s="2351"/>
      <c r="AF23" s="2351"/>
      <c r="AG23" s="2351"/>
      <c r="AH23" s="2351"/>
      <c r="AI23" s="2370">
        <f>AI11+AI22</f>
        <v>0</v>
      </c>
      <c r="AJ23" s="2351"/>
      <c r="AK23" s="2351"/>
      <c r="AL23" s="2351"/>
      <c r="AM23" s="2351"/>
    </row>
    <row r="24" spans="1:40" ht="13" customHeight="1">
      <c r="B24" s="2357" t="s">
        <v>961</v>
      </c>
      <c r="C24" s="2358"/>
      <c r="D24" s="2358"/>
      <c r="E24" s="2358"/>
      <c r="F24" s="2358"/>
      <c r="G24" s="2358"/>
      <c r="H24" s="2358"/>
      <c r="I24" s="2358"/>
      <c r="J24" s="2358"/>
      <c r="K24" s="2358"/>
      <c r="L24" s="2358"/>
      <c r="M24" s="2358"/>
      <c r="N24" s="2358"/>
      <c r="O24" s="2358"/>
      <c r="P24" s="2358"/>
      <c r="Q24" s="2358"/>
      <c r="R24" s="2358"/>
      <c r="S24" s="2359"/>
      <c r="T24" s="2361">
        <f>Application!AJ1053</f>
        <v>67740376.840000004</v>
      </c>
      <c r="U24" s="2369"/>
      <c r="V24" s="2369"/>
      <c r="W24" s="2369"/>
      <c r="X24" s="2369"/>
      <c r="Y24" s="2369"/>
      <c r="Z24" s="2369"/>
      <c r="AA24" s="2369"/>
      <c r="AB24" s="2369"/>
      <c r="AC24" s="2369"/>
      <c r="AD24" s="2369"/>
      <c r="AE24" s="2369"/>
      <c r="AF24" s="2369"/>
      <c r="AG24" s="2369"/>
      <c r="AH24" s="2369"/>
      <c r="AI24" s="2369"/>
      <c r="AJ24" s="2369"/>
      <c r="AK24" s="2369"/>
      <c r="AL24" s="2369"/>
      <c r="AM24" s="2370"/>
    </row>
    <row r="25" spans="1:40" ht="13" customHeight="1">
      <c r="B25" s="2401" t="s">
        <v>1264</v>
      </c>
      <c r="C25" s="2402"/>
      <c r="D25" s="2402"/>
      <c r="E25" s="2402"/>
      <c r="F25" s="2402"/>
      <c r="G25" s="2402"/>
      <c r="H25" s="2402"/>
      <c r="I25" s="2402"/>
      <c r="J25" s="2402"/>
      <c r="K25" s="2402"/>
      <c r="L25" s="2402"/>
      <c r="M25" s="2402"/>
      <c r="N25" s="2402"/>
      <c r="O25" s="2402"/>
      <c r="P25" s="2402"/>
      <c r="Q25" s="2402"/>
      <c r="R25" s="2402"/>
      <c r="S25" s="2403"/>
      <c r="T25" s="2383">
        <f>IF(OR(Application!T196="yes",Application!T195="yes"),1.3,1)</f>
        <v>1.3</v>
      </c>
      <c r="U25" s="2384"/>
      <c r="V25" s="2384"/>
      <c r="W25" s="2384"/>
      <c r="X25" s="2384"/>
      <c r="Y25" s="2383">
        <v>1</v>
      </c>
      <c r="Z25" s="2384"/>
      <c r="AA25" s="2384"/>
      <c r="AB25" s="2384"/>
      <c r="AC25" s="2384"/>
      <c r="AD25" s="2383">
        <v>1</v>
      </c>
      <c r="AE25" s="2384"/>
      <c r="AF25" s="2384"/>
      <c r="AG25" s="2384"/>
      <c r="AH25" s="2385"/>
      <c r="AI25" s="2383">
        <v>1</v>
      </c>
      <c r="AJ25" s="2384"/>
      <c r="AK25" s="2384"/>
      <c r="AL25" s="2384"/>
      <c r="AM25" s="2385"/>
    </row>
    <row r="26" spans="1:40" ht="13" customHeight="1">
      <c r="B26" s="2357" t="s">
        <v>505</v>
      </c>
      <c r="C26" s="2358"/>
      <c r="D26" s="2358"/>
      <c r="E26" s="2358"/>
      <c r="F26" s="2358"/>
      <c r="G26" s="2358"/>
      <c r="H26" s="2358"/>
      <c r="I26" s="2358"/>
      <c r="J26" s="2358"/>
      <c r="K26" s="2358"/>
      <c r="L26" s="2358"/>
      <c r="M26" s="2358"/>
      <c r="N26" s="2358"/>
      <c r="O26" s="2358"/>
      <c r="P26" s="2358"/>
      <c r="Q26" s="2358"/>
      <c r="R26" s="2358"/>
      <c r="S26" s="2359"/>
      <c r="T26" s="2370">
        <f>T23*T25</f>
        <v>43168127.600000001</v>
      </c>
      <c r="U26" s="2351"/>
      <c r="V26" s="2351"/>
      <c r="W26" s="2351"/>
      <c r="X26" s="2351"/>
      <c r="Y26" s="2370">
        <f>Y23*Y25</f>
        <v>0</v>
      </c>
      <c r="Z26" s="2351"/>
      <c r="AA26" s="2351"/>
      <c r="AB26" s="2351"/>
      <c r="AC26" s="2351"/>
      <c r="AD26" s="2370">
        <f>AD23*AD25</f>
        <v>0</v>
      </c>
      <c r="AE26" s="2351"/>
      <c r="AF26" s="2351"/>
      <c r="AG26" s="2351"/>
      <c r="AH26" s="2351"/>
      <c r="AI26" s="2370">
        <f>AI23*AI25</f>
        <v>0</v>
      </c>
      <c r="AJ26" s="2351"/>
      <c r="AK26" s="2351"/>
      <c r="AL26" s="2351"/>
      <c r="AM26" s="2351"/>
    </row>
    <row r="27" spans="1:40" ht="13" customHeight="1">
      <c r="A27" s="410"/>
      <c r="B27" s="2404" t="s">
        <v>426</v>
      </c>
      <c r="C27" s="2405"/>
      <c r="D27" s="2405"/>
      <c r="E27" s="2405"/>
      <c r="F27" s="2405"/>
      <c r="G27" s="2405"/>
      <c r="H27" s="2405"/>
      <c r="I27" s="2405"/>
      <c r="J27" s="2405"/>
      <c r="K27" s="2405"/>
      <c r="L27" s="2405"/>
      <c r="M27" s="2405"/>
      <c r="N27" s="2405"/>
      <c r="O27" s="2405"/>
      <c r="P27" s="2405"/>
      <c r="Q27" s="2405"/>
      <c r="R27" s="2405"/>
      <c r="S27" s="2406"/>
      <c r="T27" s="2381">
        <f>Application!$AG$445</f>
        <v>1</v>
      </c>
      <c r="U27" s="2382"/>
      <c r="V27" s="2382"/>
      <c r="W27" s="2382"/>
      <c r="X27" s="2382"/>
      <c r="Y27" s="2381">
        <f>Application!$AG$445</f>
        <v>1</v>
      </c>
      <c r="Z27" s="2382"/>
      <c r="AA27" s="2382"/>
      <c r="AB27" s="2382"/>
      <c r="AC27" s="2382"/>
      <c r="AD27" s="2381">
        <f>Application!$AG$445</f>
        <v>1</v>
      </c>
      <c r="AE27" s="2382"/>
      <c r="AF27" s="2382"/>
      <c r="AG27" s="2382"/>
      <c r="AH27" s="2382"/>
      <c r="AI27" s="2381">
        <f>Application!$AG$445</f>
        <v>1</v>
      </c>
      <c r="AJ27" s="2382"/>
      <c r="AK27" s="2382"/>
      <c r="AL27" s="2382"/>
      <c r="AM27" s="2382"/>
    </row>
    <row r="28" spans="1:40" ht="13" customHeight="1">
      <c r="A28" s="404"/>
      <c r="B28" s="2357" t="s">
        <v>506</v>
      </c>
      <c r="C28" s="2358"/>
      <c r="D28" s="2358"/>
      <c r="E28" s="2358"/>
      <c r="F28" s="2358"/>
      <c r="G28" s="2358"/>
      <c r="H28" s="2358"/>
      <c r="I28" s="2358"/>
      <c r="J28" s="2358"/>
      <c r="K28" s="2358"/>
      <c r="L28" s="2358"/>
      <c r="M28" s="2358"/>
      <c r="N28" s="2358"/>
      <c r="O28" s="2358"/>
      <c r="P28" s="2358"/>
      <c r="Q28" s="2358"/>
      <c r="R28" s="2358"/>
      <c r="S28" s="2359"/>
      <c r="T28" s="2370">
        <f>IF(ISERROR((T26*T27)),0,(T26*T27))</f>
        <v>43168127.600000001</v>
      </c>
      <c r="U28" s="2351"/>
      <c r="V28" s="2351"/>
      <c r="W28" s="2351"/>
      <c r="X28" s="2351"/>
      <c r="Y28" s="2370">
        <f>IF(ISERROR((Y26*Y27)),0,(Y26*Y27))</f>
        <v>0</v>
      </c>
      <c r="Z28" s="2351"/>
      <c r="AA28" s="2351"/>
      <c r="AB28" s="2351"/>
      <c r="AC28" s="2351"/>
      <c r="AD28" s="2370">
        <f>IF(ISERROR((AD26*AD27)),0,(AD26*AD27))</f>
        <v>0</v>
      </c>
      <c r="AE28" s="2351"/>
      <c r="AF28" s="2351"/>
      <c r="AG28" s="2351"/>
      <c r="AH28" s="2351"/>
      <c r="AI28" s="2370">
        <f>IF(ISERROR((AI26*AI27)),0,(AI26*AI27))</f>
        <v>0</v>
      </c>
      <c r="AJ28" s="2351"/>
      <c r="AK28" s="2351"/>
      <c r="AL28" s="2351"/>
      <c r="AM28" s="2351"/>
    </row>
    <row r="29" spans="1:40" ht="13" customHeight="1">
      <c r="B29" s="2357" t="s">
        <v>523</v>
      </c>
      <c r="C29" s="2358"/>
      <c r="D29" s="2358"/>
      <c r="E29" s="2358"/>
      <c r="F29" s="2358"/>
      <c r="G29" s="2358"/>
      <c r="H29" s="2358"/>
      <c r="I29" s="2358"/>
      <c r="J29" s="2358"/>
      <c r="K29" s="2358"/>
      <c r="L29" s="2358"/>
      <c r="M29" s="2358"/>
      <c r="N29" s="2358"/>
      <c r="O29" s="2358"/>
      <c r="P29" s="2358"/>
      <c r="Q29" s="2358"/>
      <c r="R29" s="2358"/>
      <c r="S29" s="2359"/>
      <c r="T29" s="2361">
        <f>T28+Y28+AD28+AI28</f>
        <v>43168127.600000001</v>
      </c>
      <c r="U29" s="2369"/>
      <c r="V29" s="2369"/>
      <c r="W29" s="2369"/>
      <c r="X29" s="2369"/>
      <c r="Y29" s="2369"/>
      <c r="Z29" s="2369"/>
      <c r="AA29" s="2369"/>
      <c r="AB29" s="2369"/>
      <c r="AC29" s="2369"/>
      <c r="AD29" s="2369"/>
      <c r="AE29" s="2369"/>
      <c r="AF29" s="2369"/>
      <c r="AG29" s="2369"/>
      <c r="AH29" s="2369"/>
      <c r="AI29" s="2369"/>
      <c r="AJ29" s="2369"/>
      <c r="AK29" s="2369"/>
      <c r="AL29" s="2369"/>
      <c r="AM29" s="2370"/>
    </row>
    <row r="30" spans="1:40" ht="13" customHeight="1">
      <c r="B30" s="2374" t="s">
        <v>1266</v>
      </c>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row>
    <row r="31" spans="1:40" ht="13" customHeight="1">
      <c r="B31" s="2374" t="s">
        <v>1265</v>
      </c>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c r="AK31" s="2374"/>
      <c r="AL31" s="2374"/>
      <c r="AM31" s="2374"/>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1" t="s">
        <v>1154</v>
      </c>
      <c r="Z35" s="2371"/>
      <c r="AA35" s="2371"/>
      <c r="AB35" s="2371"/>
      <c r="AC35" s="2371"/>
      <c r="AD35" s="2372" t="s">
        <v>369</v>
      </c>
      <c r="AE35" s="2372"/>
      <c r="AF35" s="2372"/>
      <c r="AG35" s="2372"/>
      <c r="AH35" s="2372"/>
    </row>
    <row r="36" spans="1:76" ht="13" customHeight="1">
      <c r="B36" s="407"/>
      <c r="X36" s="412"/>
      <c r="Y36" s="2371"/>
      <c r="Z36" s="2371"/>
      <c r="AA36" s="2371"/>
      <c r="AB36" s="2371"/>
      <c r="AC36" s="2371"/>
      <c r="AD36" s="2372"/>
      <c r="AE36" s="2372"/>
      <c r="AF36" s="2372"/>
      <c r="AG36" s="2372"/>
      <c r="AH36" s="2372"/>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1"/>
      <c r="Z37" s="2371"/>
      <c r="AA37" s="2371"/>
      <c r="AB37" s="2371"/>
      <c r="AC37" s="2371"/>
      <c r="AD37" s="2372"/>
      <c r="AE37" s="2372"/>
      <c r="AF37" s="2372"/>
      <c r="AG37" s="2372"/>
      <c r="AH37" s="2372"/>
    </row>
    <row r="38" spans="1:76" ht="13" customHeight="1">
      <c r="A38" s="404"/>
      <c r="B38" s="2357" t="s">
        <v>506</v>
      </c>
      <c r="C38" s="2358"/>
      <c r="D38" s="2358"/>
      <c r="E38" s="2358"/>
      <c r="F38" s="2358"/>
      <c r="G38" s="2358"/>
      <c r="H38" s="2358"/>
      <c r="I38" s="2358"/>
      <c r="J38" s="2358"/>
      <c r="K38" s="2358"/>
      <c r="L38" s="2358"/>
      <c r="M38" s="2358"/>
      <c r="N38" s="2358"/>
      <c r="O38" s="2358"/>
      <c r="P38" s="2358"/>
      <c r="Q38" s="2358"/>
      <c r="R38" s="2358"/>
      <c r="S38" s="2358"/>
      <c r="T38" s="2358"/>
      <c r="U38" s="2358"/>
      <c r="V38" s="2358"/>
      <c r="W38" s="2358"/>
      <c r="X38" s="2359"/>
      <c r="Y38" s="2351">
        <f>IF(T24&gt;=(T23+Y23+AD23+AI23),T28+Y28,0)</f>
        <v>43168127.600000001</v>
      </c>
      <c r="Z38" s="2351"/>
      <c r="AA38" s="2351"/>
      <c r="AB38" s="2351"/>
      <c r="AC38" s="2351"/>
      <c r="AD38" s="2351">
        <f>IF(T24&gt;=(T23+Y23+AD23+AI23),AD28+AI28,0)</f>
        <v>0</v>
      </c>
      <c r="AE38" s="2351"/>
      <c r="AF38" s="2351"/>
      <c r="AG38" s="2351"/>
      <c r="AH38" s="2351"/>
    </row>
    <row r="39" spans="1:76" ht="13" customHeight="1">
      <c r="B39" s="2357" t="s">
        <v>1691</v>
      </c>
      <c r="C39" s="2358"/>
      <c r="D39" s="2358"/>
      <c r="E39" s="2358"/>
      <c r="F39" s="2358"/>
      <c r="G39" s="2358"/>
      <c r="H39" s="2358"/>
      <c r="I39" s="2358"/>
      <c r="J39" s="2358"/>
      <c r="K39" s="2358"/>
      <c r="L39" s="2358"/>
      <c r="M39" s="2358"/>
      <c r="N39" s="2358"/>
      <c r="O39" s="2358"/>
      <c r="P39" s="2358"/>
      <c r="Q39" s="2358"/>
      <c r="R39" s="2358"/>
      <c r="S39" s="2358"/>
      <c r="T39" s="2358"/>
      <c r="U39" s="2358"/>
      <c r="V39" s="2358"/>
      <c r="W39" s="2358"/>
      <c r="X39" s="2359"/>
      <c r="Y39" s="2373">
        <v>0.04</v>
      </c>
      <c r="Z39" s="2373"/>
      <c r="AA39" s="2373"/>
      <c r="AB39" s="2373"/>
      <c r="AC39" s="2373"/>
      <c r="AD39" s="2373">
        <v>0.04</v>
      </c>
      <c r="AE39" s="2373"/>
      <c r="AF39" s="2373"/>
      <c r="AG39" s="2373"/>
      <c r="AH39" s="2373"/>
    </row>
    <row r="40" spans="1:76" ht="13" customHeight="1">
      <c r="A40" s="404"/>
      <c r="B40" s="2357" t="s">
        <v>642</v>
      </c>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9"/>
      <c r="Y40" s="2351">
        <f>ROUND(Y38*Y39,0)</f>
        <v>1726725</v>
      </c>
      <c r="Z40" s="2351"/>
      <c r="AA40" s="2351"/>
      <c r="AB40" s="2351"/>
      <c r="AC40" s="2351"/>
      <c r="AD40" s="2370">
        <f>ROUND(AD38*AD39,0)</f>
        <v>0</v>
      </c>
      <c r="AE40" s="2351"/>
      <c r="AF40" s="2351"/>
      <c r="AG40" s="2351"/>
      <c r="AH40" s="2351"/>
    </row>
    <row r="41" spans="1:76" ht="13" customHeight="1">
      <c r="B41" s="2357" t="s">
        <v>643</v>
      </c>
      <c r="C41" s="2358"/>
      <c r="D41" s="2358"/>
      <c r="E41" s="2358"/>
      <c r="F41" s="2358"/>
      <c r="G41" s="2358"/>
      <c r="H41" s="2358"/>
      <c r="I41" s="2358"/>
      <c r="J41" s="2358"/>
      <c r="K41" s="2358"/>
      <c r="L41" s="2358"/>
      <c r="M41" s="2358"/>
      <c r="N41" s="2358"/>
      <c r="O41" s="2358"/>
      <c r="P41" s="2358"/>
      <c r="Q41" s="2358"/>
      <c r="R41" s="2358"/>
      <c r="S41" s="2358"/>
      <c r="T41" s="2358"/>
      <c r="U41" s="2358"/>
      <c r="V41" s="2358"/>
      <c r="W41" s="2358"/>
      <c r="X41" s="2359"/>
      <c r="Y41" s="2361">
        <f>Y40+AD40</f>
        <v>1726725</v>
      </c>
      <c r="Z41" s="2369"/>
      <c r="AA41" s="2369"/>
      <c r="AB41" s="2369"/>
      <c r="AC41" s="2369"/>
      <c r="AD41" s="2369"/>
      <c r="AE41" s="2369"/>
      <c r="AF41" s="2369"/>
      <c r="AG41" s="2369"/>
      <c r="AH41" s="2370"/>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8" t="s">
        <v>1276</v>
      </c>
      <c r="B44" s="2368"/>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8"/>
      <c r="AV44" s="2368"/>
      <c r="AW44" s="2368"/>
      <c r="AX44" s="2368"/>
      <c r="AY44" s="2368"/>
      <c r="AZ44" s="2368"/>
      <c r="BA44" s="2368"/>
      <c r="BB44" s="2368"/>
      <c r="BC44" s="2368"/>
      <c r="BD44" s="2368"/>
      <c r="BE44" s="2368"/>
      <c r="BF44" s="2368"/>
      <c r="BG44" s="2368"/>
      <c r="BH44" s="2368"/>
      <c r="BI44" s="2368"/>
      <c r="BJ44" s="2368"/>
      <c r="BK44" s="2368"/>
      <c r="BL44" s="2368"/>
      <c r="BM44" s="2368"/>
      <c r="BN44" s="2368"/>
      <c r="BO44" s="2368"/>
      <c r="BP44" s="2368"/>
      <c r="BQ44" s="2368"/>
      <c r="BR44" s="2368"/>
      <c r="BS44" s="2368"/>
      <c r="BT44" s="2368"/>
      <c r="BU44" s="2368"/>
      <c r="BV44" s="2368"/>
      <c r="BW44" s="2368"/>
      <c r="BX44" s="2368"/>
    </row>
    <row r="45" spans="1:76" s="204" customFormat="1" ht="13" customHeight="1" thickTop="1"/>
    <row r="46" spans="1:76" ht="13" customHeight="1">
      <c r="A46" s="404" t="s">
        <v>586</v>
      </c>
      <c r="C46" s="404" t="s">
        <v>282</v>
      </c>
    </row>
    <row r="47" spans="1:76" ht="13" customHeight="1">
      <c r="D47" s="404" t="s">
        <v>283</v>
      </c>
      <c r="AB47" s="2365">
        <f>'Sources and Uses Budget'!B105-MAX(IF('Sources and Uses Budget'!B15="",0,'Sources and Uses Budget'!B15),IF(Application!AG394="",0,Application!AG394))</f>
        <v>38908132</v>
      </c>
      <c r="AC47" s="2366"/>
      <c r="AD47" s="2366"/>
      <c r="AE47" s="2366"/>
      <c r="AF47" s="2367"/>
    </row>
    <row r="48" spans="1:76" ht="13" customHeight="1">
      <c r="D48" s="404" t="s">
        <v>21</v>
      </c>
      <c r="AB48" s="2365">
        <f>Application!AO639-MAX(IF('Sources and Uses Budget'!B15="",0,'Sources and Uses Budget'!B15),IF(Application!AG394="",0,Application!AG394))</f>
        <v>20835402</v>
      </c>
      <c r="AC48" s="2366"/>
      <c r="AD48" s="2366"/>
      <c r="AE48" s="2366"/>
      <c r="AF48" s="2367"/>
    </row>
    <row r="49" spans="1:76" ht="13" customHeight="1">
      <c r="D49" s="404" t="s">
        <v>91</v>
      </c>
      <c r="AB49" s="2365">
        <f>AB47-AB48</f>
        <v>18072730</v>
      </c>
      <c r="AC49" s="2366"/>
      <c r="AD49" s="2366"/>
      <c r="AE49" s="2366"/>
      <c r="AF49" s="2367"/>
    </row>
    <row r="50" spans="1:76" ht="13" customHeight="1">
      <c r="D50" s="404" t="s">
        <v>681</v>
      </c>
      <c r="AA50" s="415"/>
      <c r="AB50" s="2353">
        <f>0.81991805</f>
        <v>0.81991804999999995</v>
      </c>
      <c r="AC50" s="2354"/>
      <c r="AD50" s="2354"/>
      <c r="AE50" s="2354"/>
      <c r="AF50" s="2355"/>
    </row>
    <row r="51" spans="1:76" s="417" customFormat="1" ht="13" customHeight="1">
      <c r="A51" s="402"/>
      <c r="B51" s="402"/>
      <c r="C51" s="402"/>
      <c r="D51" s="402"/>
      <c r="E51" s="2364" t="s">
        <v>2611</v>
      </c>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65">
        <f>ROUND(IF(ISERROR((AB49/AB50)),0,(AB49/AB50)),0)</f>
        <v>22042118</v>
      </c>
      <c r="AC54" s="2366"/>
      <c r="AD54" s="2366"/>
      <c r="AE54" s="2366"/>
      <c r="AF54" s="2367"/>
    </row>
    <row r="55" spans="1:76" ht="13" customHeight="1">
      <c r="D55" s="404" t="s">
        <v>333</v>
      </c>
      <c r="AB55" s="2365">
        <f>(AB54/10)</f>
        <v>2204211.7999999998</v>
      </c>
      <c r="AC55" s="2366"/>
      <c r="AD55" s="2366"/>
      <c r="AE55" s="2366"/>
      <c r="AF55" s="2367"/>
    </row>
    <row r="56" spans="1:76" ht="13" customHeight="1">
      <c r="D56" s="404" t="s">
        <v>756</v>
      </c>
      <c r="AB56" s="2365">
        <f>ROUND((IF((Y41&lt;AB55),Y41,AB55)),0)</f>
        <v>1726725</v>
      </c>
      <c r="AC56" s="2366"/>
      <c r="AD56" s="2366"/>
      <c r="AE56" s="2366"/>
      <c r="AF56" s="2367"/>
    </row>
    <row r="57" spans="1:76" ht="13" customHeight="1">
      <c r="D57" s="404" t="s">
        <v>755</v>
      </c>
      <c r="AB57" s="2365">
        <f>ROUND((10*AB56*AB50),0)</f>
        <v>14157730</v>
      </c>
      <c r="AC57" s="2366"/>
      <c r="AD57" s="2366"/>
      <c r="AE57" s="2366"/>
      <c r="AF57" s="2367"/>
    </row>
    <row r="58" spans="1:76" ht="13" customHeight="1">
      <c r="D58" s="404"/>
      <c r="AB58" s="423"/>
      <c r="AC58" s="423"/>
      <c r="AD58" s="423"/>
      <c r="AE58" s="423"/>
      <c r="AF58" s="423"/>
    </row>
    <row r="59" spans="1:76" ht="13" customHeight="1">
      <c r="D59" s="404" t="s">
        <v>754</v>
      </c>
      <c r="AB59" s="2349">
        <f>AB49-AB57</f>
        <v>3915000</v>
      </c>
      <c r="AC59" s="2349"/>
      <c r="AD59" s="2349"/>
      <c r="AE59" s="2349"/>
      <c r="AF59" s="2349"/>
    </row>
    <row r="60" spans="1:76" ht="13" customHeight="1">
      <c r="D60" s="404"/>
      <c r="AB60" s="423"/>
      <c r="AC60" s="423"/>
      <c r="AD60" s="423"/>
      <c r="AE60" s="423"/>
      <c r="AF60" s="423"/>
    </row>
    <row r="61" spans="1:76" s="204" customFormat="1" ht="13" customHeight="1" thickBot="1">
      <c r="A61" s="2368" t="str">
        <f>IF(Application!AP205="yes","Farmworker State Credit", "State Credit" )</f>
        <v>State Credit</v>
      </c>
      <c r="B61" s="2368"/>
      <c r="C61" s="2368"/>
      <c r="D61" s="2368"/>
      <c r="E61" s="2368"/>
      <c r="F61" s="2368"/>
      <c r="G61" s="2368"/>
      <c r="H61" s="2368"/>
      <c r="I61" s="2368"/>
      <c r="J61" s="2368"/>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8"/>
      <c r="AX61" s="2368"/>
      <c r="AY61" s="2368"/>
      <c r="AZ61" s="2368"/>
      <c r="BA61" s="2368"/>
      <c r="BB61" s="2368"/>
      <c r="BC61" s="2368"/>
      <c r="BD61" s="2368"/>
      <c r="BE61" s="2368"/>
      <c r="BF61" s="2368"/>
      <c r="BG61" s="2368"/>
      <c r="BH61" s="2368"/>
      <c r="BI61" s="2368"/>
      <c r="BJ61" s="2368"/>
      <c r="BK61" s="2368"/>
      <c r="BL61" s="2368"/>
      <c r="BM61" s="2368"/>
      <c r="BN61" s="2368"/>
      <c r="BO61" s="2368"/>
      <c r="BP61" s="2368"/>
      <c r="BQ61" s="2368"/>
      <c r="BR61" s="2368"/>
      <c r="BS61" s="2368"/>
      <c r="BT61" s="2368"/>
      <c r="BU61" s="2368"/>
      <c r="BV61" s="2368"/>
      <c r="BW61" s="2368"/>
      <c r="BX61" s="2368"/>
    </row>
    <row r="62" spans="1:76" s="204" customFormat="1" ht="13" customHeight="1" thickTop="1"/>
    <row r="63" spans="1:76" ht="13" customHeight="1">
      <c r="A63" s="404" t="s">
        <v>589</v>
      </c>
      <c r="C63" s="205" t="s">
        <v>1248</v>
      </c>
      <c r="Y63" s="2360" t="s">
        <v>984</v>
      </c>
      <c r="Z63" s="2360"/>
      <c r="AA63" s="2360"/>
      <c r="AB63" s="2360"/>
      <c r="AC63" s="2360"/>
      <c r="AD63" s="2360" t="s">
        <v>369</v>
      </c>
      <c r="AE63" s="2360"/>
      <c r="AF63" s="2360"/>
      <c r="AG63" s="2360"/>
      <c r="AH63" s="2360"/>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61">
        <f>IF(Application!$Z$205="(select)",0,((T23*T27)+Y28))</f>
        <v>33206252</v>
      </c>
      <c r="Z64" s="2362"/>
      <c r="AA64" s="2362"/>
      <c r="AB64" s="2362"/>
      <c r="AC64" s="2363"/>
      <c r="AD64" s="2361">
        <f>IF(AND(OR(Application!D211="At-Risk",Application!D211="At-Risk and Special Needs"),Application!M358="yes"),AD28+AI28,0)</f>
        <v>0</v>
      </c>
      <c r="AE64" s="2362"/>
      <c r="AF64" s="2362"/>
      <c r="AG64" s="2362"/>
      <c r="AH64" s="2363"/>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50">
        <f>IF(OR(Application!Z205="State Farmworker Credit",Application!Z205="$500M (Farmworker Housing)"),0.75,IF(Application!Z205="15% set-aside",0.13,IF(Application!Z205="15% set-aside with qualifying low value rehab",0.95,IF(Application!Z205="$500M",0.3,0))))</f>
        <v>0.3</v>
      </c>
      <c r="Z67" s="2350"/>
      <c r="AA67" s="2350"/>
      <c r="AB67" s="2350"/>
      <c r="AC67" s="2350"/>
      <c r="AD67" s="2350">
        <f>IF(Application!Z205="15% set-aside with qualifying low value rehab", 0.95,IF(OR(Application!D211="At-Risk",'Points System'!B13="Yes"),0.13,0))</f>
        <v>0</v>
      </c>
      <c r="AE67" s="2350"/>
      <c r="AF67" s="2350"/>
      <c r="AG67" s="2350"/>
      <c r="AH67" s="2350"/>
    </row>
    <row r="68" spans="1:36" ht="13" customHeight="1">
      <c r="C68" s="404"/>
      <c r="D68" s="205" t="s">
        <v>2224</v>
      </c>
      <c r="Y68" s="2351">
        <f>ROUND(Y64*Y67,0)</f>
        <v>9961876</v>
      </c>
      <c r="Z68" s="2352"/>
      <c r="AA68" s="2352"/>
      <c r="AB68" s="2352"/>
      <c r="AC68" s="2352"/>
      <c r="AD68" s="2351">
        <f>ROUND(AD64*AD67,0)</f>
        <v>0</v>
      </c>
      <c r="AE68" s="2352"/>
      <c r="AF68" s="2352"/>
      <c r="AG68" s="2352"/>
      <c r="AH68" s="2352"/>
    </row>
    <row r="69" spans="1:36" ht="13" customHeight="1">
      <c r="C69" s="404"/>
      <c r="D69" s="205" t="s">
        <v>2225</v>
      </c>
      <c r="Y69" s="2351">
        <f>IF(OR(Application!Z205="State Farmworker Credit",Application!Z205="$500M (Farmworker Housing)"),Y68+AD68,MIN(Y68+AD68,200000*(Application!G753+Application!O777)))</f>
        <v>9000000</v>
      </c>
      <c r="Z69" s="2351"/>
      <c r="AA69" s="2351"/>
      <c r="AB69" s="2351"/>
      <c r="AC69" s="2351"/>
      <c r="AD69" s="2351"/>
      <c r="AE69" s="2351"/>
      <c r="AF69" s="2351"/>
      <c r="AG69" s="2351"/>
      <c r="AH69" s="2351"/>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1250</v>
      </c>
      <c r="AB72" s="2353">
        <f>0.9</f>
        <v>0.9</v>
      </c>
      <c r="AC72" s="2354"/>
      <c r="AD72" s="2354"/>
      <c r="AE72" s="2354"/>
      <c r="AF72" s="2355"/>
    </row>
    <row r="73" spans="1:36" ht="13" customHeight="1">
      <c r="A73" s="404"/>
      <c r="C73" s="404"/>
      <c r="D73" s="404"/>
      <c r="E73" s="2356" t="s">
        <v>1251</v>
      </c>
      <c r="F73" s="2356"/>
      <c r="G73" s="2356"/>
      <c r="H73" s="2356"/>
      <c r="I73" s="2356"/>
      <c r="J73" s="2356"/>
      <c r="K73" s="2356"/>
      <c r="L73" s="2356"/>
      <c r="M73" s="2356"/>
      <c r="N73" s="2356"/>
      <c r="O73" s="2356"/>
      <c r="P73" s="2356"/>
      <c r="Q73" s="2356"/>
      <c r="R73" s="2356"/>
      <c r="S73" s="2356"/>
      <c r="T73" s="2356"/>
      <c r="U73" s="2356"/>
      <c r="V73" s="2356"/>
      <c r="W73" s="2356"/>
      <c r="X73" s="2356"/>
      <c r="Y73" s="2356"/>
      <c r="Z73" s="2356"/>
      <c r="AA73" s="2356"/>
      <c r="AB73" s="438"/>
      <c r="AC73" s="438"/>
    </row>
    <row r="74" spans="1:36" ht="13" customHeight="1">
      <c r="A74" s="404"/>
      <c r="C74" s="404"/>
      <c r="D74" s="404"/>
      <c r="E74" s="2356"/>
      <c r="F74" s="2356"/>
      <c r="G74" s="2356"/>
      <c r="H74" s="2356"/>
      <c r="I74" s="2356"/>
      <c r="J74" s="2356"/>
      <c r="K74" s="2356"/>
      <c r="L74" s="2356"/>
      <c r="M74" s="2356"/>
      <c r="N74" s="2356"/>
      <c r="O74" s="2356"/>
      <c r="P74" s="2356"/>
      <c r="Q74" s="2356"/>
      <c r="R74" s="2356"/>
      <c r="S74" s="2356"/>
      <c r="T74" s="2356"/>
      <c r="U74" s="2356"/>
      <c r="V74" s="2356"/>
      <c r="W74" s="2356"/>
      <c r="X74" s="2356"/>
      <c r="Y74" s="2356"/>
      <c r="Z74" s="2356"/>
      <c r="AA74" s="2356"/>
      <c r="AB74" s="438"/>
      <c r="AC74" s="438"/>
    </row>
    <row r="75" spans="1:36" ht="13" customHeight="1">
      <c r="A75" s="404"/>
      <c r="C75" s="404"/>
      <c r="D75" s="404"/>
      <c r="E75" s="2356"/>
      <c r="F75" s="2356"/>
      <c r="G75" s="2356"/>
      <c r="H75" s="2356"/>
      <c r="I75" s="2356"/>
      <c r="J75" s="2356"/>
      <c r="K75" s="2356"/>
      <c r="L75" s="2356"/>
      <c r="M75" s="2356"/>
      <c r="N75" s="2356"/>
      <c r="O75" s="2356"/>
      <c r="P75" s="2356"/>
      <c r="Q75" s="2356"/>
      <c r="R75" s="2356"/>
      <c r="S75" s="2356"/>
      <c r="T75" s="2356"/>
      <c r="U75" s="2356"/>
      <c r="V75" s="2356"/>
      <c r="W75" s="2356"/>
      <c r="X75" s="2356"/>
      <c r="Y75" s="2356"/>
      <c r="Z75" s="2356"/>
      <c r="AA75" s="2356"/>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44">
        <f>ROUND(IF(ISERROR((AB59/AB72)),0,(AB59/AB72)),0)</f>
        <v>4350000</v>
      </c>
      <c r="AC77" s="2344"/>
      <c r="AD77" s="2344"/>
      <c r="AE77" s="2344"/>
      <c r="AF77" s="2344"/>
    </row>
    <row r="78" spans="1:36" ht="13" customHeight="1">
      <c r="C78" s="404"/>
      <c r="D78" s="205" t="s">
        <v>1253</v>
      </c>
      <c r="AB78" s="2345">
        <f>ROUNDUP(MIN(Y69,AB77),0)</f>
        <v>4350000</v>
      </c>
      <c r="AC78" s="2346"/>
      <c r="AD78" s="2346"/>
      <c r="AE78" s="2346"/>
      <c r="AF78" s="2347"/>
    </row>
    <row r="79" spans="1:36" ht="13" customHeight="1">
      <c r="C79" s="404"/>
      <c r="D79" s="205" t="s">
        <v>1254</v>
      </c>
      <c r="AB79" s="2348">
        <f>AB78*AB72</f>
        <v>3915000</v>
      </c>
      <c r="AC79" s="2348"/>
      <c r="AD79" s="2348"/>
      <c r="AE79" s="2348"/>
      <c r="AF79" s="2348"/>
    </row>
    <row r="80" spans="1:36" ht="13" customHeight="1">
      <c r="C80" s="404"/>
      <c r="D80" s="404"/>
      <c r="AB80" s="425"/>
      <c r="AC80" s="425"/>
      <c r="AD80" s="425"/>
      <c r="AE80" s="425"/>
      <c r="AF80" s="425"/>
    </row>
    <row r="81" spans="1:78" ht="13" customHeight="1">
      <c r="D81" s="404" t="s">
        <v>754</v>
      </c>
      <c r="AB81" s="2349">
        <f>AB49-(AB57+AB79)</f>
        <v>0</v>
      </c>
      <c r="AC81" s="2349"/>
      <c r="AD81" s="2349"/>
      <c r="AE81" s="2349"/>
      <c r="AF81" s="2349"/>
    </row>
    <row r="82" spans="1:78" ht="13" customHeight="1">
      <c r="F82" s="522"/>
      <c r="J82" s="522" t="str">
        <f>IF(AB81&gt;0,"FUNDING GAP MUST NOT EXCEED ZERO","")</f>
        <v/>
      </c>
    </row>
    <row r="83" spans="1:78" ht="13" customHeight="1">
      <c r="D83" s="523"/>
    </row>
    <row r="84" spans="1:78" ht="13" customHeight="1" thickBot="1">
      <c r="A84" s="2368"/>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2368"/>
      <c r="AM84" s="2368"/>
      <c r="AN84" s="2368"/>
      <c r="AO84" s="2368"/>
      <c r="AP84" s="2368"/>
      <c r="AQ84" s="2368"/>
      <c r="AR84" s="2368"/>
      <c r="AS84" s="2368"/>
      <c r="AT84" s="2368"/>
      <c r="AU84" s="2368"/>
      <c r="AV84" s="2368"/>
      <c r="AW84" s="2368"/>
      <c r="AX84" s="2368"/>
      <c r="AY84" s="2368"/>
      <c r="AZ84" s="2368"/>
      <c r="BA84" s="2368"/>
      <c r="BB84" s="2368"/>
      <c r="BC84" s="2368"/>
      <c r="BD84" s="2368"/>
      <c r="BE84" s="2368"/>
      <c r="BF84" s="2368"/>
      <c r="BG84" s="2368"/>
      <c r="BH84" s="2368"/>
      <c r="BI84" s="2368"/>
      <c r="BJ84" s="2368"/>
      <c r="BK84" s="2368"/>
      <c r="BL84" s="2368"/>
      <c r="BM84" s="2368"/>
      <c r="BN84" s="2368"/>
      <c r="BO84" s="2368"/>
      <c r="BP84" s="2368"/>
      <c r="BQ84" s="2368"/>
      <c r="BR84" s="2368"/>
      <c r="BS84" s="2368"/>
      <c r="BT84" s="2368"/>
      <c r="BU84" s="2368"/>
      <c r="BV84" s="2368"/>
      <c r="BW84" s="2368"/>
      <c r="BX84" s="2368"/>
    </row>
    <row r="85" spans="1:78" ht="13" customHeight="1" thickTop="1"/>
    <row r="86" spans="1:78" ht="13" customHeight="1">
      <c r="A86" s="404"/>
      <c r="C86" s="205"/>
    </row>
    <row r="87" spans="1:78" ht="13" customHeight="1">
      <c r="D87" s="205"/>
      <c r="AB87" s="2400"/>
      <c r="AC87" s="2400"/>
      <c r="AD87" s="2400"/>
      <c r="AE87" s="2400"/>
      <c r="AF87" s="2400"/>
    </row>
    <row r="88" spans="1:78" ht="13" customHeight="1" thickBot="1">
      <c r="D88" s="205"/>
      <c r="AB88" s="2399"/>
      <c r="AC88" s="2399"/>
      <c r="AD88" s="2399"/>
      <c r="AE88" s="2399"/>
      <c r="AF88" s="239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18" zoomScale="80" zoomScaleNormal="80" workbookViewId="0">
      <selection activeCell="H638" sqref="H638:I638"/>
    </sheetView>
  </sheetViews>
  <sheetFormatPr defaultColWidth="0" defaultRowHeight="12.5" zeroHeight="1"/>
  <cols>
    <col min="1" max="1" width="2.6328125" style="14" customWidth="1"/>
    <col min="2" max="3" width="2.36328125" style="14" customWidth="1"/>
    <col min="4" max="4" width="3.08984375" style="14" customWidth="1"/>
    <col min="5" max="5" width="3.36328125" style="14" customWidth="1"/>
    <col min="6" max="6" width="2.81640625" style="14" customWidth="1"/>
    <col min="7" max="14" width="2.36328125" style="14" customWidth="1"/>
    <col min="15" max="15" width="2.81640625" style="14" customWidth="1"/>
    <col min="16" max="16" width="2.36328125" style="14" customWidth="1"/>
    <col min="17" max="17" width="3.81640625" style="14" customWidth="1"/>
    <col min="18" max="18" width="4.6328125" style="14" customWidth="1"/>
    <col min="19" max="19" width="3.36328125" style="14" customWidth="1"/>
    <col min="20" max="26" width="2.36328125" style="14" customWidth="1"/>
    <col min="27" max="30" width="2.6328125" style="14" customWidth="1"/>
    <col min="31" max="32" width="2.36328125" style="14" customWidth="1"/>
    <col min="33" max="33" width="3.36328125" style="14" customWidth="1"/>
    <col min="34" max="36" width="2.36328125" style="14" customWidth="1"/>
    <col min="37" max="37" width="5.6328125" style="14" customWidth="1"/>
    <col min="38" max="38" width="2.36328125" style="14" customWidth="1"/>
    <col min="39" max="39" width="3.36328125" style="14" customWidth="1"/>
    <col min="40" max="40" width="5.6328125" style="534" customWidth="1"/>
    <col min="41" max="41" width="5.6328125" style="30" hidden="1" customWidth="1"/>
    <col min="42" max="45" width="5.6328125" style="14" hidden="1" customWidth="1"/>
    <col min="46" max="46" width="10.81640625" style="14" hidden="1" customWidth="1"/>
    <col min="47" max="48" width="5.6328125" style="14" hidden="1" customWidth="1"/>
    <col min="49" max="49" width="8.6328125" style="14" hidden="1" customWidth="1"/>
    <col min="50" max="50" width="7.36328125" style="14" hidden="1" customWidth="1"/>
    <col min="51" max="55" width="5.6328125" style="14" hidden="1" customWidth="1"/>
    <col min="56" max="60" width="5.6328125" style="32" hidden="1" customWidth="1"/>
    <col min="61" max="81" width="5.6328125" style="14" hidden="1" customWidth="1"/>
    <col min="82" max="16384" width="9.08984375" style="14" hidden="1"/>
  </cols>
  <sheetData>
    <row r="1" spans="1:42" ht="15.75" customHeight="1">
      <c r="A1" s="2442" t="s">
        <v>1300</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row>
    <row r="2" spans="1:42" s="536" customFormat="1" ht="12.75" customHeight="1" thickBot="1">
      <c r="A2" s="2443"/>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3" t="s">
        <v>1305</v>
      </c>
      <c r="AF7" s="2423"/>
      <c r="AG7" s="2423"/>
      <c r="AH7" s="2423"/>
      <c r="AI7" s="2423"/>
      <c r="AJ7" s="2423"/>
      <c r="AK7" s="2423"/>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13" t="s">
        <v>591</v>
      </c>
      <c r="C13" s="241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44"/>
      <c r="AH13" s="2444"/>
      <c r="AI13" s="2444"/>
      <c r="AJ13" s="244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13" t="s">
        <v>591</v>
      </c>
      <c r="C16" s="2413"/>
      <c r="D16" s="547"/>
      <c r="E16" s="2424" t="s">
        <v>1307</v>
      </c>
      <c r="F16" s="2425"/>
      <c r="G16" s="2425"/>
      <c r="H16" s="2425"/>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6"/>
      <c r="AK16" s="540"/>
      <c r="AL16" s="540"/>
      <c r="AM16" s="540"/>
      <c r="AN16" s="535"/>
      <c r="AO16" s="550">
        <f>IF($B25="yes",20,0)</f>
        <v>0</v>
      </c>
      <c r="AP16" s="14"/>
    </row>
    <row r="17" spans="1:42" s="536" customFormat="1" ht="12.75" customHeight="1">
      <c r="A17" s="540"/>
      <c r="B17" s="540"/>
      <c r="C17" s="540"/>
      <c r="D17" s="551"/>
      <c r="E17" s="2427"/>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9"/>
      <c r="AK17" s="540"/>
      <c r="AL17" s="540"/>
      <c r="AM17" s="540"/>
      <c r="AN17" s="535"/>
      <c r="AO17" s="550">
        <f>IF($B28="yes",20,0)</f>
        <v>0</v>
      </c>
    </row>
    <row r="18" spans="1:42" s="536" customFormat="1" ht="12.75" customHeight="1">
      <c r="A18" s="540"/>
      <c r="B18" s="540"/>
      <c r="C18" s="540"/>
      <c r="D18" s="551"/>
      <c r="E18" s="2427"/>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9"/>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55"/>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13" t="s">
        <v>591</v>
      </c>
      <c r="C22" s="2413"/>
      <c r="D22" s="547"/>
      <c r="E22" s="2449" t="s">
        <v>1310</v>
      </c>
      <c r="F22" s="2450"/>
      <c r="G22" s="2450"/>
      <c r="H22" s="2450"/>
      <c r="I22" s="2450"/>
      <c r="J22" s="2450"/>
      <c r="K22" s="2450"/>
      <c r="L22" s="2450"/>
      <c r="M22" s="2450"/>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1"/>
      <c r="AK22" s="540"/>
      <c r="AL22" s="540"/>
      <c r="AM22" s="540"/>
      <c r="AN22" s="535"/>
      <c r="AO22" s="550">
        <f>IF($B40="yes",14,0)</f>
        <v>0</v>
      </c>
    </row>
    <row r="23" spans="1:42" s="536" customFormat="1" ht="12.75" customHeight="1">
      <c r="A23" s="540"/>
      <c r="B23" s="540"/>
      <c r="C23" s="540"/>
      <c r="D23" s="550"/>
      <c r="E23" s="2452"/>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13" t="s">
        <v>591</v>
      </c>
      <c r="C25" s="2413"/>
      <c r="D25" s="547"/>
      <c r="E25" s="2414" t="s">
        <v>2033</v>
      </c>
      <c r="F25" s="2415"/>
      <c r="G25" s="2415"/>
      <c r="H25" s="2415"/>
      <c r="I25" s="2415"/>
      <c r="J25" s="2415"/>
      <c r="K25" s="2415"/>
      <c r="L25" s="2415"/>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6"/>
      <c r="AK25" s="540"/>
      <c r="AL25" s="540"/>
      <c r="AM25" s="540"/>
      <c r="AN25" s="535"/>
      <c r="AO25" s="550">
        <f>IF($B45="yes",6,0)</f>
        <v>0</v>
      </c>
    </row>
    <row r="26" spans="1:42" s="536" customFormat="1" ht="12.75" customHeight="1">
      <c r="A26" s="540"/>
      <c r="B26" s="540"/>
      <c r="C26" s="540"/>
      <c r="D26" s="550"/>
      <c r="E26" s="2417"/>
      <c r="F26" s="2418"/>
      <c r="G26" s="2418"/>
      <c r="H26" s="2418"/>
      <c r="I26" s="2418"/>
      <c r="J26" s="2418"/>
      <c r="K26" s="2418"/>
      <c r="L26" s="2418"/>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13" t="s">
        <v>591</v>
      </c>
      <c r="C28" s="2413"/>
      <c r="D28" s="547"/>
      <c r="E28" s="2437" t="s">
        <v>2248</v>
      </c>
      <c r="F28" s="2438"/>
      <c r="G28" s="2438"/>
      <c r="H28" s="2438"/>
      <c r="I28" s="2438"/>
      <c r="J28" s="2438"/>
      <c r="K28" s="2438"/>
      <c r="L28" s="2438"/>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13" t="s">
        <v>591</v>
      </c>
      <c r="C33" s="2413"/>
      <c r="D33" s="547"/>
      <c r="E33" s="2449" t="s">
        <v>2250</v>
      </c>
      <c r="F33" s="2450"/>
      <c r="G33" s="2450"/>
      <c r="H33" s="2450"/>
      <c r="I33" s="2450"/>
      <c r="J33" s="2450"/>
      <c r="K33" s="2450"/>
      <c r="L33" s="2450"/>
      <c r="M33" s="2450"/>
      <c r="N33" s="2450"/>
      <c r="O33" s="2450"/>
      <c r="P33" s="2450"/>
      <c r="Q33" s="2450"/>
      <c r="R33" s="2450"/>
      <c r="S33" s="2450"/>
      <c r="T33" s="2450"/>
      <c r="U33" s="2450"/>
      <c r="V33" s="2450"/>
      <c r="W33" s="2450"/>
      <c r="X33" s="2450"/>
      <c r="Y33" s="2450"/>
      <c r="Z33" s="2450"/>
      <c r="AA33" s="2450"/>
      <c r="AB33" s="2450"/>
      <c r="AC33" s="2450"/>
      <c r="AD33" s="2450"/>
      <c r="AE33" s="2450"/>
      <c r="AF33" s="2450"/>
      <c r="AG33" s="2450"/>
      <c r="AH33" s="2450"/>
      <c r="AI33" s="2450"/>
      <c r="AJ33" s="2451"/>
      <c r="AK33" s="540"/>
      <c r="AL33" s="540"/>
      <c r="AM33" s="540"/>
      <c r="AN33" s="535"/>
      <c r="AO33" s="550"/>
    </row>
    <row r="34" spans="1:41" s="536" customFormat="1" ht="12.75" customHeight="1">
      <c r="A34" s="540"/>
      <c r="B34" s="540"/>
      <c r="C34" s="540"/>
      <c r="E34" s="2452"/>
      <c r="F34" s="2453"/>
      <c r="G34" s="2453"/>
      <c r="H34" s="2453"/>
      <c r="I34" s="2453"/>
      <c r="J34" s="2453"/>
      <c r="K34" s="2453"/>
      <c r="L34" s="2453"/>
      <c r="M34" s="2453"/>
      <c r="N34" s="2453"/>
      <c r="O34" s="2453"/>
      <c r="P34" s="2453"/>
      <c r="Q34" s="2453"/>
      <c r="R34" s="2453"/>
      <c r="S34" s="2453"/>
      <c r="T34" s="2453"/>
      <c r="U34" s="2453"/>
      <c r="V34" s="2453"/>
      <c r="W34" s="2453"/>
      <c r="X34" s="2453"/>
      <c r="Y34" s="2453"/>
      <c r="Z34" s="2453"/>
      <c r="AA34" s="2453"/>
      <c r="AB34" s="2453"/>
      <c r="AC34" s="2453"/>
      <c r="AD34" s="2453"/>
      <c r="AE34" s="2453"/>
      <c r="AF34" s="2453"/>
      <c r="AG34" s="2453"/>
      <c r="AH34" s="2453"/>
      <c r="AI34" s="2453"/>
      <c r="AJ34" s="245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13" t="s">
        <v>591</v>
      </c>
      <c r="C36" s="2413"/>
      <c r="D36" s="547"/>
      <c r="E36" s="2414" t="s">
        <v>2251</v>
      </c>
      <c r="F36" s="2415"/>
      <c r="G36" s="2415"/>
      <c r="H36" s="2415"/>
      <c r="I36" s="2415"/>
      <c r="J36" s="2415"/>
      <c r="K36" s="2415"/>
      <c r="L36" s="2415"/>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6"/>
      <c r="AK36" s="540"/>
      <c r="AL36" s="540"/>
      <c r="AM36" s="540"/>
      <c r="AN36" s="535"/>
    </row>
    <row r="37" spans="1:41" s="536" customFormat="1" ht="12.75" customHeight="1">
      <c r="A37" s="540"/>
      <c r="B37" s="540"/>
      <c r="C37" s="540"/>
      <c r="E37" s="2420"/>
      <c r="F37" s="2421"/>
      <c r="G37" s="2421"/>
      <c r="H37" s="2421"/>
      <c r="I37" s="2421"/>
      <c r="J37" s="2421"/>
      <c r="K37" s="2421"/>
      <c r="L37" s="2421"/>
      <c r="M37" s="2421"/>
      <c r="N37" s="2421"/>
      <c r="O37" s="2421"/>
      <c r="P37" s="2421"/>
      <c r="Q37" s="2421"/>
      <c r="R37" s="2421"/>
      <c r="S37" s="2421"/>
      <c r="T37" s="2421"/>
      <c r="U37" s="2421"/>
      <c r="V37" s="2421"/>
      <c r="W37" s="2421"/>
      <c r="X37" s="2421"/>
      <c r="Y37" s="2421"/>
      <c r="Z37" s="2421"/>
      <c r="AA37" s="2421"/>
      <c r="AB37" s="2421"/>
      <c r="AC37" s="2421"/>
      <c r="AD37" s="2421"/>
      <c r="AE37" s="2421"/>
      <c r="AF37" s="2421"/>
      <c r="AG37" s="2421"/>
      <c r="AH37" s="2421"/>
      <c r="AI37" s="2421"/>
      <c r="AJ37" s="2422"/>
      <c r="AK37" s="540"/>
      <c r="AL37" s="540"/>
      <c r="AM37" s="540"/>
      <c r="AN37" s="535"/>
    </row>
    <row r="38" spans="1:41" s="536" customFormat="1" ht="12.75" customHeight="1">
      <c r="A38" s="540"/>
      <c r="B38" s="540"/>
      <c r="C38" s="540"/>
      <c r="E38" s="2417"/>
      <c r="F38" s="2418"/>
      <c r="G38" s="2418"/>
      <c r="H38" s="2418"/>
      <c r="I38" s="2418"/>
      <c r="J38" s="2418"/>
      <c r="K38" s="2418"/>
      <c r="L38" s="2418"/>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13" t="s">
        <v>591</v>
      </c>
      <c r="C40" s="2413"/>
      <c r="D40" s="547"/>
      <c r="E40" s="2414" t="s">
        <v>2249</v>
      </c>
      <c r="F40" s="2415"/>
      <c r="G40" s="2415"/>
      <c r="H40" s="2415"/>
      <c r="I40" s="2415"/>
      <c r="J40" s="2415"/>
      <c r="K40" s="2415"/>
      <c r="L40" s="241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6"/>
      <c r="AK40" s="540"/>
      <c r="AL40" s="540"/>
      <c r="AM40" s="540"/>
      <c r="AN40" s="535"/>
    </row>
    <row r="41" spans="1:41" s="536" customFormat="1" ht="12.75" customHeight="1">
      <c r="A41" s="540"/>
      <c r="B41" s="540"/>
      <c r="C41" s="540"/>
      <c r="E41" s="2417"/>
      <c r="F41" s="2418"/>
      <c r="G41" s="2418"/>
      <c r="H41" s="2418"/>
      <c r="I41" s="2418"/>
      <c r="J41" s="2418"/>
      <c r="K41" s="2418"/>
      <c r="L41" s="2418"/>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13" t="s">
        <v>591</v>
      </c>
      <c r="C45" s="2413"/>
      <c r="D45" s="1142"/>
      <c r="E45" s="2414" t="s">
        <v>2008</v>
      </c>
      <c r="F45" s="2415"/>
      <c r="G45" s="2415"/>
      <c r="H45" s="2415"/>
      <c r="I45" s="2415"/>
      <c r="J45" s="2415"/>
      <c r="K45" s="2415"/>
      <c r="L45" s="2415"/>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6"/>
      <c r="AK45" s="1142"/>
      <c r="AL45" s="540"/>
      <c r="AM45" s="540"/>
      <c r="AN45" s="535"/>
    </row>
    <row r="46" spans="1:41" s="536" customFormat="1" ht="12.75" customHeight="1">
      <c r="A46" s="540"/>
      <c r="B46" s="540"/>
      <c r="C46" s="540"/>
      <c r="E46" s="2420"/>
      <c r="F46" s="2421"/>
      <c r="G46" s="2421"/>
      <c r="H46" s="2421"/>
      <c r="I46" s="2421"/>
      <c r="J46" s="2421"/>
      <c r="K46" s="2421"/>
      <c r="L46" s="2421"/>
      <c r="M46" s="2421"/>
      <c r="N46" s="2421"/>
      <c r="O46" s="2421"/>
      <c r="P46" s="2421"/>
      <c r="Q46" s="2421"/>
      <c r="R46" s="2421"/>
      <c r="S46" s="2421"/>
      <c r="T46" s="2421"/>
      <c r="U46" s="2421"/>
      <c r="V46" s="2421"/>
      <c r="W46" s="2421"/>
      <c r="X46" s="2421"/>
      <c r="Y46" s="2421"/>
      <c r="Z46" s="2421"/>
      <c r="AA46" s="2421"/>
      <c r="AB46" s="2421"/>
      <c r="AC46" s="2421"/>
      <c r="AD46" s="2421"/>
      <c r="AE46" s="2421"/>
      <c r="AF46" s="2421"/>
      <c r="AG46" s="2421"/>
      <c r="AH46" s="2421"/>
      <c r="AI46" s="2421"/>
      <c r="AJ46" s="2422"/>
      <c r="AK46" s="540"/>
      <c r="AL46" s="540"/>
      <c r="AM46" s="540"/>
      <c r="AN46" s="535"/>
    </row>
    <row r="47" spans="1:41" s="536" customFormat="1" ht="12.75" customHeight="1">
      <c r="A47" s="540"/>
      <c r="D47" s="547"/>
      <c r="E47" s="2417"/>
      <c r="F47" s="2418"/>
      <c r="G47" s="2418"/>
      <c r="H47" s="2418"/>
      <c r="I47" s="2418"/>
      <c r="J47" s="2418"/>
      <c r="K47" s="2418"/>
      <c r="L47" s="2418"/>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13" t="s">
        <v>591</v>
      </c>
      <c r="C52" s="2413"/>
      <c r="D52" s="540"/>
      <c r="E52" s="2414" t="s">
        <v>2013</v>
      </c>
      <c r="F52" s="2415"/>
      <c r="G52" s="2415"/>
      <c r="H52" s="2415"/>
      <c r="I52" s="2415"/>
      <c r="J52" s="2415"/>
      <c r="K52" s="2415"/>
      <c r="L52" s="2415"/>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6"/>
      <c r="AK52" s="540"/>
      <c r="AL52" s="540"/>
      <c r="AM52" s="540"/>
      <c r="AN52" s="535"/>
      <c r="AO52" s="559"/>
    </row>
    <row r="53" spans="1:50" s="536" customFormat="1" ht="12.75" customHeight="1">
      <c r="A53" s="540"/>
      <c r="D53" s="547"/>
      <c r="E53" s="2420"/>
      <c r="F53" s="2421"/>
      <c r="G53" s="2421"/>
      <c r="H53" s="2421"/>
      <c r="I53" s="2421"/>
      <c r="J53" s="2421"/>
      <c r="K53" s="2421"/>
      <c r="L53" s="2421"/>
      <c r="M53" s="2421"/>
      <c r="N53" s="2421"/>
      <c r="O53" s="2421"/>
      <c r="P53" s="2421"/>
      <c r="Q53" s="2421"/>
      <c r="R53" s="2421"/>
      <c r="S53" s="2421"/>
      <c r="T53" s="2421"/>
      <c r="U53" s="2421"/>
      <c r="V53" s="2421"/>
      <c r="W53" s="2421"/>
      <c r="X53" s="2421"/>
      <c r="Y53" s="2421"/>
      <c r="Z53" s="2421"/>
      <c r="AA53" s="2421"/>
      <c r="AB53" s="2421"/>
      <c r="AC53" s="2421"/>
      <c r="AD53" s="2421"/>
      <c r="AE53" s="2421"/>
      <c r="AF53" s="2421"/>
      <c r="AG53" s="2421"/>
      <c r="AH53" s="2421"/>
      <c r="AI53" s="2421"/>
      <c r="AJ53" s="2422"/>
      <c r="AK53" s="540"/>
      <c r="AL53" s="540"/>
      <c r="AM53" s="540"/>
      <c r="AN53" s="535"/>
      <c r="AO53" s="559"/>
    </row>
    <row r="54" spans="1:50" s="536" customFormat="1" ht="12.75" customHeight="1">
      <c r="A54" s="540"/>
      <c r="D54" s="540"/>
      <c r="E54" s="2417"/>
      <c r="F54" s="2418"/>
      <c r="G54" s="2418"/>
      <c r="H54" s="2418"/>
      <c r="I54" s="2418"/>
      <c r="J54" s="2418"/>
      <c r="K54" s="2418"/>
      <c r="L54" s="2418"/>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13" t="s">
        <v>591</v>
      </c>
      <c r="C56" s="2413"/>
      <c r="D56" s="540"/>
      <c r="E56" s="2434" t="s">
        <v>2014</v>
      </c>
      <c r="F56" s="2435"/>
      <c r="G56" s="2435"/>
      <c r="H56" s="2435"/>
      <c r="I56" s="2435"/>
      <c r="J56" s="2435"/>
      <c r="K56" s="2435"/>
      <c r="L56" s="2435"/>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13" t="s">
        <v>591</v>
      </c>
      <c r="C58" s="2413"/>
      <c r="D58" s="540"/>
      <c r="E58" s="2414" t="s">
        <v>2015</v>
      </c>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6"/>
      <c r="AK58" s="540"/>
      <c r="AL58" s="540"/>
      <c r="AM58" s="540"/>
      <c r="AN58" s="535"/>
    </row>
    <row r="59" spans="1:50" s="536" customFormat="1" ht="12.75" customHeight="1">
      <c r="A59" s="540"/>
      <c r="B59" s="547"/>
      <c r="C59" s="547"/>
      <c r="D59" s="547"/>
      <c r="E59" s="2417"/>
      <c r="F59" s="2418"/>
      <c r="G59" s="2418"/>
      <c r="H59" s="2418"/>
      <c r="I59" s="2418"/>
      <c r="J59" s="2418"/>
      <c r="K59" s="2418"/>
      <c r="L59" s="2418"/>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46">
        <f>AO39</f>
        <v>0</v>
      </c>
      <c r="AL62" s="2447"/>
      <c r="AM62" s="244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23" t="s">
        <v>1314</v>
      </c>
      <c r="AF65" s="2423"/>
      <c r="AG65" s="2423"/>
      <c r="AH65" s="2423"/>
      <c r="AI65" s="2423"/>
      <c r="AJ65" s="2423"/>
      <c r="AK65" s="2423"/>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13" t="s">
        <v>545</v>
      </c>
      <c r="C68" s="2413"/>
      <c r="D68" s="547" t="s">
        <v>1315</v>
      </c>
      <c r="E68" s="2424" t="s">
        <v>2016</v>
      </c>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6"/>
      <c r="AK68" s="543"/>
      <c r="AL68" s="540"/>
      <c r="AM68" s="540"/>
      <c r="AN68" s="535"/>
      <c r="AO68" s="550">
        <f>IF($B68="yes",10,0)</f>
        <v>10</v>
      </c>
    </row>
    <row r="69" spans="1:42" s="536" customFormat="1" ht="12.75" customHeight="1">
      <c r="A69" s="538"/>
      <c r="B69" s="540"/>
      <c r="C69" s="540"/>
      <c r="D69" s="551"/>
      <c r="E69" s="2427"/>
      <c r="F69" s="2428"/>
      <c r="G69" s="2428"/>
      <c r="H69" s="2428"/>
      <c r="I69" s="2428"/>
      <c r="J69" s="2428"/>
      <c r="K69" s="2428"/>
      <c r="L69" s="2428"/>
      <c r="M69" s="2428"/>
      <c r="N69" s="2428"/>
      <c r="O69" s="2428"/>
      <c r="P69" s="2428"/>
      <c r="Q69" s="2428"/>
      <c r="R69" s="2428"/>
      <c r="S69" s="2428"/>
      <c r="T69" s="2428"/>
      <c r="U69" s="2428"/>
      <c r="V69" s="2428"/>
      <c r="W69" s="2428"/>
      <c r="X69" s="2428"/>
      <c r="Y69" s="2428"/>
      <c r="Z69" s="2428"/>
      <c r="AA69" s="2428"/>
      <c r="AB69" s="2428"/>
      <c r="AC69" s="2428"/>
      <c r="AD69" s="2428"/>
      <c r="AE69" s="2428"/>
      <c r="AF69" s="2428"/>
      <c r="AG69" s="2428"/>
      <c r="AH69" s="2428"/>
      <c r="AI69" s="2428"/>
      <c r="AJ69" s="2429"/>
      <c r="AK69" s="543"/>
      <c r="AL69" s="540"/>
      <c r="AM69" s="540"/>
      <c r="AN69" s="535"/>
      <c r="AO69" s="550">
        <f>IF($B74="yes",10,0)</f>
        <v>0</v>
      </c>
    </row>
    <row r="70" spans="1:42" s="536" customFormat="1" ht="12.75" customHeight="1">
      <c r="A70" s="538"/>
      <c r="B70" s="540"/>
      <c r="C70" s="540"/>
      <c r="D70" s="551"/>
      <c r="E70" s="2427"/>
      <c r="F70" s="2428"/>
      <c r="G70" s="2428"/>
      <c r="H70" s="2428"/>
      <c r="I70" s="2428"/>
      <c r="J70" s="2428"/>
      <c r="K70" s="2428"/>
      <c r="L70" s="2428"/>
      <c r="M70" s="2428"/>
      <c r="N70" s="2428"/>
      <c r="O70" s="2428"/>
      <c r="P70" s="2428"/>
      <c r="Q70" s="2428"/>
      <c r="R70" s="2428"/>
      <c r="S70" s="2428"/>
      <c r="T70" s="2428"/>
      <c r="U70" s="2428"/>
      <c r="V70" s="2428"/>
      <c r="W70" s="2428"/>
      <c r="X70" s="2428"/>
      <c r="Y70" s="2428"/>
      <c r="Z70" s="2428"/>
      <c r="AA70" s="2428"/>
      <c r="AB70" s="2428"/>
      <c r="AC70" s="2428"/>
      <c r="AD70" s="2428"/>
      <c r="AE70" s="2428"/>
      <c r="AF70" s="2428"/>
      <c r="AG70" s="2428"/>
      <c r="AH70" s="2428"/>
      <c r="AI70" s="2428"/>
      <c r="AJ70" s="2429"/>
      <c r="AK70" s="543"/>
      <c r="AL70" s="540"/>
      <c r="AM70" s="540"/>
      <c r="AN70" s="535"/>
      <c r="AO70" s="550">
        <f>IF($B81="yes",10,0)</f>
        <v>0</v>
      </c>
    </row>
    <row r="71" spans="1:42" s="536" customFormat="1" ht="12.75" customHeight="1">
      <c r="A71" s="538"/>
      <c r="B71" s="540"/>
      <c r="C71" s="540"/>
      <c r="D71" s="551"/>
      <c r="E71" s="2427"/>
      <c r="F71" s="2428"/>
      <c r="G71" s="2428"/>
      <c r="H71" s="2428"/>
      <c r="I71" s="2428"/>
      <c r="J71" s="2428"/>
      <c r="K71" s="2428"/>
      <c r="L71" s="2428"/>
      <c r="M71" s="2428"/>
      <c r="N71" s="2428"/>
      <c r="O71" s="2428"/>
      <c r="P71" s="2428"/>
      <c r="Q71" s="2428"/>
      <c r="R71" s="2428"/>
      <c r="S71" s="2428"/>
      <c r="T71" s="2428"/>
      <c r="U71" s="2428"/>
      <c r="V71" s="2428"/>
      <c r="W71" s="2428"/>
      <c r="X71" s="2428"/>
      <c r="Y71" s="2428"/>
      <c r="Z71" s="2428"/>
      <c r="AA71" s="2428"/>
      <c r="AB71" s="2428"/>
      <c r="AC71" s="2428"/>
      <c r="AD71" s="2428"/>
      <c r="AE71" s="2428"/>
      <c r="AF71" s="2428"/>
      <c r="AG71" s="2428"/>
      <c r="AH71" s="2428"/>
      <c r="AI71" s="2428"/>
      <c r="AJ71" s="2429"/>
      <c r="AK71" s="543"/>
      <c r="AL71" s="540"/>
      <c r="AM71" s="540"/>
      <c r="AN71" s="535"/>
      <c r="AO71" s="536">
        <f>IF(SUM(AO68:AO70)&gt;10,10,(SUM(AO68:AO70)))</f>
        <v>10</v>
      </c>
      <c r="AP71" s="574" t="s">
        <v>1316</v>
      </c>
    </row>
    <row r="72" spans="1:42" s="536" customFormat="1" ht="12.75" customHeight="1">
      <c r="A72" s="538"/>
      <c r="B72" s="540"/>
      <c r="C72" s="540"/>
      <c r="D72" s="551"/>
      <c r="E72" s="2430"/>
      <c r="F72" s="2431"/>
      <c r="G72" s="2431"/>
      <c r="H72" s="2431"/>
      <c r="I72" s="2431"/>
      <c r="J72" s="2431"/>
      <c r="K72" s="2431"/>
      <c r="L72" s="2431"/>
      <c r="M72" s="2431"/>
      <c r="N72" s="2431"/>
      <c r="O72" s="2431"/>
      <c r="P72" s="2431"/>
      <c r="Q72" s="2431"/>
      <c r="R72" s="2431"/>
      <c r="S72" s="2431"/>
      <c r="T72" s="2431"/>
      <c r="U72" s="2431"/>
      <c r="V72" s="2431"/>
      <c r="W72" s="2431"/>
      <c r="X72" s="2431"/>
      <c r="Y72" s="2431"/>
      <c r="Z72" s="2431"/>
      <c r="AA72" s="2431"/>
      <c r="AB72" s="2431"/>
      <c r="AC72" s="2431"/>
      <c r="AD72" s="2431"/>
      <c r="AE72" s="2431"/>
      <c r="AF72" s="2431"/>
      <c r="AG72" s="2431"/>
      <c r="AH72" s="2431"/>
      <c r="AI72" s="2431"/>
      <c r="AJ72" s="243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13" t="s">
        <v>591</v>
      </c>
      <c r="C74" s="241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33" t="s">
        <v>591</v>
      </c>
      <c r="F75" s="241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11" t="s">
        <v>591</v>
      </c>
      <c r="F76" s="2412"/>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11" t="s">
        <v>591</v>
      </c>
      <c r="F77" s="2412"/>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33" t="s">
        <v>591</v>
      </c>
      <c r="F79" s="241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13" t="s">
        <v>591</v>
      </c>
      <c r="C81" s="2413"/>
      <c r="D81" s="547" t="s">
        <v>1320</v>
      </c>
      <c r="E81" s="2414" t="s">
        <v>1740</v>
      </c>
      <c r="F81" s="2415"/>
      <c r="G81" s="2415"/>
      <c r="H81" s="2415"/>
      <c r="I81" s="2415"/>
      <c r="J81" s="2415"/>
      <c r="K81" s="2415"/>
      <c r="L81" s="2415"/>
      <c r="M81" s="2415"/>
      <c r="N81" s="2415"/>
      <c r="O81" s="2415"/>
      <c r="P81" s="2415"/>
      <c r="Q81" s="2415"/>
      <c r="R81" s="2415"/>
      <c r="S81" s="2415"/>
      <c r="T81" s="2415"/>
      <c r="U81" s="2415"/>
      <c r="V81" s="2415"/>
      <c r="W81" s="2415"/>
      <c r="X81" s="2415"/>
      <c r="Y81" s="2415"/>
      <c r="Z81" s="2415"/>
      <c r="AA81" s="2415"/>
      <c r="AB81" s="2415"/>
      <c r="AC81" s="2415"/>
      <c r="AD81" s="2415"/>
      <c r="AE81" s="2415"/>
      <c r="AF81" s="2415"/>
      <c r="AG81" s="2415"/>
      <c r="AH81" s="2415"/>
      <c r="AI81" s="2415"/>
      <c r="AJ81" s="2416"/>
      <c r="AK81" s="543"/>
      <c r="AL81" s="540"/>
      <c r="AM81" s="540"/>
      <c r="AN81" s="535"/>
    </row>
    <row r="82" spans="1:43" s="536" customFormat="1" ht="12.75" customHeight="1">
      <c r="A82" s="538"/>
      <c r="B82" s="540"/>
      <c r="C82" s="540"/>
      <c r="D82" s="550"/>
      <c r="E82" s="2417"/>
      <c r="F82" s="2418"/>
      <c r="G82" s="2418"/>
      <c r="H82" s="2418"/>
      <c r="I82" s="2418"/>
      <c r="J82" s="2418"/>
      <c r="K82" s="2418"/>
      <c r="L82" s="2418"/>
      <c r="M82" s="2418"/>
      <c r="N82" s="2418"/>
      <c r="O82" s="2418"/>
      <c r="P82" s="2418"/>
      <c r="Q82" s="2418"/>
      <c r="R82" s="2418"/>
      <c r="S82" s="2418"/>
      <c r="T82" s="2418"/>
      <c r="U82" s="2418"/>
      <c r="V82" s="2418"/>
      <c r="W82" s="2418"/>
      <c r="X82" s="2418"/>
      <c r="Y82" s="2418"/>
      <c r="Z82" s="2418"/>
      <c r="AA82" s="2418"/>
      <c r="AB82" s="2418"/>
      <c r="AC82" s="2418"/>
      <c r="AD82" s="2418"/>
      <c r="AE82" s="2418"/>
      <c r="AF82" s="2418"/>
      <c r="AG82" s="2418"/>
      <c r="AH82" s="2418"/>
      <c r="AI82" s="2418"/>
      <c r="AJ82" s="241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46">
        <f>IF(AK62&gt;0,0,AO71)</f>
        <v>10</v>
      </c>
      <c r="AL84" s="2447"/>
      <c r="AM84" s="244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23" t="s">
        <v>1305</v>
      </c>
      <c r="AF87" s="2423"/>
      <c r="AG87" s="2423"/>
      <c r="AH87" s="2423"/>
      <c r="AI87" s="2423"/>
      <c r="AJ87" s="2423"/>
      <c r="AK87" s="2423"/>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13" t="s">
        <v>591</v>
      </c>
      <c r="C90" s="2413"/>
      <c r="D90" s="547" t="s">
        <v>1315</v>
      </c>
      <c r="E90" s="2424" t="s">
        <v>1325</v>
      </c>
      <c r="F90" s="2425"/>
      <c r="G90" s="2425"/>
      <c r="H90" s="2425"/>
      <c r="I90" s="2425"/>
      <c r="J90" s="2425"/>
      <c r="K90" s="2425"/>
      <c r="L90" s="2425"/>
      <c r="M90" s="2425"/>
      <c r="N90" s="2425"/>
      <c r="O90" s="2425"/>
      <c r="P90" s="2425"/>
      <c r="Q90" s="2425"/>
      <c r="R90" s="2425"/>
      <c r="S90" s="2425"/>
      <c r="T90" s="2425"/>
      <c r="U90" s="2425"/>
      <c r="V90" s="2425"/>
      <c r="W90" s="2425"/>
      <c r="X90" s="2425"/>
      <c r="Y90" s="2425"/>
      <c r="Z90" s="2425"/>
      <c r="AA90" s="2425"/>
      <c r="AB90" s="2425"/>
      <c r="AC90" s="2425"/>
      <c r="AD90" s="2425"/>
      <c r="AE90" s="2425"/>
      <c r="AF90" s="2425"/>
      <c r="AG90" s="2425"/>
      <c r="AH90" s="2425"/>
      <c r="AI90" s="2425"/>
      <c r="AJ90" s="2426"/>
      <c r="AK90" s="543"/>
      <c r="AL90" s="540"/>
      <c r="AM90" s="540"/>
      <c r="AN90" s="535"/>
    </row>
    <row r="91" spans="1:43" s="536" customFormat="1" ht="12.75" customHeight="1">
      <c r="A91" s="538"/>
      <c r="B91" s="539"/>
      <c r="C91" s="539"/>
      <c r="D91" s="539"/>
      <c r="E91" s="2427"/>
      <c r="F91" s="2428"/>
      <c r="G91" s="2428"/>
      <c r="H91" s="2428"/>
      <c r="I91" s="2428"/>
      <c r="J91" s="2428"/>
      <c r="K91" s="2428"/>
      <c r="L91" s="2428"/>
      <c r="M91" s="2428"/>
      <c r="N91" s="2428"/>
      <c r="O91" s="2428"/>
      <c r="P91" s="2428"/>
      <c r="Q91" s="2428"/>
      <c r="R91" s="2428"/>
      <c r="S91" s="2428"/>
      <c r="T91" s="2428"/>
      <c r="U91" s="2428"/>
      <c r="V91" s="2428"/>
      <c r="W91" s="2428"/>
      <c r="X91" s="2428"/>
      <c r="Y91" s="2428"/>
      <c r="Z91" s="2428"/>
      <c r="AA91" s="2428"/>
      <c r="AB91" s="2428"/>
      <c r="AC91" s="2428"/>
      <c r="AD91" s="2428"/>
      <c r="AE91" s="2428"/>
      <c r="AF91" s="2428"/>
      <c r="AG91" s="2428"/>
      <c r="AH91" s="2428"/>
      <c r="AI91" s="2428"/>
      <c r="AJ91" s="242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7">
        <f>Application!AC753</f>
        <v>0.47500000000000003</v>
      </c>
      <c r="F93" s="2408"/>
      <c r="G93" s="2408"/>
      <c r="H93" s="240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9">
        <f>0.6-ROUNDUP(E93,2)</f>
        <v>0.12</v>
      </c>
      <c r="F94" s="2410"/>
      <c r="G94" s="2410"/>
      <c r="H94" s="2410"/>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40">
        <f>IF(E94*200&gt;20,20,E94*200)</f>
        <v>20</v>
      </c>
      <c r="F95" s="2441"/>
      <c r="G95" s="2441"/>
      <c r="H95" s="2441"/>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13" t="s">
        <v>545</v>
      </c>
      <c r="C98" s="2413"/>
      <c r="D98" s="547" t="s">
        <v>1317</v>
      </c>
      <c r="E98" s="2424" t="s">
        <v>1725</v>
      </c>
      <c r="F98" s="2425"/>
      <c r="G98" s="2425"/>
      <c r="H98" s="2425"/>
      <c r="I98" s="2425"/>
      <c r="J98" s="2425"/>
      <c r="K98" s="2425"/>
      <c r="L98" s="2425"/>
      <c r="M98" s="2425"/>
      <c r="N98" s="2425"/>
      <c r="O98" s="2425"/>
      <c r="P98" s="2425"/>
      <c r="Q98" s="2425"/>
      <c r="R98" s="2425"/>
      <c r="S98" s="2425"/>
      <c r="T98" s="2425"/>
      <c r="U98" s="2425"/>
      <c r="V98" s="2425"/>
      <c r="W98" s="2425"/>
      <c r="X98" s="2425"/>
      <c r="Y98" s="2425"/>
      <c r="Z98" s="2425"/>
      <c r="AA98" s="2425"/>
      <c r="AB98" s="2425"/>
      <c r="AC98" s="2425"/>
      <c r="AD98" s="2425"/>
      <c r="AE98" s="2425"/>
      <c r="AF98" s="2425"/>
      <c r="AG98" s="2425"/>
      <c r="AH98" s="2425"/>
      <c r="AI98" s="2425"/>
      <c r="AJ98" s="2426"/>
      <c r="AK98" s="543"/>
      <c r="AL98" s="540"/>
      <c r="AM98" s="540"/>
      <c r="AN98" s="535"/>
    </row>
    <row r="99" spans="1:47" s="536" customFormat="1" ht="12.75" customHeight="1">
      <c r="A99" s="538"/>
      <c r="B99" s="539"/>
      <c r="C99" s="539"/>
      <c r="D99" s="539"/>
      <c r="E99" s="2427"/>
      <c r="F99" s="2428"/>
      <c r="G99" s="2428"/>
      <c r="H99" s="2428"/>
      <c r="I99" s="2428"/>
      <c r="J99" s="2428"/>
      <c r="K99" s="2428"/>
      <c r="L99" s="2428"/>
      <c r="M99" s="2428"/>
      <c r="N99" s="2428"/>
      <c r="O99" s="2428"/>
      <c r="P99" s="2428"/>
      <c r="Q99" s="2428"/>
      <c r="R99" s="2428"/>
      <c r="S99" s="2428"/>
      <c r="T99" s="2428"/>
      <c r="U99" s="2428"/>
      <c r="V99" s="2428"/>
      <c r="W99" s="2428"/>
      <c r="X99" s="2428"/>
      <c r="Y99" s="2428"/>
      <c r="Z99" s="2428"/>
      <c r="AA99" s="2428"/>
      <c r="AB99" s="2428"/>
      <c r="AC99" s="2428"/>
      <c r="AD99" s="2428"/>
      <c r="AE99" s="2428"/>
      <c r="AF99" s="2428"/>
      <c r="AG99" s="2428"/>
      <c r="AH99" s="2428"/>
      <c r="AI99" s="2428"/>
      <c r="AJ99" s="2429"/>
      <c r="AK99" s="543"/>
      <c r="AL99" s="540"/>
      <c r="AM99" s="540"/>
      <c r="AN99" s="535"/>
    </row>
    <row r="100" spans="1:47" s="536" customFormat="1" ht="12.75" customHeight="1">
      <c r="A100" s="538"/>
      <c r="B100" s="539"/>
      <c r="C100" s="539"/>
      <c r="D100" s="539"/>
      <c r="E100" s="2427"/>
      <c r="F100" s="2428"/>
      <c r="G100" s="2428"/>
      <c r="H100" s="2428"/>
      <c r="I100" s="2428"/>
      <c r="J100" s="2428"/>
      <c r="K100" s="2428"/>
      <c r="L100" s="2428"/>
      <c r="M100" s="2428"/>
      <c r="N100" s="2428"/>
      <c r="O100" s="2428"/>
      <c r="P100" s="2428"/>
      <c r="Q100" s="2428"/>
      <c r="R100" s="2428"/>
      <c r="S100" s="2428"/>
      <c r="T100" s="2428"/>
      <c r="U100" s="2428"/>
      <c r="V100" s="2428"/>
      <c r="W100" s="2428"/>
      <c r="X100" s="2428"/>
      <c r="Y100" s="2428"/>
      <c r="Z100" s="2428"/>
      <c r="AA100" s="2428"/>
      <c r="AB100" s="2428"/>
      <c r="AC100" s="2428"/>
      <c r="AD100" s="2428"/>
      <c r="AE100" s="2428"/>
      <c r="AF100" s="2428"/>
      <c r="AG100" s="2428"/>
      <c r="AH100" s="2428"/>
      <c r="AI100" s="2428"/>
      <c r="AJ100" s="2429"/>
      <c r="AK100" s="543"/>
      <c r="AL100" s="540"/>
      <c r="AM100" s="540"/>
      <c r="AN100" s="535"/>
    </row>
    <row r="101" spans="1:47" s="536" customFormat="1" ht="12.75" customHeight="1">
      <c r="A101" s="538"/>
      <c r="B101" s="539"/>
      <c r="C101" s="539"/>
      <c r="D101" s="539"/>
      <c r="E101" s="2427"/>
      <c r="F101" s="2428"/>
      <c r="G101" s="2428"/>
      <c r="H101" s="2428"/>
      <c r="I101" s="2428"/>
      <c r="J101" s="2428"/>
      <c r="K101" s="2428"/>
      <c r="L101" s="2428"/>
      <c r="M101" s="2428"/>
      <c r="N101" s="2428"/>
      <c r="O101" s="2428"/>
      <c r="P101" s="2428"/>
      <c r="Q101" s="2428"/>
      <c r="R101" s="2428"/>
      <c r="S101" s="2428"/>
      <c r="T101" s="2428"/>
      <c r="U101" s="2428"/>
      <c r="V101" s="2428"/>
      <c r="W101" s="2428"/>
      <c r="X101" s="2428"/>
      <c r="Y101" s="2428"/>
      <c r="Z101" s="2428"/>
      <c r="AA101" s="2428"/>
      <c r="AB101" s="2428"/>
      <c r="AC101" s="2428"/>
      <c r="AD101" s="2428"/>
      <c r="AE101" s="2428"/>
      <c r="AF101" s="2428"/>
      <c r="AG101" s="2428"/>
      <c r="AH101" s="2428"/>
      <c r="AI101" s="2428"/>
      <c r="AJ101" s="242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7">
        <f>Application!AC753</f>
        <v>0.47500000000000003</v>
      </c>
      <c r="F103" s="2408"/>
      <c r="G103" s="2408"/>
      <c r="H103" s="240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7">
        <f ca="1">SUMIF(Application!AC718:AG752,0.2,Application!G718:J752)/Application!G753+SUMIF(Application!AC718:AG752,0.25,Application!G718:J752)/Application!G753+SUMIF(Application!AC718:AG752,0.3,Application!G718:J752)/Application!G753</f>
        <v>0.20454545454545456</v>
      </c>
      <c r="F104" s="2408"/>
      <c r="G104" s="2408"/>
      <c r="H104" s="240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7">
        <f ca="1">SUMIF(Application!AC718:AG752,0.35,Application!G718:J752)/Application!G753+SUMIF(Application!AC718:AG752,0.4,Application!G718:J752)/Application!G753+SUMIF(Application!AC718:AG752,0.45,Application!G718:J752)/Application!G753+SUMIF(Application!AC718:AG752,0.5,Application!G718:J752)/Application!G753</f>
        <v>0.52272727272727271</v>
      </c>
      <c r="F105" s="2408"/>
      <c r="G105" s="2408"/>
      <c r="H105" s="240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65">
        <f ca="1">IF(AND(E103&lt;=0.6,OR(AND(E104&gt;=0.1,E105&gt;=0.1),AND(E104&gt;0.1,(E104+E105)&gt;=0.2))),20,0)</f>
        <v>20</v>
      </c>
      <c r="F106" s="2466"/>
      <c r="G106" s="2466"/>
      <c r="H106" s="246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46">
        <f ca="1">MAX(AP95,AP106)</f>
        <v>20</v>
      </c>
      <c r="AL109" s="2447"/>
      <c r="AM109" s="244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23" t="s">
        <v>1314</v>
      </c>
      <c r="AF112" s="2423"/>
      <c r="AG112" s="2423"/>
      <c r="AH112" s="2423"/>
      <c r="AI112" s="2423"/>
      <c r="AJ112" s="2423"/>
      <c r="AK112" s="2423"/>
      <c r="AL112" s="540"/>
      <c r="AM112" s="540"/>
      <c r="AN112" s="535"/>
      <c r="AO112" s="536" t="str">
        <f>Application!B718</f>
        <v>1 Bedroom</v>
      </c>
      <c r="AQ112" s="536">
        <f>Application!O718</f>
        <v>1628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1060</v>
      </c>
    </row>
    <row r="115" spans="1:52" s="536" customFormat="1" ht="12.75" customHeight="1">
      <c r="A115" s="540"/>
      <c r="B115" s="2413" t="s">
        <v>545</v>
      </c>
      <c r="C115" s="2413"/>
      <c r="D115" s="547" t="s">
        <v>1315</v>
      </c>
      <c r="E115" s="2424" t="s">
        <v>1857</v>
      </c>
      <c r="F115" s="2425"/>
      <c r="G115" s="2425"/>
      <c r="H115" s="2425"/>
      <c r="I115" s="2425"/>
      <c r="J115" s="2425"/>
      <c r="K115" s="2425"/>
      <c r="L115" s="2425"/>
      <c r="M115" s="2425"/>
      <c r="N115" s="2425"/>
      <c r="O115" s="2425"/>
      <c r="P115" s="2425"/>
      <c r="Q115" s="2425"/>
      <c r="R115" s="2425"/>
      <c r="S115" s="2425"/>
      <c r="T115" s="2425"/>
      <c r="U115" s="2425"/>
      <c r="V115" s="2425"/>
      <c r="W115" s="2425"/>
      <c r="X115" s="2425"/>
      <c r="Y115" s="2425"/>
      <c r="Z115" s="2425"/>
      <c r="AA115" s="2425"/>
      <c r="AB115" s="2425"/>
      <c r="AC115" s="2425"/>
      <c r="AD115" s="2425"/>
      <c r="AE115" s="2425"/>
      <c r="AF115" s="2425"/>
      <c r="AG115" s="2425"/>
      <c r="AH115" s="2425"/>
      <c r="AI115" s="2425"/>
      <c r="AJ115" s="2426"/>
      <c r="AK115" s="540"/>
      <c r="AL115" s="540"/>
      <c r="AM115" s="540"/>
      <c r="AN115" s="535"/>
      <c r="AO115" s="536" t="str">
        <f>Application!B721</f>
        <v>1 Bedroom</v>
      </c>
      <c r="AQ115" s="536">
        <f>Application!O721</f>
        <v>776</v>
      </c>
      <c r="AU115" s="536" t="s">
        <v>1840</v>
      </c>
      <c r="AV115" s="595" t="s">
        <v>1841</v>
      </c>
      <c r="AW115" s="536" t="s">
        <v>1842</v>
      </c>
    </row>
    <row r="116" spans="1:52" s="536" customFormat="1" ht="12.75" customHeight="1">
      <c r="A116" s="540"/>
      <c r="B116" s="539"/>
      <c r="C116" s="539"/>
      <c r="D116" s="539"/>
      <c r="E116" s="2427"/>
      <c r="F116" s="2428"/>
      <c r="G116" s="2428"/>
      <c r="H116" s="2428"/>
      <c r="I116" s="2428"/>
      <c r="J116" s="2428"/>
      <c r="K116" s="2428"/>
      <c r="L116" s="2428"/>
      <c r="M116" s="2428"/>
      <c r="N116" s="2428"/>
      <c r="O116" s="2428"/>
      <c r="P116" s="2428"/>
      <c r="Q116" s="2428"/>
      <c r="R116" s="2428"/>
      <c r="S116" s="2428"/>
      <c r="T116" s="2428"/>
      <c r="U116" s="2428"/>
      <c r="V116" s="2428"/>
      <c r="W116" s="2428"/>
      <c r="X116" s="2428"/>
      <c r="Y116" s="2428"/>
      <c r="Z116" s="2428"/>
      <c r="AA116" s="2428"/>
      <c r="AB116" s="2428"/>
      <c r="AC116" s="2428"/>
      <c r="AD116" s="2428"/>
      <c r="AE116" s="2428"/>
      <c r="AF116" s="2428"/>
      <c r="AG116" s="2428"/>
      <c r="AH116" s="2428"/>
      <c r="AI116" s="2428"/>
      <c r="AJ116" s="2429"/>
      <c r="AK116" s="540"/>
      <c r="AL116" s="540"/>
      <c r="AM116" s="540"/>
      <c r="AN116" s="535"/>
      <c r="AO116" s="536" t="str">
        <f>Application!B722</f>
        <v>2 Bedrooms</v>
      </c>
      <c r="AQ116" s="536">
        <f>Application!O722</f>
        <v>1940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27"/>
      <c r="F117" s="2428"/>
      <c r="G117" s="2428"/>
      <c r="H117" s="2428"/>
      <c r="I117" s="2428"/>
      <c r="J117" s="2428"/>
      <c r="K117" s="2428"/>
      <c r="L117" s="2428"/>
      <c r="M117" s="2428"/>
      <c r="N117" s="2428"/>
      <c r="O117" s="2428"/>
      <c r="P117" s="2428"/>
      <c r="Q117" s="2428"/>
      <c r="R117" s="2428"/>
      <c r="S117" s="2428"/>
      <c r="T117" s="2428"/>
      <c r="U117" s="2428"/>
      <c r="V117" s="2428"/>
      <c r="W117" s="2428"/>
      <c r="X117" s="2428"/>
      <c r="Y117" s="2428"/>
      <c r="Z117" s="2428"/>
      <c r="AA117" s="2428"/>
      <c r="AB117" s="2428"/>
      <c r="AC117" s="2428"/>
      <c r="AD117" s="2428"/>
      <c r="AE117" s="2428"/>
      <c r="AF117" s="2428"/>
      <c r="AG117" s="2428"/>
      <c r="AH117" s="2428"/>
      <c r="AI117" s="2428"/>
      <c r="AJ117" s="2429"/>
      <c r="AK117" s="540"/>
      <c r="AL117" s="540"/>
      <c r="AM117" s="540"/>
      <c r="AN117" s="535"/>
      <c r="AO117" s="536" t="str">
        <f>Application!B723</f>
        <v>2 Bedrooms</v>
      </c>
      <c r="AQ117" s="536">
        <f>Application!O723</f>
        <v>1599</v>
      </c>
      <c r="AU117" s="856" t="str">
        <f>J124</f>
        <v>1-bedroom</v>
      </c>
      <c r="AV117" s="536">
        <f t="array" ref="AV117">SUM(IF(Application!B718:F752="1 Bedroom",Application!G718:J752))</f>
        <v>15</v>
      </c>
      <c r="AW117" s="1011">
        <f>AV117/AV122</f>
        <v>0.34090909090909088</v>
      </c>
    </row>
    <row r="118" spans="1:52" s="536" customFormat="1" ht="12.75" customHeight="1">
      <c r="A118" s="540"/>
      <c r="B118" s="539"/>
      <c r="C118" s="539"/>
      <c r="D118" s="539"/>
      <c r="E118" s="2427"/>
      <c r="F118" s="2428"/>
      <c r="G118" s="2428"/>
      <c r="H118" s="2428"/>
      <c r="I118" s="2428"/>
      <c r="J118" s="2428"/>
      <c r="K118" s="2428"/>
      <c r="L118" s="2428"/>
      <c r="M118" s="2428"/>
      <c r="N118" s="2428"/>
      <c r="O118" s="2428"/>
      <c r="P118" s="2428"/>
      <c r="Q118" s="2428"/>
      <c r="R118" s="2428"/>
      <c r="S118" s="2428"/>
      <c r="T118" s="2428"/>
      <c r="U118" s="2428"/>
      <c r="V118" s="2428"/>
      <c r="W118" s="2428"/>
      <c r="X118" s="2428"/>
      <c r="Y118" s="2428"/>
      <c r="Z118" s="2428"/>
      <c r="AA118" s="2428"/>
      <c r="AB118" s="2428"/>
      <c r="AC118" s="2428"/>
      <c r="AD118" s="2428"/>
      <c r="AE118" s="2428"/>
      <c r="AF118" s="2428"/>
      <c r="AG118" s="2428"/>
      <c r="AH118" s="2428"/>
      <c r="AI118" s="2428"/>
      <c r="AJ118" s="2429"/>
      <c r="AK118" s="540"/>
      <c r="AL118" s="540"/>
      <c r="AM118" s="540"/>
      <c r="AN118" s="535"/>
      <c r="AO118" s="536" t="str">
        <f>Application!B724</f>
        <v>2 Bedrooms</v>
      </c>
      <c r="AQ118" s="536">
        <f>Application!O724</f>
        <v>1259</v>
      </c>
      <c r="AU118" s="856" t="str">
        <f>O124</f>
        <v>2-bedroom</v>
      </c>
      <c r="AV118" s="536">
        <f t="array" ref="AV118">SUM(IF(Application!B718:F752="2 Bedrooms",Application!G718:J752))</f>
        <v>12</v>
      </c>
      <c r="AW118" s="1011">
        <f>AV118/AV122</f>
        <v>0.27272727272727271</v>
      </c>
    </row>
    <row r="119" spans="1:52" s="536" customFormat="1" ht="12.75" customHeight="1">
      <c r="A119" s="540"/>
      <c r="B119" s="539"/>
      <c r="C119" s="539"/>
      <c r="D119" s="539"/>
      <c r="E119" s="2427"/>
      <c r="F119" s="2428"/>
      <c r="G119" s="2428"/>
      <c r="H119" s="2428"/>
      <c r="I119" s="2428"/>
      <c r="J119" s="2428"/>
      <c r="K119" s="2428"/>
      <c r="L119" s="2428"/>
      <c r="M119" s="2428"/>
      <c r="N119" s="2428"/>
      <c r="O119" s="2428"/>
      <c r="P119" s="2428"/>
      <c r="Q119" s="2428"/>
      <c r="R119" s="2428"/>
      <c r="S119" s="2428"/>
      <c r="T119" s="2428"/>
      <c r="U119" s="2428"/>
      <c r="V119" s="2428"/>
      <c r="W119" s="2428"/>
      <c r="X119" s="2428"/>
      <c r="Y119" s="2428"/>
      <c r="Z119" s="2428"/>
      <c r="AA119" s="2428"/>
      <c r="AB119" s="2428"/>
      <c r="AC119" s="2428"/>
      <c r="AD119" s="2428"/>
      <c r="AE119" s="2428"/>
      <c r="AF119" s="2428"/>
      <c r="AG119" s="2428"/>
      <c r="AH119" s="2428"/>
      <c r="AI119" s="2428"/>
      <c r="AJ119" s="2429"/>
      <c r="AK119" s="540"/>
      <c r="AL119" s="540"/>
      <c r="AM119" s="540"/>
      <c r="AN119" s="535"/>
      <c r="AO119" s="536" t="str">
        <f>Application!B725</f>
        <v>2 Bedrooms</v>
      </c>
      <c r="AQ119" s="536">
        <f>Application!O725</f>
        <v>918</v>
      </c>
      <c r="AU119" s="856" t="str">
        <f>T124</f>
        <v>3-bedroom</v>
      </c>
      <c r="AV119" s="536">
        <f t="array" ref="AV119">SUM(IF(Application!B718:F752="3 Bedrooms",Application!G718:J752))</f>
        <v>17</v>
      </c>
      <c r="AW119" s="1011">
        <f>AV119/AV122</f>
        <v>0.38636363636363635</v>
      </c>
    </row>
    <row r="120" spans="1:52" s="536" customFormat="1" ht="12.75" customHeight="1">
      <c r="A120" s="540"/>
      <c r="B120" s="539"/>
      <c r="C120" s="539"/>
      <c r="D120" s="539"/>
      <c r="E120" s="2427"/>
      <c r="F120" s="2428"/>
      <c r="G120" s="2428"/>
      <c r="H120" s="2428"/>
      <c r="I120" s="2428"/>
      <c r="J120" s="2428"/>
      <c r="K120" s="2428"/>
      <c r="L120" s="2428"/>
      <c r="M120" s="2428"/>
      <c r="N120" s="2428"/>
      <c r="O120" s="2428"/>
      <c r="P120" s="2428"/>
      <c r="Q120" s="2428"/>
      <c r="R120" s="2428"/>
      <c r="S120" s="2428"/>
      <c r="T120" s="2428"/>
      <c r="U120" s="2428"/>
      <c r="V120" s="2428"/>
      <c r="W120" s="2428"/>
      <c r="X120" s="2428"/>
      <c r="Y120" s="2428"/>
      <c r="Z120" s="2428"/>
      <c r="AA120" s="2428"/>
      <c r="AB120" s="2428"/>
      <c r="AC120" s="2428"/>
      <c r="AD120" s="2428"/>
      <c r="AE120" s="2428"/>
      <c r="AF120" s="2428"/>
      <c r="AG120" s="2428"/>
      <c r="AH120" s="2428"/>
      <c r="AI120" s="2428"/>
      <c r="AJ120" s="2429"/>
      <c r="AK120" s="540"/>
      <c r="AL120" s="540"/>
      <c r="AM120" s="540"/>
      <c r="AN120" s="535"/>
      <c r="AO120" s="536" t="str">
        <f>Application!B726</f>
        <v>3 Bedrooms</v>
      </c>
      <c r="AQ120" s="536">
        <f>Application!O726</f>
        <v>2232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7"/>
      <c r="F121" s="2428"/>
      <c r="G121" s="2428"/>
      <c r="H121" s="2428"/>
      <c r="I121" s="2428"/>
      <c r="J121" s="2428"/>
      <c r="K121" s="2428"/>
      <c r="L121" s="2428"/>
      <c r="M121" s="2428"/>
      <c r="N121" s="2428"/>
      <c r="O121" s="2428"/>
      <c r="P121" s="2428"/>
      <c r="Q121" s="2428"/>
      <c r="R121" s="2428"/>
      <c r="S121" s="2428"/>
      <c r="T121" s="2428"/>
      <c r="U121" s="2428"/>
      <c r="V121" s="2428"/>
      <c r="W121" s="2428"/>
      <c r="X121" s="2428"/>
      <c r="Y121" s="2428"/>
      <c r="Z121" s="2428"/>
      <c r="AA121" s="2428"/>
      <c r="AB121" s="2428"/>
      <c r="AC121" s="2428"/>
      <c r="AD121" s="2428"/>
      <c r="AE121" s="2428"/>
      <c r="AF121" s="2428"/>
      <c r="AG121" s="2428"/>
      <c r="AH121" s="2428"/>
      <c r="AI121" s="2428"/>
      <c r="AJ121" s="2429"/>
      <c r="AK121" s="540"/>
      <c r="AL121" s="540"/>
      <c r="AM121" s="540"/>
      <c r="AN121" s="535"/>
      <c r="AO121" s="536" t="str">
        <f>Application!B727</f>
        <v>3 Bedrooms</v>
      </c>
      <c r="AQ121" s="536">
        <f>Application!O727</f>
        <v>1838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7"/>
      <c r="F122" s="2428"/>
      <c r="G122" s="2428"/>
      <c r="H122" s="2428"/>
      <c r="I122" s="2428"/>
      <c r="J122" s="2428"/>
      <c r="K122" s="2428"/>
      <c r="L122" s="2428"/>
      <c r="M122" s="2428"/>
      <c r="N122" s="2428"/>
      <c r="O122" s="2428"/>
      <c r="P122" s="2428"/>
      <c r="Q122" s="2428"/>
      <c r="R122" s="2428"/>
      <c r="S122" s="2428"/>
      <c r="T122" s="2428"/>
      <c r="U122" s="2428"/>
      <c r="V122" s="2428"/>
      <c r="W122" s="2428"/>
      <c r="X122" s="2428"/>
      <c r="Y122" s="2428"/>
      <c r="Z122" s="2428"/>
      <c r="AA122" s="2428"/>
      <c r="AB122" s="2428"/>
      <c r="AC122" s="2428"/>
      <c r="AD122" s="2428"/>
      <c r="AE122" s="2428"/>
      <c r="AF122" s="2428"/>
      <c r="AG122" s="2428"/>
      <c r="AH122" s="2428"/>
      <c r="AI122" s="2428"/>
      <c r="AJ122" s="2429"/>
      <c r="AK122" s="540"/>
      <c r="AL122" s="540"/>
      <c r="AM122" s="540"/>
      <c r="AN122" s="535"/>
      <c r="AO122" s="536" t="str">
        <f>Application!B728</f>
        <v>3 Bedrooms</v>
      </c>
      <c r="AQ122" s="536">
        <f>Application!O728</f>
        <v>1444</v>
      </c>
      <c r="AV122" s="536">
        <f>SUM(AV116:AV121)</f>
        <v>44</v>
      </c>
      <c r="AW122" s="1011">
        <f>SUM(AW116:AW121)</f>
        <v>0.99999999999999989</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1050</v>
      </c>
    </row>
    <row r="124" spans="1:52" s="536" customFormat="1" ht="12.75" customHeight="1">
      <c r="A124" s="540"/>
      <c r="B124" s="539"/>
      <c r="C124" s="540"/>
      <c r="D124" s="540"/>
      <c r="E124" s="2407" t="s">
        <v>1588</v>
      </c>
      <c r="F124" s="2408"/>
      <c r="G124" s="2408"/>
      <c r="H124" s="2408"/>
      <c r="I124" s="577"/>
      <c r="J124" s="2408" t="s">
        <v>1631</v>
      </c>
      <c r="K124" s="2408"/>
      <c r="L124" s="2408"/>
      <c r="M124" s="2408"/>
      <c r="N124" s="577"/>
      <c r="O124" s="2408" t="s">
        <v>1632</v>
      </c>
      <c r="P124" s="2408"/>
      <c r="Q124" s="2408"/>
      <c r="R124" s="2408"/>
      <c r="S124" s="577"/>
      <c r="T124" s="2408" t="s">
        <v>1334</v>
      </c>
      <c r="U124" s="2408"/>
      <c r="V124" s="2408"/>
      <c r="W124" s="2408"/>
      <c r="X124" s="577"/>
      <c r="Y124" s="2408" t="s">
        <v>1633</v>
      </c>
      <c r="Z124" s="2408"/>
      <c r="AA124" s="2408"/>
      <c r="AB124" s="2408"/>
      <c r="AC124" s="577"/>
      <c r="AD124" s="2408" t="s">
        <v>1634</v>
      </c>
      <c r="AE124" s="2408"/>
      <c r="AF124" s="2408"/>
      <c r="AG124" s="240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7"/>
      <c r="F127" s="2468"/>
      <c r="G127" s="2468"/>
      <c r="H127" s="2468"/>
      <c r="I127" s="864"/>
      <c r="J127" s="2468">
        <v>2915</v>
      </c>
      <c r="K127" s="2468"/>
      <c r="L127" s="2468"/>
      <c r="M127" s="2468"/>
      <c r="N127" s="864"/>
      <c r="O127" s="2468">
        <v>3762</v>
      </c>
      <c r="P127" s="2468"/>
      <c r="Q127" s="2468"/>
      <c r="R127" s="2468"/>
      <c r="S127" s="864"/>
      <c r="T127" s="2468">
        <v>4750</v>
      </c>
      <c r="U127" s="2468"/>
      <c r="V127" s="2468"/>
      <c r="W127" s="2468"/>
      <c r="X127" s="864"/>
      <c r="Y127" s="2468"/>
      <c r="Z127" s="2468"/>
      <c r="AA127" s="2468"/>
      <c r="AB127" s="2468"/>
      <c r="AC127" s="864"/>
      <c r="AD127" s="2468"/>
      <c r="AE127" s="2468"/>
      <c r="AF127" s="2468"/>
      <c r="AG127" s="246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60">
        <f>Application!DX670</f>
        <v>0</v>
      </c>
      <c r="F130" s="2461"/>
      <c r="G130" s="2461"/>
      <c r="H130" s="2461"/>
      <c r="I130" s="864"/>
      <c r="J130" s="2461">
        <f>Application!EC670</f>
        <v>1325.0666666666668</v>
      </c>
      <c r="K130" s="2461"/>
      <c r="L130" s="2461"/>
      <c r="M130" s="2461"/>
      <c r="N130" s="864"/>
      <c r="O130" s="2461">
        <f>Application!EH670</f>
        <v>1428.9166666666665</v>
      </c>
      <c r="P130" s="2461"/>
      <c r="Q130" s="2461"/>
      <c r="R130" s="2461"/>
      <c r="S130" s="868"/>
      <c r="T130" s="2461">
        <f>Application!EM670</f>
        <v>1745.2941176470588</v>
      </c>
      <c r="U130" s="2461"/>
      <c r="V130" s="2461"/>
      <c r="W130" s="2461"/>
      <c r="X130" s="868"/>
      <c r="Y130" s="2461">
        <f>Application!ER670</f>
        <v>0</v>
      </c>
      <c r="Z130" s="2461"/>
      <c r="AA130" s="2461"/>
      <c r="AB130" s="2461"/>
      <c r="AC130" s="868"/>
      <c r="AD130" s="2461">
        <f>Application!EW670</f>
        <v>0</v>
      </c>
      <c r="AE130" s="2461"/>
      <c r="AF130" s="2461"/>
      <c r="AG130" s="246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9" t="e">
        <f>(E127-E130)/E127</f>
        <v>#DIV/0!</v>
      </c>
      <c r="F133" s="2410"/>
      <c r="G133" s="2410"/>
      <c r="H133" s="2660"/>
      <c r="I133" s="577"/>
      <c r="J133" s="2659">
        <f>(J127-J130)/J127</f>
        <v>0.54543167524299596</v>
      </c>
      <c r="K133" s="2410"/>
      <c r="L133" s="2410"/>
      <c r="M133" s="2660"/>
      <c r="N133" s="577"/>
      <c r="O133" s="2659">
        <f>(O127-O130)/O127</f>
        <v>0.62017100832890315</v>
      </c>
      <c r="P133" s="2410"/>
      <c r="Q133" s="2410"/>
      <c r="R133" s="2660"/>
      <c r="S133" s="577"/>
      <c r="T133" s="2659">
        <f>(T127-T130)/T127</f>
        <v>0.63256965944272447</v>
      </c>
      <c r="U133" s="2410"/>
      <c r="V133" s="2410"/>
      <c r="W133" s="2660"/>
      <c r="X133" s="577"/>
      <c r="Y133" s="2659" t="e">
        <f>(Y127-Y130)/Y127</f>
        <v>#DIV/0!</v>
      </c>
      <c r="Z133" s="2410"/>
      <c r="AA133" s="2410"/>
      <c r="AB133" s="2660"/>
      <c r="AC133" s="577"/>
      <c r="AD133" s="2659" t="e">
        <f>(AD127-AD130)/AD127</f>
        <v>#DIV/0!</v>
      </c>
      <c r="AE133" s="2410"/>
      <c r="AF133" s="2410"/>
      <c r="AG133" s="266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62" t="e">
        <f>IF(((E133-0.1)*AW116)&gt;0,((E133-0.1)*AW116),0)</f>
        <v>#DIV/0!</v>
      </c>
      <c r="F136" s="2463"/>
      <c r="G136" s="2463"/>
      <c r="H136" s="2464"/>
      <c r="I136" s="577"/>
      <c r="J136" s="2462">
        <f>IF(((J133-0.1)*AW117)&gt;0,((J133-0.1)*AW117),0)</f>
        <v>0.15185170746920318</v>
      </c>
      <c r="K136" s="2463"/>
      <c r="L136" s="2463"/>
      <c r="M136" s="2464"/>
      <c r="N136" s="577"/>
      <c r="O136" s="2462">
        <f>IF(((O133-0.1)*AW118)&gt;0,((O133-0.1)*AW118),0)</f>
        <v>0.14186482045333723</v>
      </c>
      <c r="P136" s="2463"/>
      <c r="Q136" s="2463"/>
      <c r="R136" s="2464"/>
      <c r="S136" s="577"/>
      <c r="T136" s="2462">
        <f>IF(((T133-0.1)*AW119)&gt;0,((T133-0.1)*AW119),0)</f>
        <v>0.20576555023923446</v>
      </c>
      <c r="U136" s="2463"/>
      <c r="V136" s="2463"/>
      <c r="W136" s="2464"/>
      <c r="X136" s="577"/>
      <c r="Y136" s="2462" t="e">
        <f>IF(((Y133-0.1)*AW120)&gt;0,((Y133-0.1)*AW120),0)</f>
        <v>#DIV/0!</v>
      </c>
      <c r="Z136" s="2463"/>
      <c r="AA136" s="2463"/>
      <c r="AB136" s="2464"/>
      <c r="AC136" s="577"/>
      <c r="AD136" s="2462" t="e">
        <f>IF(((AD133-0.1)*AW121)&gt;0,((AD133-0.1)*AW121),0)</f>
        <v>#DIV/0!</v>
      </c>
      <c r="AE136" s="2463"/>
      <c r="AF136" s="2463"/>
      <c r="AG136" s="246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9">
        <f>ROUNDDOWN(SUMIF(E136:AG136,"&gt;0"),2)</f>
        <v>0.49</v>
      </c>
      <c r="F138" s="2410"/>
      <c r="G138" s="2410"/>
      <c r="H138" s="266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46">
        <f>IF((E138*100)&gt;10,10,E138*100)</f>
        <v>10</v>
      </c>
      <c r="F139" s="2447"/>
      <c r="G139" s="2447"/>
      <c r="H139" s="244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46">
        <f>E139</f>
        <v>10</v>
      </c>
      <c r="AL143" s="2447"/>
      <c r="AM143" s="244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23" t="s">
        <v>1314</v>
      </c>
      <c r="AF146" s="2423"/>
      <c r="AG146" s="2423"/>
      <c r="AH146" s="2423"/>
      <c r="AI146" s="2423"/>
      <c r="AJ146" s="2423"/>
      <c r="AK146" s="2423"/>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8" t="s">
        <v>1338</v>
      </c>
      <c r="AG148" s="2458"/>
      <c r="AH148" s="2458"/>
      <c r="AI148" s="2458"/>
      <c r="AJ148" s="2458"/>
      <c r="AK148" s="2458"/>
      <c r="AL148" s="2458"/>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9" t="s">
        <v>2613</v>
      </c>
      <c r="C150" s="2459"/>
      <c r="D150" s="2459"/>
      <c r="E150" s="2459"/>
      <c r="F150" s="2459"/>
      <c r="G150" s="2459"/>
      <c r="H150" s="2459"/>
      <c r="I150" s="2459"/>
      <c r="J150" s="2459"/>
      <c r="K150" s="2459"/>
      <c r="L150" s="2459"/>
      <c r="M150" s="2459"/>
      <c r="N150" s="2459"/>
      <c r="O150" s="2459"/>
      <c r="P150" s="2459"/>
      <c r="Q150" s="2459"/>
      <c r="R150" s="2459"/>
      <c r="S150" s="2459"/>
      <c r="T150" s="2459"/>
      <c r="U150" s="2459"/>
      <c r="V150" s="2459"/>
      <c r="W150" s="2459"/>
      <c r="X150" s="2459"/>
      <c r="Y150" s="2459"/>
      <c r="Z150" s="2459"/>
      <c r="AA150" s="2459"/>
      <c r="AB150" s="2459"/>
      <c r="AC150" s="245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85" t="s">
        <v>1341</v>
      </c>
      <c r="C153" s="2485"/>
      <c r="D153" s="2485"/>
      <c r="E153" s="2485"/>
      <c r="F153" s="2485"/>
      <c r="G153" s="2485"/>
      <c r="H153" s="2485"/>
      <c r="I153" s="2485"/>
      <c r="J153" s="2485"/>
      <c r="K153" s="2485"/>
      <c r="L153" s="2485"/>
      <c r="M153" s="2485"/>
      <c r="N153" s="2485"/>
      <c r="O153" s="2485"/>
      <c r="P153" s="2485"/>
      <c r="Q153" s="2485"/>
      <c r="R153" s="2485"/>
      <c r="S153" s="2485"/>
      <c r="T153" s="2485"/>
      <c r="U153" s="2485"/>
      <c r="V153" s="2485"/>
      <c r="W153" s="2485"/>
      <c r="X153" s="2485"/>
      <c r="Y153" s="2485"/>
      <c r="Z153" s="2485"/>
      <c r="AA153" s="2485"/>
      <c r="AB153" s="2485"/>
      <c r="AC153" s="2485"/>
      <c r="AD153" s="2485"/>
      <c r="AE153" s="2485"/>
      <c r="AF153" s="2485"/>
      <c r="AG153" s="2485"/>
      <c r="AH153" s="2485"/>
      <c r="AI153" s="2485"/>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86" t="s">
        <v>591</v>
      </c>
      <c r="AC155" s="248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85" t="s">
        <v>1343</v>
      </c>
      <c r="C158" s="2485"/>
      <c r="D158" s="2485"/>
      <c r="E158" s="2485"/>
      <c r="F158" s="2485"/>
      <c r="G158" s="2485"/>
      <c r="H158" s="2485"/>
      <c r="I158" s="2485"/>
      <c r="J158" s="2485"/>
      <c r="K158" s="2485"/>
      <c r="L158" s="2485"/>
      <c r="M158" s="2485"/>
      <c r="N158" s="2485"/>
      <c r="O158" s="2485"/>
      <c r="P158" s="2485"/>
      <c r="Q158" s="2485"/>
      <c r="R158" s="2485"/>
      <c r="S158" s="2485"/>
      <c r="T158" s="2485"/>
      <c r="U158" s="2485"/>
      <c r="V158" s="2485"/>
      <c r="W158" s="2485"/>
      <c r="X158" s="2485"/>
      <c r="Y158" s="2485"/>
      <c r="Z158" s="2485"/>
      <c r="AA158" s="2485"/>
      <c r="AB158" s="2485"/>
      <c r="AC158" s="2485"/>
      <c r="AD158" s="2485"/>
      <c r="AE158" s="2485"/>
      <c r="AF158" s="2485"/>
      <c r="AG158" s="2485"/>
      <c r="AH158" s="2485"/>
      <c r="AI158" s="2485"/>
      <c r="AJ158" s="248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46" t="s">
        <v>2475</v>
      </c>
      <c r="C161" s="2646"/>
      <c r="D161" s="2646"/>
      <c r="E161" s="2646"/>
      <c r="F161" s="2646"/>
      <c r="G161" s="2646"/>
      <c r="H161" s="2646"/>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46"/>
      <c r="AD161" s="2646"/>
      <c r="AE161" s="2646"/>
      <c r="AF161" s="2646"/>
      <c r="AG161" s="2646"/>
      <c r="AH161" s="2646"/>
      <c r="AI161" s="2646"/>
      <c r="AJ161" s="2646"/>
      <c r="AK161" s="1180"/>
      <c r="AM161" s="539"/>
      <c r="AN161" s="535"/>
      <c r="AO161" s="476"/>
      <c r="AP161" s="489"/>
    </row>
    <row r="162" spans="1:42" s="536" customFormat="1" ht="12.75" customHeight="1">
      <c r="B162" s="2646"/>
      <c r="C162" s="2646"/>
      <c r="D162" s="2646"/>
      <c r="E162" s="2646"/>
      <c r="F162" s="2646"/>
      <c r="G162" s="2646"/>
      <c r="H162" s="2646"/>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46"/>
      <c r="AD162" s="2646"/>
      <c r="AE162" s="2646"/>
      <c r="AF162" s="2646"/>
      <c r="AG162" s="2646"/>
      <c r="AH162" s="2646"/>
      <c r="AI162" s="2646"/>
      <c r="AJ162" s="2646"/>
      <c r="AK162" s="1180"/>
      <c r="AM162" s="539"/>
      <c r="AN162" s="535"/>
      <c r="AO162" s="476"/>
      <c r="AP162" s="489"/>
    </row>
    <row r="163" spans="1:42" s="536" customFormat="1" ht="12.75" customHeight="1">
      <c r="C163" s="2549" t="s">
        <v>2476</v>
      </c>
      <c r="D163" s="2549"/>
      <c r="E163" s="2549"/>
      <c r="F163" s="2549"/>
      <c r="G163" s="2549"/>
      <c r="H163" s="2549"/>
      <c r="I163" s="2549"/>
      <c r="J163" s="2549"/>
      <c r="K163" s="2549"/>
      <c r="L163" s="2549"/>
      <c r="M163" s="2549"/>
      <c r="N163" s="2549"/>
      <c r="O163" s="2549"/>
      <c r="P163" s="2549"/>
      <c r="Q163" s="2549"/>
      <c r="R163" s="2549"/>
      <c r="S163" s="2549"/>
      <c r="T163" s="2549"/>
      <c r="U163" s="2549"/>
      <c r="V163" s="2549"/>
      <c r="W163" s="2549"/>
      <c r="X163" s="2549"/>
      <c r="Y163" s="2549"/>
      <c r="Z163" s="2549"/>
      <c r="AA163" s="2549"/>
      <c r="AB163" s="2549"/>
      <c r="AC163" s="2549"/>
      <c r="AD163" s="2549"/>
      <c r="AE163" s="2549"/>
      <c r="AF163" s="2549"/>
      <c r="AG163" s="2549"/>
      <c r="AH163" s="2549"/>
      <c r="AI163" s="2549"/>
      <c r="AJ163" s="2549"/>
      <c r="AK163" s="1180"/>
      <c r="AM163" s="539"/>
      <c r="AN163" s="535"/>
      <c r="AO163" s="476"/>
      <c r="AP163" s="489"/>
    </row>
    <row r="164" spans="1:42" s="536" customFormat="1" ht="12.75" customHeight="1">
      <c r="B164" s="1180"/>
      <c r="C164" s="2484" t="s">
        <v>2474</v>
      </c>
      <c r="D164" s="2484"/>
      <c r="E164" s="2484"/>
      <c r="F164" s="2484"/>
      <c r="G164" s="2484"/>
      <c r="H164" s="2484"/>
      <c r="I164" s="2484"/>
      <c r="J164" s="2484"/>
      <c r="K164" s="2484"/>
      <c r="L164" s="2484"/>
      <c r="M164" s="2484"/>
      <c r="N164" s="2484"/>
      <c r="O164" s="2484"/>
      <c r="P164" s="2484"/>
      <c r="Q164" s="2484"/>
      <c r="R164" s="2484"/>
      <c r="S164" s="2484"/>
      <c r="T164" s="2484"/>
      <c r="U164" s="2484"/>
      <c r="V164" s="2484"/>
      <c r="W164" s="2484"/>
      <c r="X164" s="2484"/>
      <c r="Y164" s="2484"/>
      <c r="Z164" s="2484"/>
      <c r="AA164" s="1170"/>
      <c r="AB164" s="1170"/>
      <c r="AC164" s="1170"/>
      <c r="AD164" s="1170"/>
      <c r="AE164" s="1170"/>
      <c r="AF164" s="1170"/>
      <c r="AG164" s="1170"/>
      <c r="AH164" s="1170"/>
      <c r="AJ164" s="2486" t="s">
        <v>591</v>
      </c>
      <c r="AK164" s="248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9">
        <f>IF($AB$155="N/A",VLOOKUP($B$153,$AO$151:$AP$154,2,FALSE),VLOOKUP($B$158,$AO$156:$AP$158,2,FALSE))</f>
        <v>7</v>
      </c>
      <c r="AK166" s="248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8" t="s">
        <v>1352</v>
      </c>
      <c r="AG168" s="2458"/>
      <c r="AH168" s="2458"/>
      <c r="AI168" s="2458"/>
      <c r="AJ168" s="2458"/>
      <c r="AK168" s="2458"/>
      <c r="AL168" s="2458"/>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85" t="s">
        <v>1350</v>
      </c>
      <c r="D170" s="2485"/>
      <c r="E170" s="2485"/>
      <c r="F170" s="2485"/>
      <c r="G170" s="2485"/>
      <c r="H170" s="2485"/>
      <c r="I170" s="2485"/>
      <c r="J170" s="2485"/>
      <c r="K170" s="2485"/>
      <c r="L170" s="2485"/>
      <c r="M170" s="2485"/>
      <c r="N170" s="2485"/>
      <c r="O170" s="2485"/>
      <c r="P170" s="2485"/>
      <c r="Q170" s="2485"/>
      <c r="R170" s="2485"/>
      <c r="S170" s="2485"/>
      <c r="T170" s="2485"/>
      <c r="U170" s="2485"/>
      <c r="V170" s="2485"/>
      <c r="W170" s="2485"/>
      <c r="X170" s="2485"/>
      <c r="Y170" s="2485"/>
      <c r="Z170" s="2485"/>
      <c r="AA170" s="2485"/>
      <c r="AB170" s="2485"/>
      <c r="AC170" s="2485"/>
      <c r="AD170" s="2485"/>
      <c r="AE170" s="2485"/>
      <c r="AF170" s="2485"/>
      <c r="AG170" s="2485"/>
      <c r="AH170" s="2485"/>
      <c r="AI170" s="2485"/>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86" t="s">
        <v>591</v>
      </c>
      <c r="AG172" s="248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85" t="s">
        <v>1343</v>
      </c>
      <c r="D174" s="2485"/>
      <c r="E174" s="2485"/>
      <c r="F174" s="2485"/>
      <c r="G174" s="2485"/>
      <c r="H174" s="2485"/>
      <c r="I174" s="2485"/>
      <c r="J174" s="2485"/>
      <c r="K174" s="2485"/>
      <c r="L174" s="2485"/>
      <c r="M174" s="2485"/>
      <c r="N174" s="2485"/>
      <c r="O174" s="2485"/>
      <c r="P174" s="2485"/>
      <c r="Q174" s="2485"/>
      <c r="R174" s="2485"/>
      <c r="S174" s="2485"/>
      <c r="T174" s="2485"/>
      <c r="U174" s="2485"/>
      <c r="V174" s="2485"/>
      <c r="W174" s="2485"/>
      <c r="X174" s="2485"/>
      <c r="Y174" s="2485"/>
      <c r="Z174" s="2485"/>
      <c r="AA174" s="2485"/>
      <c r="AB174" s="2485"/>
      <c r="AC174" s="2485"/>
      <c r="AD174" s="248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87" t="str">
        <f>Application!AA335</f>
        <v xml:space="preserve">Buckingham Property Management </v>
      </c>
      <c r="D178" s="2487"/>
      <c r="E178" s="2487"/>
      <c r="F178" s="2487"/>
      <c r="G178" s="2487"/>
      <c r="H178" s="2487"/>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87"/>
      <c r="AD178" s="2487"/>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8">
        <f>IF($AF$172="N/A",VLOOKUP($C$170,$AO$170:$AP$173,2,FALSE),VLOOKUP($C$174,$AO$177:$AP$179,2,FALSE))</f>
        <v>3</v>
      </c>
      <c r="AK180" s="248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46">
        <f>$AJ$166+$AJ$180</f>
        <v>10</v>
      </c>
      <c r="AL183" s="2447"/>
      <c r="AM183" s="244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23" t="s">
        <v>1314</v>
      </c>
      <c r="AF186" s="2423"/>
      <c r="AG186" s="2423"/>
      <c r="AH186" s="2423"/>
      <c r="AI186" s="2423"/>
      <c r="AJ186" s="2423"/>
      <c r="AK186" s="2423"/>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83" t="s">
        <v>1041</v>
      </c>
      <c r="C188" s="2483"/>
      <c r="D188" s="2483"/>
      <c r="E188" s="2483"/>
      <c r="F188" s="2483"/>
      <c r="G188" s="2483"/>
      <c r="H188" s="2483"/>
      <c r="I188" s="2483"/>
      <c r="J188" s="2483"/>
      <c r="K188" s="2483"/>
      <c r="L188" s="2483"/>
      <c r="M188" s="2483"/>
      <c r="N188" s="2483"/>
      <c r="O188" s="2483"/>
      <c r="P188" s="2483"/>
      <c r="Q188" s="2483"/>
      <c r="R188" s="2483"/>
      <c r="S188" s="2483"/>
      <c r="T188" s="2483"/>
      <c r="U188" s="2483"/>
      <c r="V188" s="2483"/>
      <c r="W188" s="2483"/>
      <c r="X188" s="2483"/>
      <c r="Y188" s="2483"/>
      <c r="Z188" s="2483"/>
      <c r="AA188" s="2483"/>
      <c r="AB188" s="2483"/>
      <c r="AC188" s="2483"/>
      <c r="AD188" s="536"/>
      <c r="AE188" s="536"/>
      <c r="AF188" s="2458" t="s">
        <v>1363</v>
      </c>
      <c r="AG188" s="2458"/>
      <c r="AH188" s="2458"/>
      <c r="AI188" s="2458"/>
      <c r="AJ188" s="2458"/>
      <c r="AK188" s="2458"/>
      <c r="AL188" s="2458"/>
      <c r="AN188" s="597"/>
      <c r="AP188" s="550" t="s">
        <v>1043</v>
      </c>
      <c r="AQ188" s="550">
        <v>10</v>
      </c>
    </row>
    <row r="189" spans="1:73" s="550" customFormat="1" ht="12.75" customHeight="1">
      <c r="A189" s="536"/>
      <c r="B189" s="2484" t="s">
        <v>1726</v>
      </c>
      <c r="C189" s="2484"/>
      <c r="D189" s="2484"/>
      <c r="E189" s="2484"/>
      <c r="F189" s="2484"/>
      <c r="G189" s="2484"/>
      <c r="H189" s="2484"/>
      <c r="I189" s="2484"/>
      <c r="J189" s="2484"/>
      <c r="K189" s="2484"/>
      <c r="L189" s="2484"/>
      <c r="M189" s="2484"/>
      <c r="N189" s="2484"/>
      <c r="O189" s="2484"/>
      <c r="P189" s="2484"/>
      <c r="Q189" s="2484"/>
      <c r="R189" s="2484"/>
      <c r="S189" s="2484"/>
      <c r="T189" s="2459" t="s">
        <v>591</v>
      </c>
      <c r="U189" s="2459"/>
      <c r="V189" s="2459"/>
      <c r="W189" s="2459"/>
      <c r="X189" s="2459"/>
      <c r="Y189" s="2459"/>
      <c r="Z189" s="2459"/>
      <c r="AA189" s="2459"/>
      <c r="AB189" s="2459"/>
      <c r="AC189" s="245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93">
        <f>IF(AK84&gt;0,VLOOKUP($B$188,AP185:AQ191,2,FALSE),0)</f>
        <v>10</v>
      </c>
      <c r="AL191" s="2494"/>
      <c r="AM191" s="249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23" t="s">
        <v>1372</v>
      </c>
      <c r="AF194" s="2423"/>
      <c r="AG194" s="2423"/>
      <c r="AH194" s="2423"/>
      <c r="AI194" s="2423"/>
      <c r="AJ194" s="2423"/>
      <c r="AK194" s="2423"/>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70" t="s">
        <v>2761</v>
      </c>
      <c r="C199" s="2470"/>
      <c r="D199" s="2470"/>
      <c r="E199" s="2470"/>
      <c r="F199" s="2470"/>
      <c r="G199" s="2470"/>
      <c r="H199" s="2470"/>
      <c r="I199" s="2470"/>
      <c r="J199" s="2470"/>
      <c r="K199" s="2470"/>
      <c r="L199" s="2470"/>
      <c r="M199" s="2470"/>
      <c r="N199" s="2470"/>
      <c r="O199" s="2470"/>
      <c r="P199" s="2470"/>
      <c r="Q199" s="2470"/>
      <c r="R199" s="2470"/>
      <c r="S199" s="2470"/>
      <c r="T199" s="2470"/>
      <c r="U199" s="2470"/>
      <c r="V199" s="2470"/>
      <c r="W199" s="2470"/>
      <c r="X199" s="2470"/>
      <c r="Y199" s="2470"/>
      <c r="Z199" s="2470"/>
      <c r="AA199" s="2470"/>
      <c r="AB199" s="2470"/>
      <c r="AC199" s="846"/>
      <c r="AD199" s="2471">
        <v>2000000</v>
      </c>
      <c r="AE199" s="2471"/>
      <c r="AF199" s="2471"/>
      <c r="AG199" s="2471"/>
      <c r="AH199" s="2471"/>
      <c r="AI199" s="2471"/>
      <c r="AJ199" s="2471"/>
      <c r="AK199" s="610"/>
    </row>
    <row r="200" spans="1:40">
      <c r="A200" s="605"/>
      <c r="B200" s="2470"/>
      <c r="C200" s="2470"/>
      <c r="D200" s="2470"/>
      <c r="E200" s="2470"/>
      <c r="F200" s="2470"/>
      <c r="G200" s="2470"/>
      <c r="H200" s="2470"/>
      <c r="I200" s="2470"/>
      <c r="J200" s="2470"/>
      <c r="K200" s="2470"/>
      <c r="L200" s="2470"/>
      <c r="M200" s="2470"/>
      <c r="N200" s="2470"/>
      <c r="O200" s="2470"/>
      <c r="P200" s="2470"/>
      <c r="Q200" s="2470"/>
      <c r="R200" s="2470"/>
      <c r="S200" s="2470"/>
      <c r="T200" s="2470"/>
      <c r="U200" s="2470"/>
      <c r="V200" s="2470"/>
      <c r="W200" s="2470"/>
      <c r="X200" s="2470"/>
      <c r="Y200" s="2470"/>
      <c r="Z200" s="2470"/>
      <c r="AA200" s="2470"/>
      <c r="AB200" s="2470"/>
      <c r="AC200" s="846"/>
      <c r="AD200" s="2471"/>
      <c r="AE200" s="2471"/>
      <c r="AF200" s="2471"/>
      <c r="AG200" s="2471"/>
      <c r="AH200" s="2471"/>
      <c r="AI200" s="2471"/>
      <c r="AJ200" s="2471"/>
      <c r="AK200" s="610"/>
    </row>
    <row r="201" spans="1:40">
      <c r="A201" s="605"/>
      <c r="B201" s="2470"/>
      <c r="C201" s="2470"/>
      <c r="D201" s="2470"/>
      <c r="E201" s="2470"/>
      <c r="F201" s="2470"/>
      <c r="G201" s="2470"/>
      <c r="H201" s="2470"/>
      <c r="I201" s="2470"/>
      <c r="J201" s="2470"/>
      <c r="K201" s="2470"/>
      <c r="L201" s="2470"/>
      <c r="M201" s="2470"/>
      <c r="N201" s="2470"/>
      <c r="O201" s="2470"/>
      <c r="P201" s="2470"/>
      <c r="Q201" s="2470"/>
      <c r="R201" s="2470"/>
      <c r="S201" s="2470"/>
      <c r="T201" s="2470"/>
      <c r="U201" s="2470"/>
      <c r="V201" s="2470"/>
      <c r="W201" s="2470"/>
      <c r="X201" s="2470"/>
      <c r="Y201" s="2470"/>
      <c r="Z201" s="2470"/>
      <c r="AA201" s="2470"/>
      <c r="AB201" s="2470"/>
      <c r="AC201" s="846"/>
      <c r="AD201" s="2471"/>
      <c r="AE201" s="2471"/>
      <c r="AF201" s="2471"/>
      <c r="AG201" s="2471"/>
      <c r="AH201" s="2471"/>
      <c r="AI201" s="2471"/>
      <c r="AJ201" s="2471"/>
      <c r="AK201" s="610"/>
    </row>
    <row r="202" spans="1:40">
      <c r="A202" s="605"/>
      <c r="B202" s="2470"/>
      <c r="C202" s="2470"/>
      <c r="D202" s="2470"/>
      <c r="E202" s="2470"/>
      <c r="F202" s="2470"/>
      <c r="G202" s="2470"/>
      <c r="H202" s="2470"/>
      <c r="I202" s="2470"/>
      <c r="J202" s="2470"/>
      <c r="K202" s="2470"/>
      <c r="L202" s="2470"/>
      <c r="M202" s="2470"/>
      <c r="N202" s="2470"/>
      <c r="O202" s="2470"/>
      <c r="P202" s="2470"/>
      <c r="Q202" s="2470"/>
      <c r="R202" s="2470"/>
      <c r="S202" s="2470"/>
      <c r="T202" s="2470"/>
      <c r="U202" s="2470"/>
      <c r="V202" s="2470"/>
      <c r="W202" s="2470"/>
      <c r="X202" s="2470"/>
      <c r="Y202" s="2470"/>
      <c r="Z202" s="2470"/>
      <c r="AA202" s="2470"/>
      <c r="AB202" s="2470"/>
      <c r="AC202" s="846"/>
      <c r="AD202" s="2471"/>
      <c r="AE202" s="2471"/>
      <c r="AF202" s="2471"/>
      <c r="AG202" s="2471"/>
      <c r="AH202" s="2471"/>
      <c r="AI202" s="2471"/>
      <c r="AJ202" s="2471"/>
      <c r="AK202" s="610"/>
    </row>
    <row r="203" spans="1:40">
      <c r="A203" s="605"/>
      <c r="B203" s="2470"/>
      <c r="C203" s="2470"/>
      <c r="D203" s="2470"/>
      <c r="E203" s="2470"/>
      <c r="F203" s="2470"/>
      <c r="G203" s="2470"/>
      <c r="H203" s="2470"/>
      <c r="I203" s="2470"/>
      <c r="J203" s="2470"/>
      <c r="K203" s="2470"/>
      <c r="L203" s="2470"/>
      <c r="M203" s="2470"/>
      <c r="N203" s="2470"/>
      <c r="O203" s="2470"/>
      <c r="P203" s="2470"/>
      <c r="Q203" s="2470"/>
      <c r="R203" s="2470"/>
      <c r="S203" s="2470"/>
      <c r="T203" s="2470"/>
      <c r="U203" s="2470"/>
      <c r="V203" s="2470"/>
      <c r="W203" s="2470"/>
      <c r="X203" s="2470"/>
      <c r="Y203" s="2470"/>
      <c r="Z203" s="2470"/>
      <c r="AA203" s="2470"/>
      <c r="AB203" s="2470"/>
      <c r="AC203" s="846"/>
      <c r="AD203" s="2471"/>
      <c r="AE203" s="2471"/>
      <c r="AF203" s="2471"/>
      <c r="AG203" s="2471"/>
      <c r="AH203" s="2471"/>
      <c r="AI203" s="2471"/>
      <c r="AJ203" s="2471"/>
      <c r="AK203" s="610"/>
    </row>
    <row r="204" spans="1:40">
      <c r="A204" s="605"/>
      <c r="B204" s="2470"/>
      <c r="C204" s="2470"/>
      <c r="D204" s="2470"/>
      <c r="E204" s="2470"/>
      <c r="F204" s="2470"/>
      <c r="G204" s="2470"/>
      <c r="H204" s="2470"/>
      <c r="I204" s="2470"/>
      <c r="J204" s="2470"/>
      <c r="K204" s="2470"/>
      <c r="L204" s="2470"/>
      <c r="M204" s="2470"/>
      <c r="N204" s="2470"/>
      <c r="O204" s="2470"/>
      <c r="P204" s="2470"/>
      <c r="Q204" s="2470"/>
      <c r="R204" s="2470"/>
      <c r="S204" s="2470"/>
      <c r="T204" s="2470"/>
      <c r="U204" s="2470"/>
      <c r="V204" s="2470"/>
      <c r="W204" s="2470"/>
      <c r="X204" s="2470"/>
      <c r="Y204" s="2470"/>
      <c r="Z204" s="2470"/>
      <c r="AA204" s="2470"/>
      <c r="AB204" s="2470"/>
      <c r="AC204" s="846"/>
      <c r="AD204" s="2471"/>
      <c r="AE204" s="2471"/>
      <c r="AF204" s="2471"/>
      <c r="AG204" s="2471"/>
      <c r="AH204" s="2471"/>
      <c r="AI204" s="2471"/>
      <c r="AJ204" s="2471"/>
      <c r="AK204" s="610"/>
    </row>
    <row r="205" spans="1:40">
      <c r="A205" s="605"/>
      <c r="B205" s="2470"/>
      <c r="C205" s="2470"/>
      <c r="D205" s="2470"/>
      <c r="E205" s="2470"/>
      <c r="F205" s="2470"/>
      <c r="G205" s="2470"/>
      <c r="H205" s="2470"/>
      <c r="I205" s="2470"/>
      <c r="J205" s="2470"/>
      <c r="K205" s="2470"/>
      <c r="L205" s="2470"/>
      <c r="M205" s="2470"/>
      <c r="N205" s="2470"/>
      <c r="O205" s="2470"/>
      <c r="P205" s="2470"/>
      <c r="Q205" s="2470"/>
      <c r="R205" s="2470"/>
      <c r="S205" s="2470"/>
      <c r="T205" s="2470"/>
      <c r="U205" s="2470"/>
      <c r="V205" s="2470"/>
      <c r="W205" s="2470"/>
      <c r="X205" s="2470"/>
      <c r="Y205" s="2470"/>
      <c r="Z205" s="2470"/>
      <c r="AA205" s="2470"/>
      <c r="AB205" s="2470"/>
      <c r="AC205" s="846"/>
      <c r="AD205" s="2471"/>
      <c r="AE205" s="2471"/>
      <c r="AF205" s="2471"/>
      <c r="AG205" s="2471"/>
      <c r="AH205" s="2471"/>
      <c r="AI205" s="2471"/>
      <c r="AJ205" s="2471"/>
      <c r="AK205" s="610"/>
    </row>
    <row r="206" spans="1:40">
      <c r="A206" s="605"/>
      <c r="B206" s="2470"/>
      <c r="C206" s="2470"/>
      <c r="D206" s="2470"/>
      <c r="E206" s="2470"/>
      <c r="F206" s="2470"/>
      <c r="G206" s="2470"/>
      <c r="H206" s="2470"/>
      <c r="I206" s="2470"/>
      <c r="J206" s="2470"/>
      <c r="K206" s="2470"/>
      <c r="L206" s="2470"/>
      <c r="M206" s="2470"/>
      <c r="N206" s="2470"/>
      <c r="O206" s="2470"/>
      <c r="P206" s="2470"/>
      <c r="Q206" s="2470"/>
      <c r="R206" s="2470"/>
      <c r="S206" s="2470"/>
      <c r="T206" s="2470"/>
      <c r="U206" s="2470"/>
      <c r="V206" s="2470"/>
      <c r="W206" s="2470"/>
      <c r="X206" s="2470"/>
      <c r="Y206" s="2470"/>
      <c r="Z206" s="2470"/>
      <c r="AA206" s="2470"/>
      <c r="AB206" s="2470"/>
      <c r="AC206" s="846"/>
      <c r="AD206" s="2471"/>
      <c r="AE206" s="2471"/>
      <c r="AF206" s="2471"/>
      <c r="AG206" s="2471"/>
      <c r="AH206" s="2471"/>
      <c r="AI206" s="2471"/>
      <c r="AJ206" s="2471"/>
      <c r="AK206" s="610"/>
    </row>
    <row r="207" spans="1:40">
      <c r="A207" s="605"/>
      <c r="B207" s="2470"/>
      <c r="C207" s="2470"/>
      <c r="D207" s="2470"/>
      <c r="E207" s="2470"/>
      <c r="F207" s="2470"/>
      <c r="G207" s="2470"/>
      <c r="H207" s="2470"/>
      <c r="I207" s="2470"/>
      <c r="J207" s="2470"/>
      <c r="K207" s="2470"/>
      <c r="L207" s="2470"/>
      <c r="M207" s="2470"/>
      <c r="N207" s="2470"/>
      <c r="O207" s="2470"/>
      <c r="P207" s="2470"/>
      <c r="Q207" s="2470"/>
      <c r="R207" s="2470"/>
      <c r="S207" s="2470"/>
      <c r="T207" s="2470"/>
      <c r="U207" s="2470"/>
      <c r="V207" s="2470"/>
      <c r="W207" s="2470"/>
      <c r="X207" s="2470"/>
      <c r="Y207" s="2470"/>
      <c r="Z207" s="2470"/>
      <c r="AA207" s="2470"/>
      <c r="AB207" s="2470"/>
      <c r="AC207" s="846"/>
      <c r="AD207" s="2471"/>
      <c r="AE207" s="2471"/>
      <c r="AF207" s="2471"/>
      <c r="AG207" s="2471"/>
      <c r="AH207" s="2471"/>
      <c r="AI207" s="2471"/>
      <c r="AJ207" s="2471"/>
      <c r="AK207" s="610"/>
    </row>
    <row r="208" spans="1:40">
      <c r="A208" s="605"/>
      <c r="B208" s="2470"/>
      <c r="C208" s="2470"/>
      <c r="D208" s="2470"/>
      <c r="E208" s="2470"/>
      <c r="F208" s="2470"/>
      <c r="G208" s="2470"/>
      <c r="H208" s="2470"/>
      <c r="I208" s="2470"/>
      <c r="J208" s="2470"/>
      <c r="K208" s="2470"/>
      <c r="L208" s="2470"/>
      <c r="M208" s="2470"/>
      <c r="N208" s="2470"/>
      <c r="O208" s="2470"/>
      <c r="P208" s="2470"/>
      <c r="Q208" s="2470"/>
      <c r="R208" s="2470"/>
      <c r="S208" s="2470"/>
      <c r="T208" s="2470"/>
      <c r="U208" s="2470"/>
      <c r="V208" s="2470"/>
      <c r="W208" s="2470"/>
      <c r="X208" s="2470"/>
      <c r="Y208" s="2470"/>
      <c r="Z208" s="2470"/>
      <c r="AA208" s="2470"/>
      <c r="AB208" s="2470"/>
      <c r="AC208" s="846"/>
      <c r="AD208" s="2471"/>
      <c r="AE208" s="2471"/>
      <c r="AF208" s="2471"/>
      <c r="AG208" s="2471"/>
      <c r="AH208" s="2471"/>
      <c r="AI208" s="2471"/>
      <c r="AJ208" s="2471"/>
      <c r="AK208" s="610"/>
    </row>
    <row r="209" spans="1:37">
      <c r="A209" s="605"/>
      <c r="B209" s="2481" t="s">
        <v>1627</v>
      </c>
      <c r="C209" s="2481"/>
      <c r="D209" s="2481"/>
      <c r="E209" s="2481"/>
      <c r="F209" s="2481"/>
      <c r="G209" s="2481"/>
      <c r="H209" s="2481"/>
      <c r="I209" s="2481"/>
      <c r="J209" s="2481"/>
      <c r="K209" s="2481"/>
      <c r="L209" s="2481"/>
      <c r="M209" s="2481"/>
      <c r="N209" s="2481"/>
      <c r="O209" s="2481"/>
      <c r="P209" s="2481"/>
      <c r="Q209" s="2481"/>
      <c r="R209" s="2481"/>
      <c r="S209" s="2481"/>
      <c r="T209" s="2481"/>
      <c r="U209" s="2481"/>
      <c r="V209" s="2481"/>
      <c r="W209" s="2481"/>
      <c r="X209" s="2481"/>
      <c r="Y209" s="2481"/>
      <c r="Z209" s="2481"/>
      <c r="AA209" s="2481"/>
      <c r="AB209" s="2481"/>
      <c r="AC209" s="536"/>
      <c r="AD209" s="2500">
        <f>AB260</f>
        <v>0</v>
      </c>
      <c r="AE209" s="2500"/>
      <c r="AF209" s="2500"/>
      <c r="AG209" s="2500"/>
      <c r="AH209" s="2500"/>
      <c r="AI209" s="2500"/>
      <c r="AJ209" s="2500"/>
      <c r="AK209" s="610"/>
    </row>
    <row r="210" spans="1:37">
      <c r="A210" s="605"/>
      <c r="B210" s="2627" t="s">
        <v>1590</v>
      </c>
      <c r="C210" s="2627"/>
      <c r="D210" s="2627"/>
      <c r="E210" s="2627"/>
      <c r="F210" s="2627"/>
      <c r="G210" s="2627"/>
      <c r="H210" s="2627"/>
      <c r="I210" s="2627"/>
      <c r="J210" s="2627"/>
      <c r="K210" s="2627"/>
      <c r="L210" s="2627"/>
      <c r="M210" s="2627"/>
      <c r="N210" s="2627"/>
      <c r="O210" s="2627"/>
      <c r="P210" s="2627"/>
      <c r="Q210" s="2627"/>
      <c r="R210" s="2627"/>
      <c r="S210" s="2627"/>
      <c r="T210" s="2627"/>
      <c r="U210" s="2627"/>
      <c r="V210" s="2627"/>
      <c r="W210" s="2627"/>
      <c r="X210" s="2627"/>
      <c r="Y210" s="2627"/>
      <c r="Z210" s="2627"/>
      <c r="AA210" s="2627"/>
      <c r="AB210" s="2627"/>
      <c r="AC210" s="846"/>
      <c r="AD210" s="2501">
        <f>'Sources and Uses Budget'!B15</f>
        <v>0</v>
      </c>
      <c r="AE210" s="2501"/>
      <c r="AF210" s="2501"/>
      <c r="AG210" s="2501"/>
      <c r="AH210" s="2501"/>
      <c r="AI210" s="2501"/>
      <c r="AJ210" s="2501"/>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05">
        <f>SUM(AD199:AJ209)-AD210</f>
        <v>2000000</v>
      </c>
      <c r="AE211" s="2505"/>
      <c r="AF211" s="2505"/>
      <c r="AG211" s="2505"/>
      <c r="AH211" s="2505"/>
      <c r="AI211" s="2505"/>
      <c r="AJ211" s="250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74" t="s">
        <v>1607</v>
      </c>
      <c r="J222" s="2474"/>
      <c r="K222" s="2474"/>
      <c r="L222" s="536"/>
      <c r="M222" s="536"/>
      <c r="N222" s="536"/>
      <c r="O222" s="536"/>
      <c r="P222" s="536"/>
      <c r="Q222" s="536"/>
      <c r="R222" s="536"/>
      <c r="S222" s="536"/>
      <c r="T222" s="2662" t="s">
        <v>1601</v>
      </c>
      <c r="U222" s="2662"/>
      <c r="V222" s="2662"/>
      <c r="W222" s="2662"/>
      <c r="X222" s="2662"/>
      <c r="Y222" s="2662"/>
      <c r="Z222" s="849"/>
      <c r="AA222" s="489"/>
      <c r="AB222" s="2469" t="s">
        <v>1602</v>
      </c>
      <c r="AC222" s="2469"/>
      <c r="AD222" s="2469"/>
      <c r="AE222" s="2469"/>
      <c r="AF222" s="2469"/>
      <c r="AG222" s="2469"/>
      <c r="AH222" s="827"/>
      <c r="AI222" s="827"/>
      <c r="AJ222" s="827"/>
      <c r="AK222" s="610"/>
    </row>
    <row r="223" spans="1:37">
      <c r="A223" s="605"/>
      <c r="B223" s="2472" t="s">
        <v>1587</v>
      </c>
      <c r="C223" s="2472"/>
      <c r="D223" s="2472"/>
      <c r="E223" s="2472"/>
      <c r="F223" s="2472"/>
      <c r="G223" s="2472"/>
      <c r="I223" s="2473" t="s">
        <v>1608</v>
      </c>
      <c r="J223" s="2473"/>
      <c r="K223" s="2473"/>
      <c r="L223" s="1008"/>
      <c r="N223" s="2479" t="s">
        <v>1603</v>
      </c>
      <c r="O223" s="2479"/>
      <c r="P223" s="2479"/>
      <c r="Q223" s="2479"/>
      <c r="R223" s="2479"/>
      <c r="T223" s="2479" t="s">
        <v>1604</v>
      </c>
      <c r="U223" s="2479"/>
      <c r="V223" s="2479"/>
      <c r="W223" s="2479"/>
      <c r="X223" s="2479"/>
      <c r="Y223" s="2479"/>
      <c r="Z223" s="850"/>
      <c r="AA223" s="489"/>
      <c r="AB223" s="2616" t="s">
        <v>1605</v>
      </c>
      <c r="AC223" s="2616"/>
      <c r="AD223" s="2616"/>
      <c r="AE223" s="2616"/>
      <c r="AF223" s="2616"/>
      <c r="AG223" s="2616"/>
      <c r="AH223" s="827"/>
      <c r="AI223" s="827"/>
      <c r="AJ223" s="827"/>
      <c r="AK223" s="610"/>
    </row>
    <row r="224" spans="1:37">
      <c r="A224" s="605"/>
      <c r="B224" s="2476" t="s">
        <v>1184</v>
      </c>
      <c r="C224" s="2476"/>
      <c r="D224" s="2476"/>
      <c r="E224" s="2476"/>
      <c r="F224" s="2476"/>
      <c r="G224" s="2476"/>
      <c r="H224" s="852"/>
      <c r="I224" s="2475"/>
      <c r="J224" s="2475"/>
      <c r="K224" s="2475"/>
      <c r="L224" s="1008"/>
      <c r="N224" s="2480"/>
      <c r="O224" s="2480"/>
      <c r="P224" s="2480"/>
      <c r="Q224" s="2480"/>
      <c r="R224" s="2480"/>
      <c r="T224" s="2628"/>
      <c r="U224" s="2628"/>
      <c r="V224" s="2628"/>
      <c r="W224" s="2628"/>
      <c r="X224" s="2628"/>
      <c r="Y224" s="2628"/>
      <c r="Z224" s="851"/>
      <c r="AA224" s="851"/>
      <c r="AB224" s="2477">
        <f t="shared" ref="AB224:AB233" si="0">MAX(($T224-$N224)*$I224*12,0)</f>
        <v>0</v>
      </c>
      <c r="AC224" s="2477"/>
      <c r="AD224" s="2477"/>
      <c r="AE224" s="2477"/>
      <c r="AF224" s="2477"/>
      <c r="AG224" s="2477"/>
      <c r="AH224" s="827"/>
      <c r="AI224" s="827"/>
      <c r="AJ224" s="827"/>
      <c r="AK224" s="610"/>
    </row>
    <row r="225" spans="1:37">
      <c r="A225" s="605"/>
      <c r="B225" s="2476" t="s">
        <v>1184</v>
      </c>
      <c r="C225" s="2476"/>
      <c r="D225" s="2476"/>
      <c r="E225" s="2476"/>
      <c r="F225" s="2476"/>
      <c r="G225" s="2476"/>
      <c r="I225" s="2475"/>
      <c r="J225" s="2475"/>
      <c r="K225" s="2475"/>
      <c r="L225" s="1008"/>
      <c r="N225" s="2480"/>
      <c r="O225" s="2480"/>
      <c r="P225" s="2480"/>
      <c r="Q225" s="2480"/>
      <c r="R225" s="2480"/>
      <c r="T225" s="2628"/>
      <c r="U225" s="2628"/>
      <c r="V225" s="2628"/>
      <c r="W225" s="2628"/>
      <c r="X225" s="2628"/>
      <c r="Y225" s="2628"/>
      <c r="Z225" s="851"/>
      <c r="AA225" s="851"/>
      <c r="AB225" s="2477">
        <f t="shared" si="0"/>
        <v>0</v>
      </c>
      <c r="AC225" s="2477"/>
      <c r="AD225" s="2477"/>
      <c r="AE225" s="2477"/>
      <c r="AF225" s="2477"/>
      <c r="AG225" s="2477"/>
      <c r="AH225" s="827"/>
      <c r="AI225" s="827"/>
      <c r="AJ225" s="827"/>
      <c r="AK225" s="610"/>
    </row>
    <row r="226" spans="1:37">
      <c r="A226" s="605"/>
      <c r="B226" s="2476" t="s">
        <v>1184</v>
      </c>
      <c r="C226" s="2476"/>
      <c r="D226" s="2476"/>
      <c r="E226" s="2476"/>
      <c r="F226" s="2476"/>
      <c r="G226" s="2476"/>
      <c r="I226" s="2475"/>
      <c r="J226" s="2475"/>
      <c r="K226" s="2475"/>
      <c r="L226" s="1008"/>
      <c r="N226" s="2480"/>
      <c r="O226" s="2480"/>
      <c r="P226" s="2480"/>
      <c r="Q226" s="2480"/>
      <c r="R226" s="2480"/>
      <c r="T226" s="2628"/>
      <c r="U226" s="2628"/>
      <c r="V226" s="2628"/>
      <c r="W226" s="2628"/>
      <c r="X226" s="2628"/>
      <c r="Y226" s="2628"/>
      <c r="Z226" s="851"/>
      <c r="AA226" s="851"/>
      <c r="AB226" s="2477">
        <f t="shared" si="0"/>
        <v>0</v>
      </c>
      <c r="AC226" s="2477"/>
      <c r="AD226" s="2477"/>
      <c r="AE226" s="2477"/>
      <c r="AF226" s="2477"/>
      <c r="AG226" s="2477"/>
      <c r="AH226" s="827"/>
      <c r="AI226" s="827"/>
      <c r="AJ226" s="827"/>
      <c r="AK226" s="610"/>
    </row>
    <row r="227" spans="1:37">
      <c r="A227" s="605"/>
      <c r="B227" s="2476" t="s">
        <v>1184</v>
      </c>
      <c r="C227" s="2476"/>
      <c r="D227" s="2476"/>
      <c r="E227" s="2476"/>
      <c r="F227" s="2476"/>
      <c r="G227" s="2476"/>
      <c r="I227" s="2475"/>
      <c r="J227" s="2475"/>
      <c r="K227" s="2475"/>
      <c r="L227" s="1008"/>
      <c r="N227" s="2480"/>
      <c r="O227" s="2480"/>
      <c r="P227" s="2480"/>
      <c r="Q227" s="2480"/>
      <c r="R227" s="2480"/>
      <c r="T227" s="2628"/>
      <c r="U227" s="2628"/>
      <c r="V227" s="2628"/>
      <c r="W227" s="2628"/>
      <c r="X227" s="2628"/>
      <c r="Y227" s="2628"/>
      <c r="Z227" s="851"/>
      <c r="AA227" s="851"/>
      <c r="AB227" s="2477">
        <f t="shared" si="0"/>
        <v>0</v>
      </c>
      <c r="AC227" s="2477"/>
      <c r="AD227" s="2477"/>
      <c r="AE227" s="2477"/>
      <c r="AF227" s="2477"/>
      <c r="AG227" s="2477"/>
      <c r="AH227" s="827"/>
      <c r="AI227" s="827"/>
      <c r="AJ227" s="827"/>
      <c r="AK227" s="610"/>
    </row>
    <row r="228" spans="1:37">
      <c r="A228" s="605"/>
      <c r="B228" s="2476" t="s">
        <v>1184</v>
      </c>
      <c r="C228" s="2476"/>
      <c r="D228" s="2476"/>
      <c r="E228" s="2476"/>
      <c r="F228" s="2476"/>
      <c r="G228" s="2476"/>
      <c r="I228" s="2475"/>
      <c r="J228" s="2475"/>
      <c r="K228" s="2475"/>
      <c r="L228" s="1015"/>
      <c r="N228" s="2480"/>
      <c r="O228" s="2480"/>
      <c r="P228" s="2480"/>
      <c r="Q228" s="2480"/>
      <c r="R228" s="2480"/>
      <c r="T228" s="2628"/>
      <c r="U228" s="2628"/>
      <c r="V228" s="2628"/>
      <c r="W228" s="2628"/>
      <c r="X228" s="2628"/>
      <c r="Y228" s="2628"/>
      <c r="Z228" s="851"/>
      <c r="AA228" s="851"/>
      <c r="AB228" s="2477">
        <f t="shared" si="0"/>
        <v>0</v>
      </c>
      <c r="AC228" s="2477"/>
      <c r="AD228" s="2477"/>
      <c r="AE228" s="2477"/>
      <c r="AF228" s="2477"/>
      <c r="AG228" s="2477"/>
      <c r="AH228" s="827"/>
      <c r="AI228" s="827"/>
      <c r="AJ228" s="827"/>
      <c r="AK228" s="610"/>
    </row>
    <row r="229" spans="1:37">
      <c r="A229" s="605"/>
      <c r="B229" s="2476" t="s">
        <v>1184</v>
      </c>
      <c r="C229" s="2476"/>
      <c r="D229" s="2476"/>
      <c r="E229" s="2476"/>
      <c r="F229" s="2476"/>
      <c r="G229" s="2476"/>
      <c r="I229" s="2475"/>
      <c r="J229" s="2475"/>
      <c r="K229" s="2475"/>
      <c r="L229" s="1015"/>
      <c r="N229" s="2480"/>
      <c r="O229" s="2480"/>
      <c r="P229" s="2480"/>
      <c r="Q229" s="2480"/>
      <c r="R229" s="2480"/>
      <c r="T229" s="2628"/>
      <c r="U229" s="2628"/>
      <c r="V229" s="2628"/>
      <c r="W229" s="2628"/>
      <c r="X229" s="2628"/>
      <c r="Y229" s="2628"/>
      <c r="Z229" s="851"/>
      <c r="AA229" s="851"/>
      <c r="AB229" s="2477">
        <f t="shared" si="0"/>
        <v>0</v>
      </c>
      <c r="AC229" s="2477"/>
      <c r="AD229" s="2477"/>
      <c r="AE229" s="2477"/>
      <c r="AF229" s="2477"/>
      <c r="AG229" s="2477"/>
      <c r="AH229" s="827"/>
      <c r="AI229" s="827"/>
      <c r="AJ229" s="827"/>
      <c r="AK229" s="610"/>
    </row>
    <row r="230" spans="1:37">
      <c r="A230" s="605"/>
      <c r="B230" s="2476" t="s">
        <v>1184</v>
      </c>
      <c r="C230" s="2476"/>
      <c r="D230" s="2476"/>
      <c r="E230" s="2476"/>
      <c r="F230" s="2476"/>
      <c r="G230" s="2476"/>
      <c r="I230" s="2475"/>
      <c r="J230" s="2475"/>
      <c r="K230" s="2475"/>
      <c r="L230" s="1015"/>
      <c r="N230" s="2480"/>
      <c r="O230" s="2480"/>
      <c r="P230" s="2480"/>
      <c r="Q230" s="2480"/>
      <c r="R230" s="2480"/>
      <c r="T230" s="2628"/>
      <c r="U230" s="2628"/>
      <c r="V230" s="2628"/>
      <c r="W230" s="2628"/>
      <c r="X230" s="2628"/>
      <c r="Y230" s="2628"/>
      <c r="Z230" s="851"/>
      <c r="AA230" s="851"/>
      <c r="AB230" s="2477">
        <f t="shared" si="0"/>
        <v>0</v>
      </c>
      <c r="AC230" s="2477"/>
      <c r="AD230" s="2477"/>
      <c r="AE230" s="2477"/>
      <c r="AF230" s="2477"/>
      <c r="AG230" s="2477"/>
      <c r="AH230" s="827"/>
      <c r="AI230" s="827"/>
      <c r="AJ230" s="827"/>
      <c r="AK230" s="610"/>
    </row>
    <row r="231" spans="1:37">
      <c r="A231" s="605"/>
      <c r="B231" s="2476" t="s">
        <v>1184</v>
      </c>
      <c r="C231" s="2476"/>
      <c r="D231" s="2476"/>
      <c r="E231" s="2476"/>
      <c r="F231" s="2476"/>
      <c r="G231" s="2476"/>
      <c r="I231" s="2475"/>
      <c r="J231" s="2475"/>
      <c r="K231" s="2475"/>
      <c r="L231" s="1015"/>
      <c r="N231" s="2480"/>
      <c r="O231" s="2480"/>
      <c r="P231" s="2480"/>
      <c r="Q231" s="2480"/>
      <c r="R231" s="2480"/>
      <c r="T231" s="2628"/>
      <c r="U231" s="2628"/>
      <c r="V231" s="2628"/>
      <c r="W231" s="2628"/>
      <c r="X231" s="2628"/>
      <c r="Y231" s="2628"/>
      <c r="Z231" s="851"/>
      <c r="AA231" s="851"/>
      <c r="AB231" s="2477">
        <f t="shared" si="0"/>
        <v>0</v>
      </c>
      <c r="AC231" s="2477"/>
      <c r="AD231" s="2477"/>
      <c r="AE231" s="2477"/>
      <c r="AF231" s="2477"/>
      <c r="AG231" s="2477"/>
      <c r="AH231" s="827"/>
      <c r="AI231" s="827"/>
      <c r="AJ231" s="827"/>
      <c r="AK231" s="610"/>
    </row>
    <row r="232" spans="1:37">
      <c r="A232" s="605"/>
      <c r="B232" s="2476" t="s">
        <v>1184</v>
      </c>
      <c r="C232" s="2476"/>
      <c r="D232" s="2476"/>
      <c r="E232" s="2476"/>
      <c r="F232" s="2476"/>
      <c r="G232" s="2476"/>
      <c r="I232" s="2475"/>
      <c r="J232" s="2475"/>
      <c r="K232" s="2475"/>
      <c r="L232" s="1015"/>
      <c r="N232" s="2480"/>
      <c r="O232" s="2480"/>
      <c r="P232" s="2480"/>
      <c r="Q232" s="2480"/>
      <c r="R232" s="2480"/>
      <c r="T232" s="2628"/>
      <c r="U232" s="2628"/>
      <c r="V232" s="2628"/>
      <c r="W232" s="2628"/>
      <c r="X232" s="2628"/>
      <c r="Y232" s="2628"/>
      <c r="Z232" s="851"/>
      <c r="AA232" s="851"/>
      <c r="AB232" s="2477">
        <f t="shared" si="0"/>
        <v>0</v>
      </c>
      <c r="AC232" s="2477"/>
      <c r="AD232" s="2477"/>
      <c r="AE232" s="2477"/>
      <c r="AF232" s="2477"/>
      <c r="AG232" s="2477"/>
      <c r="AH232" s="827"/>
      <c r="AI232" s="827"/>
      <c r="AJ232" s="827"/>
      <c r="AK232" s="610"/>
    </row>
    <row r="233" spans="1:37">
      <c r="A233" s="605"/>
      <c r="B233" s="2476" t="s">
        <v>1184</v>
      </c>
      <c r="C233" s="2476"/>
      <c r="D233" s="2476"/>
      <c r="E233" s="2476"/>
      <c r="F233" s="2476"/>
      <c r="G233" s="2476"/>
      <c r="I233" s="2478"/>
      <c r="J233" s="2478"/>
      <c r="K233" s="2478"/>
      <c r="L233" s="1015"/>
      <c r="N233" s="2480"/>
      <c r="O233" s="2480"/>
      <c r="P233" s="2480"/>
      <c r="Q233" s="2480"/>
      <c r="R233" s="2480"/>
      <c r="T233" s="2628"/>
      <c r="U233" s="2628"/>
      <c r="V233" s="2628"/>
      <c r="W233" s="2628"/>
      <c r="X233" s="2628"/>
      <c r="Y233" s="2628"/>
      <c r="Z233" s="851"/>
      <c r="AA233" s="851"/>
      <c r="AB233" s="2626">
        <f t="shared" si="0"/>
        <v>0</v>
      </c>
      <c r="AC233" s="2626"/>
      <c r="AD233" s="2626"/>
      <c r="AE233" s="2626"/>
      <c r="AF233" s="2626"/>
      <c r="AG233" s="262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77">
        <f>SUM(AB224:AB233)</f>
        <v>0</v>
      </c>
      <c r="AC234" s="2477"/>
      <c r="AD234" s="2477"/>
      <c r="AE234" s="2477"/>
      <c r="AF234" s="2477"/>
      <c r="AG234" s="247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9"/>
      <c r="AC240" s="2629"/>
      <c r="AD240" s="2629"/>
      <c r="AE240" s="2629"/>
      <c r="AF240" s="2629"/>
      <c r="AG240" s="2629"/>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9"/>
      <c r="AC243" s="2629"/>
      <c r="AD243" s="2629"/>
      <c r="AE243" s="2629"/>
      <c r="AF243" s="2629"/>
      <c r="AG243" s="262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61"/>
      <c r="AC244" s="2661"/>
      <c r="AD244" s="2661"/>
      <c r="AE244" s="2661"/>
      <c r="AF244" s="2661"/>
      <c r="AG244" s="266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43">
        <f>IFERROR(AB243/AB244,0)</f>
        <v>0</v>
      </c>
      <c r="AC245" s="2643"/>
      <c r="AD245" s="2643"/>
      <c r="AE245" s="2643"/>
      <c r="AF245" s="2643"/>
      <c r="AG245" s="264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26">
        <f>MAX(AB240,AB245)</f>
        <v>0</v>
      </c>
      <c r="AC247" s="2626"/>
      <c r="AD247" s="2626"/>
      <c r="AE247" s="2626"/>
      <c r="AF247" s="2626"/>
      <c r="AG247" s="262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7">
        <f>AB234+AB247</f>
        <v>0</v>
      </c>
      <c r="AC250" s="2477"/>
      <c r="AD250" s="2477"/>
      <c r="AE250" s="2477"/>
      <c r="AF250" s="2477"/>
      <c r="AG250" s="2477"/>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9">
        <v>0.05</v>
      </c>
      <c r="AC251" s="2509"/>
      <c r="AD251" s="2509"/>
      <c r="AE251" s="2509"/>
      <c r="AF251" s="2509"/>
      <c r="AG251" s="250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10">
        <f>AB250-(AB250*AB251)</f>
        <v>0</v>
      </c>
      <c r="AC252" s="2510"/>
      <c r="AD252" s="2510"/>
      <c r="AE252" s="2510"/>
      <c r="AF252" s="2510"/>
      <c r="AG252" s="251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7">
        <f>AB252/AB258</f>
        <v>0</v>
      </c>
      <c r="AC254" s="2477"/>
      <c r="AD254" s="2477"/>
      <c r="AE254" s="2477"/>
      <c r="AF254" s="2477"/>
      <c r="AG254" s="247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9">
        <v>15</v>
      </c>
      <c r="AC256" s="2469"/>
      <c r="AD256" s="2469"/>
      <c r="AE256" s="2469"/>
      <c r="AF256" s="2469"/>
      <c r="AG256" s="246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11">
        <v>0.04</v>
      </c>
      <c r="AC257" s="2511"/>
      <c r="AD257" s="2511"/>
      <c r="AE257" s="2511"/>
      <c r="AF257" s="2511"/>
      <c r="AG257" s="2511"/>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82">
        <v>1.1499999999999999</v>
      </c>
      <c r="AC258" s="2482"/>
      <c r="AD258" s="2482"/>
      <c r="AE258" s="2482"/>
      <c r="AF258" s="2482"/>
      <c r="AG258" s="248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02">
        <f>PV(AB257/12,AB256*12,-AB254/12, ,0)</f>
        <v>0</v>
      </c>
      <c r="AC260" s="2503"/>
      <c r="AD260" s="2503"/>
      <c r="AE260" s="2503"/>
      <c r="AF260" s="2503"/>
      <c r="AG260" s="2504"/>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06">
        <f>IFERROR(('Sources and Uses Budget'!D105/'Sources and Uses Budget'!B105),0)</f>
        <v>0</v>
      </c>
      <c r="AC266" s="2507"/>
      <c r="AD266" s="2507"/>
      <c r="AE266" s="2507"/>
      <c r="AF266" s="2507"/>
      <c r="AG266" s="250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96">
        <f>AD211*(1-AB266)</f>
        <v>2000000</v>
      </c>
      <c r="AH268" s="2496"/>
      <c r="AI268" s="2496"/>
      <c r="AJ268" s="2496"/>
      <c r="AK268" s="249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96">
        <f>'Sources and Uses Budget'!C105</f>
        <v>38908132</v>
      </c>
      <c r="AH269" s="2496"/>
      <c r="AI269" s="2496"/>
      <c r="AJ269" s="2496"/>
      <c r="AK269" s="249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7">
        <f>ROUNDDOWN(IF(AND(C292="Yes",AK84=10),((AG268*2)/AG269),AG268/AG269),2)</f>
        <v>0.1</v>
      </c>
      <c r="AH270" s="2497"/>
      <c r="AI270" s="2497"/>
      <c r="AJ270" s="2497"/>
      <c r="AK270" s="2497"/>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98">
        <f>IFERROR(IF(AG270=0,0,IF((AG270*100)&gt;8,8,(AG270*100))),0)</f>
        <v>8</v>
      </c>
      <c r="AL273" s="2498"/>
      <c r="AM273" s="2499"/>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90" t="s">
        <v>545</v>
      </c>
      <c r="D278" s="2490"/>
      <c r="E278" s="547"/>
      <c r="F278" s="2647" t="s">
        <v>2024</v>
      </c>
      <c r="G278" s="2648"/>
      <c r="H278" s="2648"/>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48"/>
      <c r="AD278" s="2649"/>
      <c r="AE278" s="550"/>
      <c r="AF278" s="635"/>
      <c r="AG278" s="2491" t="s">
        <v>1363</v>
      </c>
      <c r="AH278" s="2491"/>
      <c r="AI278" s="2491"/>
      <c r="AJ278" s="2491"/>
      <c r="AK278" s="550"/>
      <c r="AL278" s="550"/>
      <c r="AM278" s="550"/>
      <c r="AO278" s="550"/>
    </row>
    <row r="279" spans="1:52" ht="13.75" customHeight="1">
      <c r="A279" s="550"/>
      <c r="B279" s="596"/>
      <c r="C279" s="636"/>
      <c r="D279" s="550"/>
      <c r="E279" s="547"/>
      <c r="F279" s="2650"/>
      <c r="G279" s="2651"/>
      <c r="H279" s="2651"/>
      <c r="I279" s="2651"/>
      <c r="J279" s="2651"/>
      <c r="K279" s="2651"/>
      <c r="L279" s="2651"/>
      <c r="M279" s="2651"/>
      <c r="N279" s="2651"/>
      <c r="O279" s="2651"/>
      <c r="P279" s="2651"/>
      <c r="Q279" s="2651"/>
      <c r="R279" s="2651"/>
      <c r="S279" s="2651"/>
      <c r="T279" s="2651"/>
      <c r="U279" s="2651"/>
      <c r="V279" s="2651"/>
      <c r="W279" s="2651"/>
      <c r="X279" s="2651"/>
      <c r="Y279" s="2651"/>
      <c r="Z279" s="2651"/>
      <c r="AA279" s="2651"/>
      <c r="AB279" s="2651"/>
      <c r="AC279" s="2651"/>
      <c r="AD279" s="2652"/>
      <c r="AE279" s="550"/>
      <c r="AF279" s="635"/>
      <c r="AG279" s="635"/>
      <c r="AH279" s="635"/>
      <c r="AI279" s="635"/>
      <c r="AJ279" s="550"/>
      <c r="AK279" s="550"/>
      <c r="AL279" s="550"/>
      <c r="AM279" s="550"/>
      <c r="AO279" s="550"/>
    </row>
    <row r="280" spans="1:52">
      <c r="A280" s="550"/>
      <c r="B280" s="596"/>
      <c r="C280" s="636"/>
      <c r="D280" s="550"/>
      <c r="E280" s="547"/>
      <c r="F280" s="2650"/>
      <c r="G280" s="2651"/>
      <c r="H280" s="2651"/>
      <c r="I280" s="2651"/>
      <c r="J280" s="2651"/>
      <c r="K280" s="2651"/>
      <c r="L280" s="2651"/>
      <c r="M280" s="2651"/>
      <c r="N280" s="2651"/>
      <c r="O280" s="2651"/>
      <c r="P280" s="2651"/>
      <c r="Q280" s="2651"/>
      <c r="R280" s="2651"/>
      <c r="S280" s="2651"/>
      <c r="T280" s="2651"/>
      <c r="U280" s="2651"/>
      <c r="V280" s="2651"/>
      <c r="W280" s="2651"/>
      <c r="X280" s="2651"/>
      <c r="Y280" s="2651"/>
      <c r="Z280" s="2651"/>
      <c r="AA280" s="2651"/>
      <c r="AB280" s="2651"/>
      <c r="AC280" s="2651"/>
      <c r="AD280" s="2652"/>
      <c r="AE280" s="550"/>
      <c r="AF280" s="635"/>
      <c r="AG280" s="635"/>
      <c r="AH280" s="635"/>
      <c r="AI280" s="635"/>
      <c r="AJ280" s="550"/>
      <c r="AK280" s="550"/>
      <c r="AL280" s="550"/>
      <c r="AM280" s="550"/>
      <c r="AO280" s="550"/>
      <c r="AP280" s="637"/>
    </row>
    <row r="281" spans="1:52">
      <c r="A281" s="550"/>
      <c r="B281" s="596"/>
      <c r="C281" s="636"/>
      <c r="D281" s="550"/>
      <c r="E281" s="547"/>
      <c r="F281" s="2650"/>
      <c r="G281" s="2651"/>
      <c r="H281" s="2651"/>
      <c r="I281" s="2651"/>
      <c r="J281" s="2651"/>
      <c r="K281" s="2651"/>
      <c r="L281" s="2651"/>
      <c r="M281" s="2651"/>
      <c r="N281" s="2651"/>
      <c r="O281" s="2651"/>
      <c r="P281" s="2651"/>
      <c r="Q281" s="2651"/>
      <c r="R281" s="2651"/>
      <c r="S281" s="2651"/>
      <c r="T281" s="2651"/>
      <c r="U281" s="2651"/>
      <c r="V281" s="2651"/>
      <c r="W281" s="2651"/>
      <c r="X281" s="2651"/>
      <c r="Y281" s="2651"/>
      <c r="Z281" s="2651"/>
      <c r="AA281" s="2651"/>
      <c r="AB281" s="2651"/>
      <c r="AC281" s="2651"/>
      <c r="AD281" s="2652"/>
      <c r="AE281" s="550"/>
      <c r="AF281" s="635"/>
      <c r="AG281" s="635"/>
      <c r="AH281" s="635"/>
      <c r="AI281" s="635"/>
      <c r="AJ281" s="550"/>
      <c r="AK281" s="550"/>
      <c r="AL281" s="550"/>
      <c r="AM281" s="550"/>
      <c r="AO281" s="550"/>
      <c r="AP281" s="637"/>
    </row>
    <row r="282" spans="1:52" ht="13.75" customHeight="1">
      <c r="A282" s="550"/>
      <c r="B282" s="596"/>
      <c r="C282" s="2492"/>
      <c r="D282" s="2492"/>
      <c r="E282" s="547"/>
      <c r="F282" s="2653"/>
      <c r="G282" s="2654"/>
      <c r="H282" s="2654"/>
      <c r="I282" s="2654"/>
      <c r="J282" s="2654"/>
      <c r="K282" s="2654"/>
      <c r="L282" s="2654"/>
      <c r="M282" s="2654"/>
      <c r="N282" s="2654"/>
      <c r="O282" s="2654"/>
      <c r="P282" s="2654"/>
      <c r="Q282" s="2654"/>
      <c r="R282" s="2654"/>
      <c r="S282" s="2654"/>
      <c r="T282" s="2654"/>
      <c r="U282" s="2654"/>
      <c r="V282" s="2654"/>
      <c r="W282" s="2654"/>
      <c r="X282" s="2654"/>
      <c r="Y282" s="2654"/>
      <c r="Z282" s="2654"/>
      <c r="AA282" s="2654"/>
      <c r="AB282" s="2654"/>
      <c r="AC282" s="2654"/>
      <c r="AD282" s="2655"/>
      <c r="AE282" s="550"/>
      <c r="AF282" s="635"/>
      <c r="AG282" s="2491"/>
      <c r="AH282" s="2491"/>
      <c r="AI282" s="2491"/>
      <c r="AJ282" s="2491"/>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98">
        <f>IF($C$278="yes",10,0)</f>
        <v>10</v>
      </c>
      <c r="AL285" s="2498"/>
      <c r="AM285" s="2499"/>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1382</v>
      </c>
      <c r="B292" s="1637"/>
      <c r="C292" s="2486" t="s">
        <v>545</v>
      </c>
      <c r="D292" s="2490"/>
      <c r="E292" s="547"/>
      <c r="F292" s="2518" t="s">
        <v>1383</v>
      </c>
      <c r="G292" s="2519"/>
      <c r="H292" s="2519"/>
      <c r="I292" s="2519"/>
      <c r="J292" s="2519"/>
      <c r="K292" s="2519"/>
      <c r="L292" s="2519"/>
      <c r="M292" s="2519"/>
      <c r="N292" s="2519"/>
      <c r="O292" s="2519"/>
      <c r="P292" s="2519"/>
      <c r="Q292" s="2519"/>
      <c r="R292" s="2519"/>
      <c r="S292" s="2519"/>
      <c r="T292" s="2519"/>
      <c r="U292" s="2519"/>
      <c r="V292" s="2519"/>
      <c r="W292" s="2519"/>
      <c r="X292" s="2519"/>
      <c r="Y292" s="2519"/>
      <c r="Z292" s="2519"/>
      <c r="AA292" s="2519"/>
      <c r="AB292" s="2519"/>
      <c r="AC292" s="2519"/>
      <c r="AD292" s="2520"/>
      <c r="AE292" s="642"/>
      <c r="AF292" s="550"/>
      <c r="AG292" s="2521" t="s">
        <v>2017</v>
      </c>
      <c r="AH292" s="2521"/>
      <c r="AI292" s="2521"/>
      <c r="AJ292" s="2521"/>
      <c r="AK292" s="2521"/>
      <c r="AL292" s="550"/>
      <c r="AM292" s="550"/>
      <c r="AN292" s="73"/>
      <c r="AO292" s="14"/>
      <c r="AP292" s="30"/>
      <c r="AS292" s="570"/>
      <c r="AT292" s="570"/>
      <c r="AU292" s="570"/>
      <c r="AV292" s="32"/>
      <c r="AW292" s="32"/>
    </row>
    <row r="293" spans="1:49" ht="13">
      <c r="A293" s="640"/>
      <c r="B293" s="596"/>
      <c r="F293" s="2512"/>
      <c r="G293" s="2513"/>
      <c r="H293" s="2513"/>
      <c r="I293" s="2513"/>
      <c r="J293" s="2513"/>
      <c r="K293" s="2513"/>
      <c r="L293" s="2513"/>
      <c r="M293" s="2513"/>
      <c r="N293" s="2513"/>
      <c r="O293" s="2513"/>
      <c r="P293" s="2513"/>
      <c r="Q293" s="2513"/>
      <c r="R293" s="2513"/>
      <c r="S293" s="2513"/>
      <c r="T293" s="2513"/>
      <c r="U293" s="2513"/>
      <c r="V293" s="2513"/>
      <c r="W293" s="2513"/>
      <c r="X293" s="2513"/>
      <c r="Y293" s="2513"/>
      <c r="Z293" s="2513"/>
      <c r="AA293" s="2513"/>
      <c r="AB293" s="2513"/>
      <c r="AC293" s="2513"/>
      <c r="AD293" s="2514"/>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12"/>
      <c r="G294" s="2513"/>
      <c r="H294" s="2513"/>
      <c r="I294" s="2513"/>
      <c r="J294" s="2513"/>
      <c r="K294" s="2513"/>
      <c r="L294" s="2513"/>
      <c r="M294" s="2513"/>
      <c r="N294" s="2513"/>
      <c r="O294" s="2513"/>
      <c r="P294" s="2513"/>
      <c r="Q294" s="2513"/>
      <c r="R294" s="2513"/>
      <c r="S294" s="2513"/>
      <c r="T294" s="2513"/>
      <c r="U294" s="2513"/>
      <c r="V294" s="2513"/>
      <c r="W294" s="2513"/>
      <c r="X294" s="2513"/>
      <c r="Y294" s="2513"/>
      <c r="Z294" s="2513"/>
      <c r="AA294" s="2513"/>
      <c r="AB294" s="2513"/>
      <c r="AC294" s="2513"/>
      <c r="AD294" s="251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12" t="s">
        <v>2025</v>
      </c>
      <c r="G295" s="2513"/>
      <c r="H295" s="2513"/>
      <c r="I295" s="2513"/>
      <c r="J295" s="2513"/>
      <c r="K295" s="2513"/>
      <c r="L295" s="2513"/>
      <c r="M295" s="2513"/>
      <c r="N295" s="2513"/>
      <c r="O295" s="2513"/>
      <c r="P295" s="2513"/>
      <c r="Q295" s="2513"/>
      <c r="R295" s="2513"/>
      <c r="S295" s="2513"/>
      <c r="T295" s="2513"/>
      <c r="U295" s="2513"/>
      <c r="V295" s="2513"/>
      <c r="W295" s="2513"/>
      <c r="X295" s="2513"/>
      <c r="Y295" s="2513"/>
      <c r="Z295" s="2513"/>
      <c r="AA295" s="2513"/>
      <c r="AB295" s="2513"/>
      <c r="AC295" s="2513"/>
      <c r="AD295" s="2514"/>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ht="13">
      <c r="A296" s="640"/>
      <c r="B296" s="596"/>
      <c r="F296" s="2512"/>
      <c r="G296" s="2513"/>
      <c r="H296" s="2513"/>
      <c r="I296" s="2513"/>
      <c r="J296" s="2513"/>
      <c r="K296" s="2513"/>
      <c r="L296" s="2513"/>
      <c r="M296" s="2513"/>
      <c r="N296" s="2513"/>
      <c r="O296" s="2513"/>
      <c r="P296" s="2513"/>
      <c r="Q296" s="2513"/>
      <c r="R296" s="2513"/>
      <c r="S296" s="2513"/>
      <c r="T296" s="2513"/>
      <c r="U296" s="2513"/>
      <c r="V296" s="2513"/>
      <c r="W296" s="2513"/>
      <c r="X296" s="2513"/>
      <c r="Y296" s="2513"/>
      <c r="Z296" s="2513"/>
      <c r="AA296" s="2513"/>
      <c r="AB296" s="2513"/>
      <c r="AC296" s="2513"/>
      <c r="AD296" s="251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12" t="s">
        <v>1384</v>
      </c>
      <c r="G297" s="2513"/>
      <c r="H297" s="2513"/>
      <c r="I297" s="2513"/>
      <c r="J297" s="2513"/>
      <c r="K297" s="2513"/>
      <c r="L297" s="2513"/>
      <c r="M297" s="2513"/>
      <c r="N297" s="2513"/>
      <c r="O297" s="2513"/>
      <c r="P297" s="2513"/>
      <c r="Q297" s="2513"/>
      <c r="R297" s="2513"/>
      <c r="S297" s="2513"/>
      <c r="T297" s="2513"/>
      <c r="U297" s="2513"/>
      <c r="V297" s="2513"/>
      <c r="W297" s="2513"/>
      <c r="X297" s="2513"/>
      <c r="Y297" s="2513"/>
      <c r="Z297" s="2513"/>
      <c r="AA297" s="2513"/>
      <c r="AB297" s="2513"/>
      <c r="AC297" s="2513"/>
      <c r="AD297" s="251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12"/>
      <c r="G298" s="2513"/>
      <c r="H298" s="2513"/>
      <c r="I298" s="2513"/>
      <c r="J298" s="2513"/>
      <c r="K298" s="2513"/>
      <c r="L298" s="2513"/>
      <c r="M298" s="2513"/>
      <c r="N298" s="2513"/>
      <c r="O298" s="2513"/>
      <c r="P298" s="2513"/>
      <c r="Q298" s="2513"/>
      <c r="R298" s="2513"/>
      <c r="S298" s="2513"/>
      <c r="T298" s="2513"/>
      <c r="U298" s="2513"/>
      <c r="V298" s="2513"/>
      <c r="W298" s="2513"/>
      <c r="X298" s="2513"/>
      <c r="Y298" s="2513"/>
      <c r="Z298" s="2513"/>
      <c r="AA298" s="2513"/>
      <c r="AB298" s="2513"/>
      <c r="AC298" s="2513"/>
      <c r="AD298" s="251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12" t="s">
        <v>1385</v>
      </c>
      <c r="G299" s="2513"/>
      <c r="H299" s="2513"/>
      <c r="I299" s="2513"/>
      <c r="J299" s="2513"/>
      <c r="K299" s="2513"/>
      <c r="L299" s="2513"/>
      <c r="M299" s="2513"/>
      <c r="N299" s="2513"/>
      <c r="O299" s="2513"/>
      <c r="P299" s="2513"/>
      <c r="Q299" s="2513"/>
      <c r="R299" s="2513"/>
      <c r="S299" s="2513"/>
      <c r="T299" s="2513"/>
      <c r="U299" s="2513"/>
      <c r="V299" s="2513"/>
      <c r="W299" s="2513"/>
      <c r="X299" s="2513"/>
      <c r="Y299" s="2513"/>
      <c r="Z299" s="2513"/>
      <c r="AA299" s="2513"/>
      <c r="AB299" s="2513"/>
      <c r="AC299" s="2513"/>
      <c r="AD299" s="251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15"/>
      <c r="G300" s="2516"/>
      <c r="H300" s="2516"/>
      <c r="I300" s="2516"/>
      <c r="J300" s="2516"/>
      <c r="K300" s="2516"/>
      <c r="L300" s="2516"/>
      <c r="M300" s="2516"/>
      <c r="N300" s="2516"/>
      <c r="O300" s="2516"/>
      <c r="P300" s="2516"/>
      <c r="Q300" s="2516"/>
      <c r="R300" s="2516"/>
      <c r="S300" s="2516"/>
      <c r="T300" s="2516"/>
      <c r="U300" s="2516"/>
      <c r="V300" s="2516"/>
      <c r="W300" s="2516"/>
      <c r="X300" s="2516"/>
      <c r="Y300" s="2516"/>
      <c r="Z300" s="2516"/>
      <c r="AA300" s="2516"/>
      <c r="AB300" s="2516"/>
      <c r="AC300" s="2516"/>
      <c r="AD300" s="251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1386</v>
      </c>
      <c r="B302" s="1637"/>
      <c r="C302" s="2490" t="s">
        <v>591</v>
      </c>
      <c r="D302" s="249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20" t="s">
        <v>2019</v>
      </c>
      <c r="G303" s="2421"/>
      <c r="H303" s="2421"/>
      <c r="I303" s="2421"/>
      <c r="J303" s="2421"/>
      <c r="K303" s="2421"/>
      <c r="L303" s="2421"/>
      <c r="M303" s="2421"/>
      <c r="N303" s="2421"/>
      <c r="O303" s="2421"/>
      <c r="P303" s="2421"/>
      <c r="Q303" s="2421"/>
      <c r="R303" s="2421"/>
      <c r="S303" s="2421"/>
      <c r="T303" s="2421"/>
      <c r="U303" s="2421"/>
      <c r="V303" s="2421"/>
      <c r="W303" s="2421"/>
      <c r="X303" s="2421"/>
      <c r="Y303" s="2421"/>
      <c r="Z303" s="2421"/>
      <c r="AA303" s="2421"/>
      <c r="AB303" s="2421"/>
      <c r="AC303" s="2421"/>
      <c r="AD303" s="2422"/>
      <c r="AE303" s="551"/>
      <c r="AF303" s="551"/>
      <c r="AG303" s="551"/>
      <c r="AH303" s="551"/>
      <c r="AI303" s="551"/>
      <c r="AJ303" s="550"/>
      <c r="AK303" s="550"/>
      <c r="AL303" s="550"/>
      <c r="AM303" s="550"/>
      <c r="AR303" s="648"/>
    </row>
    <row r="304" spans="1:49" ht="15" customHeight="1">
      <c r="A304" s="550"/>
      <c r="B304" s="551"/>
      <c r="C304" s="550"/>
      <c r="D304" s="551"/>
      <c r="E304" s="550"/>
      <c r="F304" s="2420"/>
      <c r="G304" s="2421"/>
      <c r="H304" s="2421"/>
      <c r="I304" s="2421"/>
      <c r="J304" s="2421"/>
      <c r="K304" s="2421"/>
      <c r="L304" s="2421"/>
      <c r="M304" s="2421"/>
      <c r="N304" s="2421"/>
      <c r="O304" s="2421"/>
      <c r="P304" s="2421"/>
      <c r="Q304" s="2421"/>
      <c r="R304" s="2421"/>
      <c r="S304" s="2421"/>
      <c r="T304" s="2421"/>
      <c r="U304" s="2421"/>
      <c r="V304" s="2421"/>
      <c r="W304" s="2421"/>
      <c r="X304" s="2421"/>
      <c r="Y304" s="2421"/>
      <c r="Z304" s="2421"/>
      <c r="AA304" s="2421"/>
      <c r="AB304" s="2421"/>
      <c r="AC304" s="2421"/>
      <c r="AD304" s="2422"/>
      <c r="AE304" s="551"/>
      <c r="AF304" s="551"/>
      <c r="AG304" s="551"/>
      <c r="AH304" s="551"/>
      <c r="AI304" s="551"/>
      <c r="AJ304" s="550"/>
      <c r="AK304" s="550"/>
      <c r="AL304" s="550"/>
      <c r="AM304" s="550"/>
      <c r="AR304" s="648"/>
    </row>
    <row r="305" spans="1:44">
      <c r="A305" s="550"/>
      <c r="B305" s="551"/>
      <c r="C305" s="550"/>
      <c r="D305" s="551"/>
      <c r="E305" s="550"/>
      <c r="F305" s="2420"/>
      <c r="G305" s="2421"/>
      <c r="H305" s="2421"/>
      <c r="I305" s="2421"/>
      <c r="J305" s="2421"/>
      <c r="K305" s="2421"/>
      <c r="L305" s="2421"/>
      <c r="M305" s="2421"/>
      <c r="N305" s="2421"/>
      <c r="O305" s="2421"/>
      <c r="P305" s="2421"/>
      <c r="Q305" s="2421"/>
      <c r="R305" s="2421"/>
      <c r="S305" s="2421"/>
      <c r="T305" s="2421"/>
      <c r="U305" s="2421"/>
      <c r="V305" s="2421"/>
      <c r="W305" s="2421"/>
      <c r="X305" s="2421"/>
      <c r="Y305" s="2421"/>
      <c r="Z305" s="2421"/>
      <c r="AA305" s="2421"/>
      <c r="AB305" s="2421"/>
      <c r="AC305" s="2421"/>
      <c r="AD305" s="242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7"/>
      <c r="G306" s="2418"/>
      <c r="H306" s="2418"/>
      <c r="I306" s="2418"/>
      <c r="J306" s="2418"/>
      <c r="K306" s="2418"/>
      <c r="L306" s="2418"/>
      <c r="M306" s="2418"/>
      <c r="N306" s="2418"/>
      <c r="O306" s="2418"/>
      <c r="P306" s="2418"/>
      <c r="Q306" s="2418"/>
      <c r="R306" s="2418"/>
      <c r="S306" s="2418"/>
      <c r="T306" s="2418"/>
      <c r="U306" s="2418"/>
      <c r="V306" s="2418"/>
      <c r="W306" s="2418"/>
      <c r="X306" s="2418"/>
      <c r="Y306" s="2418"/>
      <c r="Z306" s="2418"/>
      <c r="AA306" s="2418"/>
      <c r="AB306" s="2418"/>
      <c r="AC306" s="2418"/>
      <c r="AD306" s="241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7" t="s">
        <v>1389</v>
      </c>
      <c r="B310" s="1637"/>
      <c r="C310" s="2490" t="s">
        <v>591</v>
      </c>
      <c r="D310" s="249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512" t="s">
        <v>2026</v>
      </c>
      <c r="G311" s="2513"/>
      <c r="H311" s="2513"/>
      <c r="I311" s="2513"/>
      <c r="J311" s="2513"/>
      <c r="K311" s="2513"/>
      <c r="L311" s="2513"/>
      <c r="M311" s="2513"/>
      <c r="N311" s="2513"/>
      <c r="O311" s="2513"/>
      <c r="P311" s="2513"/>
      <c r="Q311" s="2513"/>
      <c r="R311" s="2513"/>
      <c r="S311" s="2513"/>
      <c r="T311" s="2513"/>
      <c r="U311" s="2513"/>
      <c r="V311" s="2513"/>
      <c r="W311" s="2513"/>
      <c r="X311" s="2513"/>
      <c r="Y311" s="2513"/>
      <c r="Z311" s="2513"/>
      <c r="AA311" s="2513"/>
      <c r="AB311" s="2513"/>
      <c r="AC311" s="2513"/>
      <c r="AD311" s="2514"/>
      <c r="AE311" s="551"/>
      <c r="AF311" s="551"/>
      <c r="AG311" s="539"/>
      <c r="AH311" s="551"/>
      <c r="AI311" s="551"/>
      <c r="AJ311" s="550"/>
      <c r="AK311" s="550"/>
      <c r="AL311" s="550"/>
      <c r="AM311" s="550"/>
      <c r="AN311" s="73"/>
      <c r="AO311" s="14"/>
      <c r="AP311" s="557" t="s">
        <v>1184</v>
      </c>
    </row>
    <row r="312" spans="1:44" hidden="1">
      <c r="F312" s="2512"/>
      <c r="G312" s="2513"/>
      <c r="H312" s="2513"/>
      <c r="I312" s="2513"/>
      <c r="J312" s="2513"/>
      <c r="K312" s="2513"/>
      <c r="L312" s="2513"/>
      <c r="M312" s="2513"/>
      <c r="N312" s="2513"/>
      <c r="O312" s="2513"/>
      <c r="P312" s="2513"/>
      <c r="Q312" s="2513"/>
      <c r="R312" s="2513"/>
      <c r="S312" s="2513"/>
      <c r="T312" s="2513"/>
      <c r="U312" s="2513"/>
      <c r="V312" s="2513"/>
      <c r="W312" s="2513"/>
      <c r="X312" s="2513"/>
      <c r="Y312" s="2513"/>
      <c r="Z312" s="2513"/>
      <c r="AA312" s="2513"/>
      <c r="AB312" s="2513"/>
      <c r="AC312" s="2513"/>
      <c r="AD312" s="2514"/>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22" t="s">
        <v>1184</v>
      </c>
      <c r="G316" s="2523"/>
      <c r="H316" s="2523"/>
      <c r="I316" s="2523"/>
      <c r="J316" s="2523"/>
      <c r="K316" s="2523"/>
      <c r="L316" s="2523"/>
      <c r="M316" s="2523"/>
      <c r="N316" s="2523"/>
      <c r="O316" s="2523"/>
      <c r="P316" s="2523"/>
      <c r="Q316" s="2523"/>
      <c r="R316" s="2523"/>
      <c r="S316" s="2523"/>
      <c r="T316" s="2523"/>
      <c r="U316" s="2523"/>
      <c r="V316" s="2523"/>
      <c r="W316" s="2523"/>
      <c r="X316" s="2523"/>
      <c r="Y316" s="2523"/>
      <c r="Z316" s="2523"/>
      <c r="AA316" s="2523"/>
      <c r="AB316" s="2523"/>
      <c r="AC316" s="2523"/>
      <c r="AD316" s="2524"/>
      <c r="AE316" s="642"/>
      <c r="AF316" s="642"/>
      <c r="AG316" s="642"/>
      <c r="AH316" s="642"/>
      <c r="AI316" s="642"/>
      <c r="AJ316" s="642"/>
      <c r="AK316" s="642"/>
      <c r="AL316" s="550"/>
      <c r="AM316" s="550"/>
      <c r="AN316" s="73"/>
      <c r="AO316" s="14"/>
      <c r="AP316" s="30"/>
    </row>
    <row r="317" spans="1:44" ht="13" hidden="1">
      <c r="A317" s="550"/>
      <c r="B317" s="551"/>
      <c r="C317" s="730"/>
      <c r="D317" s="730"/>
      <c r="E317" s="547"/>
      <c r="F317" s="2522"/>
      <c r="G317" s="2523"/>
      <c r="H317" s="2523"/>
      <c r="I317" s="2523"/>
      <c r="J317" s="2523"/>
      <c r="K317" s="2523"/>
      <c r="L317" s="2523"/>
      <c r="M317" s="2523"/>
      <c r="N317" s="2523"/>
      <c r="O317" s="2523"/>
      <c r="P317" s="2523"/>
      <c r="Q317" s="2523"/>
      <c r="R317" s="2523"/>
      <c r="S317" s="2523"/>
      <c r="T317" s="2523"/>
      <c r="U317" s="2523"/>
      <c r="V317" s="2523"/>
      <c r="W317" s="2523"/>
      <c r="X317" s="2523"/>
      <c r="Y317" s="2523"/>
      <c r="Z317" s="2523"/>
      <c r="AA317" s="2523"/>
      <c r="AB317" s="2523"/>
      <c r="AC317" s="2523"/>
      <c r="AD317" s="2524"/>
      <c r="AE317" s="551"/>
      <c r="AF317" s="551"/>
      <c r="AG317" s="539"/>
      <c r="AH317" s="551"/>
      <c r="AI317" s="551"/>
      <c r="AJ317" s="550"/>
      <c r="AK317" s="550"/>
      <c r="AL317" s="550"/>
      <c r="AM317" s="550"/>
      <c r="AN317" s="73"/>
      <c r="AO317" s="14"/>
      <c r="AP317" s="30"/>
    </row>
    <row r="318" spans="1:44" ht="13" hidden="1">
      <c r="A318" s="550"/>
      <c r="B318" s="551"/>
      <c r="C318" s="730"/>
      <c r="D318" s="730"/>
      <c r="E318" s="547"/>
      <c r="F318" s="2522"/>
      <c r="G318" s="2523"/>
      <c r="H318" s="2523"/>
      <c r="I318" s="2523"/>
      <c r="J318" s="2523"/>
      <c r="K318" s="2523"/>
      <c r="L318" s="2523"/>
      <c r="M318" s="2523"/>
      <c r="N318" s="2523"/>
      <c r="O318" s="2523"/>
      <c r="P318" s="2523"/>
      <c r="Q318" s="2523"/>
      <c r="R318" s="2523"/>
      <c r="S318" s="2523"/>
      <c r="T318" s="2523"/>
      <c r="U318" s="2523"/>
      <c r="V318" s="2523"/>
      <c r="W318" s="2523"/>
      <c r="X318" s="2523"/>
      <c r="Y318" s="2523"/>
      <c r="Z318" s="2523"/>
      <c r="AA318" s="2523"/>
      <c r="AB318" s="2523"/>
      <c r="AC318" s="2523"/>
      <c r="AD318" s="2524"/>
      <c r="AE318" s="551"/>
      <c r="AF318" s="551"/>
      <c r="AG318" s="539"/>
      <c r="AH318" s="551"/>
      <c r="AI318" s="551"/>
      <c r="AJ318" s="550"/>
      <c r="AK318" s="550"/>
      <c r="AL318" s="550"/>
      <c r="AM318" s="550"/>
      <c r="AN318" s="73"/>
      <c r="AO318" s="14"/>
      <c r="AP318" s="30"/>
    </row>
    <row r="319" spans="1:44" ht="13" hidden="1">
      <c r="A319" s="550"/>
      <c r="B319" s="551"/>
      <c r="C319" s="730"/>
      <c r="D319" s="730"/>
      <c r="E319" s="547"/>
      <c r="F319" s="2522"/>
      <c r="G319" s="2523"/>
      <c r="H319" s="2523"/>
      <c r="I319" s="2523"/>
      <c r="J319" s="2523"/>
      <c r="K319" s="2523"/>
      <c r="L319" s="2523"/>
      <c r="M319" s="2523"/>
      <c r="N319" s="2523"/>
      <c r="O319" s="2523"/>
      <c r="P319" s="2523"/>
      <c r="Q319" s="2523"/>
      <c r="R319" s="2523"/>
      <c r="S319" s="2523"/>
      <c r="T319" s="2523"/>
      <c r="U319" s="2523"/>
      <c r="V319" s="2523"/>
      <c r="W319" s="2523"/>
      <c r="X319" s="2523"/>
      <c r="Y319" s="2523"/>
      <c r="Z319" s="2523"/>
      <c r="AA319" s="2523"/>
      <c r="AB319" s="2523"/>
      <c r="AC319" s="2523"/>
      <c r="AD319" s="2524"/>
      <c r="AE319" s="551"/>
      <c r="AF319" s="551"/>
      <c r="AG319" s="539"/>
      <c r="AH319" s="551"/>
      <c r="AI319" s="551"/>
      <c r="AJ319" s="550"/>
      <c r="AK319" s="550"/>
      <c r="AL319" s="550"/>
      <c r="AM319" s="550"/>
      <c r="AN319" s="73"/>
      <c r="AO319" s="14"/>
      <c r="AP319" s="30"/>
    </row>
    <row r="320" spans="1:44" ht="13" hidden="1">
      <c r="A320" s="550"/>
      <c r="B320" s="551"/>
      <c r="C320" s="730"/>
      <c r="D320" s="730"/>
      <c r="E320" s="547"/>
      <c r="F320" s="2525"/>
      <c r="G320" s="2526"/>
      <c r="H320" s="2526"/>
      <c r="I320" s="2526"/>
      <c r="J320" s="2526"/>
      <c r="K320" s="2526"/>
      <c r="L320" s="2526"/>
      <c r="M320" s="2526"/>
      <c r="N320" s="2526"/>
      <c r="O320" s="2526"/>
      <c r="P320" s="2526"/>
      <c r="Q320" s="2526"/>
      <c r="R320" s="2526"/>
      <c r="S320" s="2526"/>
      <c r="T320" s="2526"/>
      <c r="U320" s="2526"/>
      <c r="V320" s="2526"/>
      <c r="W320" s="2526"/>
      <c r="X320" s="2526"/>
      <c r="Y320" s="2526"/>
      <c r="Z320" s="2526"/>
      <c r="AA320" s="2526"/>
      <c r="AB320" s="2526"/>
      <c r="AC320" s="2526"/>
      <c r="AD320" s="2527"/>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28" t="s">
        <v>1184</v>
      </c>
      <c r="J324" s="2528"/>
      <c r="K324" s="2528"/>
      <c r="L324" s="2528"/>
      <c r="M324" s="2528"/>
      <c r="N324" s="2528"/>
      <c r="O324" s="2528"/>
      <c r="P324" s="2528"/>
      <c r="Q324" s="2528"/>
      <c r="R324" s="2528"/>
      <c r="S324" s="2528"/>
      <c r="T324" s="2528"/>
      <c r="U324" s="2528"/>
      <c r="V324" s="2528"/>
      <c r="W324" s="2528"/>
      <c r="X324" s="2528"/>
      <c r="Y324" s="2528"/>
      <c r="Z324" s="2528"/>
      <c r="AA324" s="2528"/>
      <c r="AB324" s="2528"/>
      <c r="AC324" s="2528"/>
      <c r="AD324" s="2529"/>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28"/>
      <c r="J325" s="2528"/>
      <c r="K325" s="2528"/>
      <c r="L325" s="2528"/>
      <c r="M325" s="2528"/>
      <c r="N325" s="2528"/>
      <c r="O325" s="2528"/>
      <c r="P325" s="2528"/>
      <c r="Q325" s="2528"/>
      <c r="R325" s="2528"/>
      <c r="S325" s="2528"/>
      <c r="T325" s="2528"/>
      <c r="U325" s="2528"/>
      <c r="V325" s="2528"/>
      <c r="W325" s="2528"/>
      <c r="X325" s="2528"/>
      <c r="Y325" s="2528"/>
      <c r="Z325" s="2528"/>
      <c r="AA325" s="2528"/>
      <c r="AB325" s="2528"/>
      <c r="AC325" s="2528"/>
      <c r="AD325" s="2529"/>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28"/>
      <c r="J326" s="2528"/>
      <c r="K326" s="2528"/>
      <c r="L326" s="2528"/>
      <c r="M326" s="2528"/>
      <c r="N326" s="2528"/>
      <c r="O326" s="2528"/>
      <c r="P326" s="2528"/>
      <c r="Q326" s="2528"/>
      <c r="R326" s="2528"/>
      <c r="S326" s="2528"/>
      <c r="T326" s="2528"/>
      <c r="U326" s="2528"/>
      <c r="V326" s="2528"/>
      <c r="W326" s="2528"/>
      <c r="X326" s="2528"/>
      <c r="Y326" s="2528"/>
      <c r="Z326" s="2528"/>
      <c r="AA326" s="2528"/>
      <c r="AB326" s="2528"/>
      <c r="AC326" s="2528"/>
      <c r="AD326" s="2529"/>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30"/>
      <c r="J327" s="2530"/>
      <c r="K327" s="2530"/>
      <c r="L327" s="2530"/>
      <c r="M327" s="2530"/>
      <c r="N327" s="2530"/>
      <c r="O327" s="2530"/>
      <c r="P327" s="2530"/>
      <c r="Q327" s="2530"/>
      <c r="R327" s="2530"/>
      <c r="S327" s="2530"/>
      <c r="T327" s="2530"/>
      <c r="U327" s="2530"/>
      <c r="V327" s="2530"/>
      <c r="W327" s="2530"/>
      <c r="X327" s="2530"/>
      <c r="Y327" s="2530"/>
      <c r="Z327" s="2530"/>
      <c r="AA327" s="2530"/>
      <c r="AB327" s="2530"/>
      <c r="AC327" s="2530"/>
      <c r="AD327" s="2531"/>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28" t="s">
        <v>1184</v>
      </c>
      <c r="J329" s="2528"/>
      <c r="K329" s="2528"/>
      <c r="L329" s="2528"/>
      <c r="M329" s="2528"/>
      <c r="N329" s="2528"/>
      <c r="O329" s="2528"/>
      <c r="P329" s="2528"/>
      <c r="Q329" s="2528"/>
      <c r="R329" s="2528"/>
      <c r="S329" s="2528"/>
      <c r="T329" s="2528"/>
      <c r="U329" s="2528"/>
      <c r="V329" s="2528"/>
      <c r="W329" s="2528"/>
      <c r="X329" s="2528"/>
      <c r="Y329" s="2528"/>
      <c r="Z329" s="2528"/>
      <c r="AA329" s="2528"/>
      <c r="AB329" s="2528"/>
      <c r="AC329" s="2528"/>
      <c r="AD329" s="2529"/>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28"/>
      <c r="J330" s="2528"/>
      <c r="K330" s="2528"/>
      <c r="L330" s="2528"/>
      <c r="M330" s="2528"/>
      <c r="N330" s="2528"/>
      <c r="O330" s="2528"/>
      <c r="P330" s="2528"/>
      <c r="Q330" s="2528"/>
      <c r="R330" s="2528"/>
      <c r="S330" s="2528"/>
      <c r="T330" s="2528"/>
      <c r="U330" s="2528"/>
      <c r="V330" s="2528"/>
      <c r="W330" s="2528"/>
      <c r="X330" s="2528"/>
      <c r="Y330" s="2528"/>
      <c r="Z330" s="2528"/>
      <c r="AA330" s="2528"/>
      <c r="AB330" s="2528"/>
      <c r="AC330" s="2528"/>
      <c r="AD330" s="2529"/>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30"/>
      <c r="J331" s="2530"/>
      <c r="K331" s="2530"/>
      <c r="L331" s="2530"/>
      <c r="M331" s="2530"/>
      <c r="N331" s="2530"/>
      <c r="O331" s="2530"/>
      <c r="P331" s="2530"/>
      <c r="Q331" s="2530"/>
      <c r="R331" s="2530"/>
      <c r="S331" s="2530"/>
      <c r="T331" s="2530"/>
      <c r="U331" s="2530"/>
      <c r="V331" s="2530"/>
      <c r="W331" s="2530"/>
      <c r="X331" s="2530"/>
      <c r="Y331" s="2530"/>
      <c r="Z331" s="2530"/>
      <c r="AA331" s="2530"/>
      <c r="AB331" s="2530"/>
      <c r="AC331" s="2530"/>
      <c r="AD331" s="253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7" t="s">
        <v>1392</v>
      </c>
      <c r="B333" s="1637"/>
      <c r="C333" s="2490" t="s">
        <v>591</v>
      </c>
      <c r="D333" s="2490"/>
      <c r="E333" s="547"/>
      <c r="F333" s="2414" t="s">
        <v>2027</v>
      </c>
      <c r="G333" s="2415"/>
      <c r="H333" s="2415"/>
      <c r="I333" s="2415"/>
      <c r="J333" s="2415"/>
      <c r="K333" s="2415"/>
      <c r="L333" s="2415"/>
      <c r="M333" s="2415"/>
      <c r="N333" s="2415"/>
      <c r="O333" s="2415"/>
      <c r="P333" s="2415"/>
      <c r="Q333" s="2415"/>
      <c r="R333" s="2415"/>
      <c r="S333" s="2415"/>
      <c r="T333" s="2415"/>
      <c r="U333" s="2415"/>
      <c r="V333" s="2415"/>
      <c r="W333" s="2415"/>
      <c r="X333" s="2415"/>
      <c r="Y333" s="2415"/>
      <c r="Z333" s="2415"/>
      <c r="AA333" s="2415"/>
      <c r="AB333" s="2415"/>
      <c r="AC333" s="2415"/>
      <c r="AD333" s="241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20"/>
      <c r="G334" s="2421"/>
      <c r="H334" s="2421"/>
      <c r="I334" s="2421"/>
      <c r="J334" s="2421"/>
      <c r="K334" s="2421"/>
      <c r="L334" s="2421"/>
      <c r="M334" s="2421"/>
      <c r="N334" s="2421"/>
      <c r="O334" s="2421"/>
      <c r="P334" s="2421"/>
      <c r="Q334" s="2421"/>
      <c r="R334" s="2421"/>
      <c r="S334" s="2421"/>
      <c r="T334" s="2421"/>
      <c r="U334" s="2421"/>
      <c r="V334" s="2421"/>
      <c r="W334" s="2421"/>
      <c r="X334" s="2421"/>
      <c r="Y334" s="2421"/>
      <c r="Z334" s="2421"/>
      <c r="AA334" s="2421"/>
      <c r="AB334" s="2421"/>
      <c r="AC334" s="2421"/>
      <c r="AD334" s="2422"/>
      <c r="AE334" s="551"/>
      <c r="AF334" s="551"/>
      <c r="AG334" s="551"/>
      <c r="AH334" s="551"/>
      <c r="AI334" s="551"/>
      <c r="AJ334" s="550"/>
      <c r="AK334" s="550"/>
      <c r="AL334" s="550"/>
      <c r="AM334" s="550"/>
      <c r="AN334" s="73"/>
      <c r="AO334" s="14"/>
    </row>
    <row r="335" spans="1:42" ht="15" hidden="1" customHeight="1">
      <c r="A335" s="550"/>
      <c r="B335" s="551"/>
      <c r="C335" s="551"/>
      <c r="D335" s="551"/>
      <c r="E335" s="551"/>
      <c r="F335" s="2420"/>
      <c r="G335" s="2421"/>
      <c r="H335" s="2421"/>
      <c r="I335" s="2421"/>
      <c r="J335" s="2421"/>
      <c r="K335" s="2421"/>
      <c r="L335" s="2421"/>
      <c r="M335" s="2421"/>
      <c r="N335" s="2421"/>
      <c r="O335" s="2421"/>
      <c r="P335" s="2421"/>
      <c r="Q335" s="2421"/>
      <c r="R335" s="2421"/>
      <c r="S335" s="2421"/>
      <c r="T335" s="2421"/>
      <c r="U335" s="2421"/>
      <c r="V335" s="2421"/>
      <c r="W335" s="2421"/>
      <c r="X335" s="2421"/>
      <c r="Y335" s="2421"/>
      <c r="Z335" s="2421"/>
      <c r="AA335" s="2421"/>
      <c r="AB335" s="2421"/>
      <c r="AC335" s="2421"/>
      <c r="AD335" s="2422"/>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93">
        <f>IF(NOT(OR(Application!M355="Yes",Application!M356="Yes")),0,AP295)</f>
        <v>10</v>
      </c>
      <c r="AL338" s="2494"/>
      <c r="AM338" s="249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23" t="s">
        <v>1314</v>
      </c>
      <c r="AF341" s="2423"/>
      <c r="AG341" s="2423"/>
      <c r="AH341" s="2423"/>
      <c r="AI341" s="2423"/>
      <c r="AJ341" s="2423"/>
      <c r="AK341" s="242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32" t="s">
        <v>1454</v>
      </c>
      <c r="D343" s="2532"/>
      <c r="E343" s="2532"/>
      <c r="F343" s="2532"/>
      <c r="G343" s="2532"/>
      <c r="H343" s="2532"/>
      <c r="I343" s="2532"/>
      <c r="J343" s="2532"/>
      <c r="K343" s="2532"/>
      <c r="L343" s="2532"/>
      <c r="M343" s="2532"/>
      <c r="N343" s="2532"/>
      <c r="O343" s="2532"/>
      <c r="P343" s="2532"/>
      <c r="Q343" s="2532"/>
      <c r="R343" s="2532"/>
      <c r="S343" s="2532"/>
      <c r="T343" s="2532"/>
      <c r="U343" s="2532"/>
      <c r="V343" s="2532"/>
      <c r="W343" s="2532"/>
      <c r="X343" s="2532"/>
      <c r="Y343" s="2532"/>
      <c r="Z343" s="2532"/>
      <c r="AA343" s="2532"/>
      <c r="AB343" s="2532"/>
      <c r="AC343" s="2532"/>
      <c r="AD343" s="2532"/>
      <c r="AE343" s="2532"/>
      <c r="AF343" s="2532"/>
      <c r="AG343" s="2532"/>
      <c r="AH343" s="2532"/>
      <c r="AI343" s="2532"/>
      <c r="AJ343" s="2532"/>
      <c r="AK343" s="603"/>
      <c r="AL343" s="603"/>
      <c r="AM343" s="603"/>
      <c r="AN343" s="597"/>
    </row>
    <row r="344" spans="1:44" s="550" customFormat="1" ht="12.75" customHeight="1">
      <c r="A344" s="603"/>
      <c r="B344" s="611"/>
      <c r="C344" s="2532"/>
      <c r="D344" s="2532"/>
      <c r="E344" s="2532"/>
      <c r="F344" s="2532"/>
      <c r="G344" s="2532"/>
      <c r="H344" s="2532"/>
      <c r="I344" s="2532"/>
      <c r="J344" s="2532"/>
      <c r="K344" s="2532"/>
      <c r="L344" s="2532"/>
      <c r="M344" s="2532"/>
      <c r="N344" s="2532"/>
      <c r="O344" s="2532"/>
      <c r="P344" s="2532"/>
      <c r="Q344" s="2532"/>
      <c r="R344" s="2532"/>
      <c r="S344" s="2532"/>
      <c r="T344" s="2532"/>
      <c r="U344" s="2532"/>
      <c r="V344" s="2532"/>
      <c r="W344" s="2532"/>
      <c r="X344" s="2532"/>
      <c r="Y344" s="2532"/>
      <c r="Z344" s="2532"/>
      <c r="AA344" s="2532"/>
      <c r="AB344" s="2532"/>
      <c r="AC344" s="2532"/>
      <c r="AD344" s="2532"/>
      <c r="AE344" s="2532"/>
      <c r="AF344" s="2532"/>
      <c r="AG344" s="2532"/>
      <c r="AH344" s="2532"/>
      <c r="AI344" s="2532"/>
      <c r="AJ344" s="2532"/>
      <c r="AK344" s="603"/>
      <c r="AL344" s="603"/>
      <c r="AM344" s="603"/>
      <c r="AN344" s="597"/>
    </row>
    <row r="345" spans="1:44" s="550" customFormat="1" ht="12.75" customHeight="1">
      <c r="A345" s="603"/>
      <c r="B345" s="611"/>
      <c r="C345" s="2532"/>
      <c r="D345" s="2532"/>
      <c r="E345" s="2532"/>
      <c r="F345" s="2532"/>
      <c r="G345" s="2532"/>
      <c r="H345" s="2532"/>
      <c r="I345" s="2532"/>
      <c r="J345" s="2532"/>
      <c r="K345" s="2532"/>
      <c r="L345" s="2532"/>
      <c r="M345" s="2532"/>
      <c r="N345" s="2532"/>
      <c r="O345" s="2532"/>
      <c r="P345" s="2532"/>
      <c r="Q345" s="2532"/>
      <c r="R345" s="2532"/>
      <c r="S345" s="2532"/>
      <c r="T345" s="2532"/>
      <c r="U345" s="2532"/>
      <c r="V345" s="2532"/>
      <c r="W345" s="2532"/>
      <c r="X345" s="2532"/>
      <c r="Y345" s="2532"/>
      <c r="Z345" s="2532"/>
      <c r="AA345" s="2532"/>
      <c r="AB345" s="2532"/>
      <c r="AC345" s="2532"/>
      <c r="AD345" s="2532"/>
      <c r="AE345" s="2532"/>
      <c r="AF345" s="2532"/>
      <c r="AG345" s="2532"/>
      <c r="AH345" s="2532"/>
      <c r="AI345" s="2532"/>
      <c r="AJ345" s="2532"/>
      <c r="AK345" s="603"/>
      <c r="AL345" s="603"/>
      <c r="AM345" s="603"/>
      <c r="AN345" s="597"/>
      <c r="AQ345" s="570"/>
    </row>
    <row r="346" spans="1:44" s="550" customFormat="1" ht="12.75" customHeight="1">
      <c r="A346" s="603"/>
      <c r="B346" s="611"/>
      <c r="C346" s="2532"/>
      <c r="D346" s="2532"/>
      <c r="E346" s="2532"/>
      <c r="F346" s="2532"/>
      <c r="G346" s="2532"/>
      <c r="H346" s="2532"/>
      <c r="I346" s="2532"/>
      <c r="J346" s="2532"/>
      <c r="K346" s="2532"/>
      <c r="L346" s="2532"/>
      <c r="M346" s="2532"/>
      <c r="N346" s="2532"/>
      <c r="O346" s="2532"/>
      <c r="P346" s="2532"/>
      <c r="Q346" s="2532"/>
      <c r="R346" s="2532"/>
      <c r="S346" s="2532"/>
      <c r="T346" s="2532"/>
      <c r="U346" s="2532"/>
      <c r="V346" s="2532"/>
      <c r="W346" s="2532"/>
      <c r="X346" s="2532"/>
      <c r="Y346" s="2532"/>
      <c r="Z346" s="2532"/>
      <c r="AA346" s="2532"/>
      <c r="AB346" s="2532"/>
      <c r="AC346" s="2532"/>
      <c r="AD346" s="2532"/>
      <c r="AE346" s="2532"/>
      <c r="AF346" s="2532"/>
      <c r="AG346" s="2532"/>
      <c r="AH346" s="2532"/>
      <c r="AI346" s="2532"/>
      <c r="AJ346" s="2532"/>
      <c r="AK346" s="603"/>
      <c r="AL346" s="603"/>
      <c r="AM346" s="603"/>
      <c r="AN346" s="597"/>
      <c r="AQ346" s="570"/>
    </row>
    <row r="347" spans="1:44" s="550" customFormat="1" ht="12.5" customHeight="1">
      <c r="A347" s="603"/>
      <c r="B347" s="611"/>
      <c r="C347" s="2532"/>
      <c r="D347" s="2532"/>
      <c r="E347" s="2532"/>
      <c r="F347" s="2532"/>
      <c r="G347" s="2532"/>
      <c r="H347" s="2532"/>
      <c r="I347" s="2532"/>
      <c r="J347" s="2532"/>
      <c r="K347" s="2532"/>
      <c r="L347" s="2532"/>
      <c r="M347" s="2532"/>
      <c r="N347" s="2532"/>
      <c r="O347" s="2532"/>
      <c r="P347" s="2532"/>
      <c r="Q347" s="2532"/>
      <c r="R347" s="2532"/>
      <c r="S347" s="2532"/>
      <c r="T347" s="2532"/>
      <c r="U347" s="2532"/>
      <c r="V347" s="2532"/>
      <c r="W347" s="2532"/>
      <c r="X347" s="2532"/>
      <c r="Y347" s="2532"/>
      <c r="Z347" s="2532"/>
      <c r="AA347" s="2532"/>
      <c r="AB347" s="2532"/>
      <c r="AC347" s="2532"/>
      <c r="AD347" s="2532"/>
      <c r="AE347" s="2532"/>
      <c r="AF347" s="2532"/>
      <c r="AG347" s="2532"/>
      <c r="AH347" s="2532"/>
      <c r="AI347" s="2532"/>
      <c r="AJ347" s="2532"/>
      <c r="AK347" s="603"/>
      <c r="AL347" s="603"/>
      <c r="AM347" s="603"/>
      <c r="AN347" s="597"/>
      <c r="AQ347" s="570"/>
      <c r="AR347" s="570"/>
    </row>
    <row r="348" spans="1:44" s="550" customFormat="1" ht="45.75" customHeight="1">
      <c r="A348" s="603"/>
      <c r="B348" s="611"/>
      <c r="C348" s="2532" t="s">
        <v>2092</v>
      </c>
      <c r="D348" s="2532"/>
      <c r="E348" s="2532"/>
      <c r="F348" s="2532"/>
      <c r="G348" s="2532"/>
      <c r="H348" s="2532"/>
      <c r="I348" s="2532"/>
      <c r="J348" s="2532"/>
      <c r="K348" s="2532"/>
      <c r="L348" s="2532"/>
      <c r="M348" s="2532"/>
      <c r="N348" s="2532"/>
      <c r="O348" s="2532"/>
      <c r="P348" s="2532"/>
      <c r="Q348" s="2532"/>
      <c r="R348" s="2532"/>
      <c r="S348" s="2532"/>
      <c r="T348" s="2532"/>
      <c r="U348" s="2532"/>
      <c r="V348" s="2532"/>
      <c r="W348" s="2532"/>
      <c r="X348" s="2532"/>
      <c r="Y348" s="2532"/>
      <c r="Z348" s="2532"/>
      <c r="AA348" s="2532"/>
      <c r="AB348" s="2532"/>
      <c r="AC348" s="2532"/>
      <c r="AD348" s="2532"/>
      <c r="AE348" s="2532"/>
      <c r="AF348" s="2532"/>
      <c r="AG348" s="2532"/>
      <c r="AH348" s="2532"/>
      <c r="AI348" s="2532"/>
      <c r="AJ348" s="2532"/>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32" t="s">
        <v>2207</v>
      </c>
      <c r="D350" s="2532"/>
      <c r="E350" s="2532"/>
      <c r="F350" s="2532"/>
      <c r="G350" s="2532"/>
      <c r="H350" s="2532"/>
      <c r="I350" s="2532"/>
      <c r="J350" s="2532"/>
      <c r="K350" s="2532"/>
      <c r="L350" s="2532"/>
      <c r="M350" s="2532"/>
      <c r="N350" s="2532"/>
      <c r="O350" s="2532"/>
      <c r="P350" s="2532"/>
      <c r="Q350" s="2532"/>
      <c r="R350" s="2532"/>
      <c r="S350" s="2532"/>
      <c r="T350" s="2532"/>
      <c r="U350" s="2532"/>
      <c r="V350" s="2532"/>
      <c r="W350" s="2532"/>
      <c r="X350" s="2532"/>
      <c r="Y350" s="2532"/>
      <c r="Z350" s="2532"/>
      <c r="AA350" s="2532"/>
      <c r="AB350" s="2532"/>
      <c r="AC350" s="2532"/>
      <c r="AD350" s="2532"/>
      <c r="AE350" s="2532"/>
      <c r="AF350" s="2532"/>
      <c r="AG350" s="2532"/>
      <c r="AH350" s="2532"/>
      <c r="AI350" s="2532"/>
      <c r="AJ350" s="2532"/>
      <c r="AK350" s="603"/>
      <c r="AL350" s="603"/>
      <c r="AM350" s="603"/>
      <c r="AN350" s="597"/>
      <c r="AQ350" s="570"/>
      <c r="AR350" s="570"/>
    </row>
    <row r="351" spans="1:44" s="550" customFormat="1" ht="30" customHeight="1">
      <c r="A351" s="603"/>
      <c r="B351" s="611"/>
      <c r="C351" s="2532"/>
      <c r="D351" s="2532"/>
      <c r="E351" s="2532"/>
      <c r="F351" s="2532"/>
      <c r="G351" s="2532"/>
      <c r="H351" s="2532"/>
      <c r="I351" s="2532"/>
      <c r="J351" s="2532"/>
      <c r="K351" s="2532"/>
      <c r="L351" s="2532"/>
      <c r="M351" s="2532"/>
      <c r="N351" s="2532"/>
      <c r="O351" s="2532"/>
      <c r="P351" s="2532"/>
      <c r="Q351" s="2532"/>
      <c r="R351" s="2532"/>
      <c r="S351" s="2532"/>
      <c r="T351" s="2532"/>
      <c r="U351" s="2532"/>
      <c r="V351" s="2532"/>
      <c r="W351" s="2532"/>
      <c r="X351" s="2532"/>
      <c r="Y351" s="2532"/>
      <c r="Z351" s="2532"/>
      <c r="AA351" s="2532"/>
      <c r="AB351" s="2532"/>
      <c r="AC351" s="2532"/>
      <c r="AD351" s="2532"/>
      <c r="AE351" s="2532"/>
      <c r="AF351" s="2532"/>
      <c r="AG351" s="2532"/>
      <c r="AH351" s="2532"/>
      <c r="AI351" s="2532"/>
      <c r="AJ351" s="2532"/>
      <c r="AK351" s="603"/>
      <c r="AL351" s="603"/>
      <c r="AM351" s="603"/>
      <c r="AN351" s="597"/>
      <c r="AR351" s="570"/>
    </row>
    <row r="352" spans="1:44" s="550" customFormat="1" ht="12.75" customHeight="1">
      <c r="A352" s="603"/>
      <c r="B352" s="611"/>
      <c r="C352" s="2532"/>
      <c r="D352" s="2532"/>
      <c r="E352" s="2532"/>
      <c r="F352" s="2532"/>
      <c r="G352" s="2532"/>
      <c r="H352" s="2532"/>
      <c r="I352" s="2532"/>
      <c r="J352" s="2532"/>
      <c r="K352" s="2532"/>
      <c r="L352" s="2532"/>
      <c r="M352" s="2532"/>
      <c r="N352" s="2532"/>
      <c r="O352" s="2532"/>
      <c r="P352" s="2532"/>
      <c r="Q352" s="2532"/>
      <c r="R352" s="2532"/>
      <c r="S352" s="2532"/>
      <c r="T352" s="2532"/>
      <c r="U352" s="2532"/>
      <c r="V352" s="2532"/>
      <c r="W352" s="2532"/>
      <c r="X352" s="2532"/>
      <c r="Y352" s="2532"/>
      <c r="Z352" s="2532"/>
      <c r="AA352" s="2532"/>
      <c r="AB352" s="2532"/>
      <c r="AC352" s="2532"/>
      <c r="AD352" s="2532"/>
      <c r="AE352" s="2532"/>
      <c r="AF352" s="2532"/>
      <c r="AG352" s="2532"/>
      <c r="AH352" s="2532"/>
      <c r="AI352" s="2532"/>
      <c r="AJ352" s="2532"/>
      <c r="AK352" s="603"/>
      <c r="AL352" s="603"/>
      <c r="AM352" s="603"/>
      <c r="AN352" s="597"/>
      <c r="AR352" s="570"/>
    </row>
    <row r="353" spans="1:46" s="550" customFormat="1" ht="12.75" customHeight="1">
      <c r="A353" s="603"/>
      <c r="B353" s="611"/>
      <c r="C353" s="2532" t="s">
        <v>1455</v>
      </c>
      <c r="D353" s="2532"/>
      <c r="E353" s="2532"/>
      <c r="F353" s="2532"/>
      <c r="G353" s="2532"/>
      <c r="H353" s="2532"/>
      <c r="I353" s="2532"/>
      <c r="J353" s="2532"/>
      <c r="K353" s="2532"/>
      <c r="L353" s="2532"/>
      <c r="M353" s="2532"/>
      <c r="N353" s="2532"/>
      <c r="O353" s="2532"/>
      <c r="P353" s="2532"/>
      <c r="Q353" s="2532"/>
      <c r="R353" s="2532"/>
      <c r="S353" s="2532"/>
      <c r="T353" s="2532"/>
      <c r="U353" s="2532"/>
      <c r="V353" s="2532"/>
      <c r="W353" s="2532"/>
      <c r="X353" s="2532"/>
      <c r="Y353" s="2532"/>
      <c r="Z353" s="2532"/>
      <c r="AA353" s="2532"/>
      <c r="AB353" s="2532"/>
      <c r="AC353" s="2532"/>
      <c r="AD353" s="2532"/>
      <c r="AE353" s="2532"/>
      <c r="AF353" s="2532"/>
      <c r="AG353" s="2532"/>
      <c r="AH353" s="2532"/>
      <c r="AI353" s="2532"/>
      <c r="AJ353" s="2532"/>
      <c r="AK353" s="603"/>
      <c r="AL353" s="603"/>
      <c r="AM353" s="603"/>
      <c r="AN353" s="597"/>
      <c r="AQ353" s="570"/>
      <c r="AR353" s="570"/>
    </row>
    <row r="354" spans="1:46" s="550" customFormat="1" ht="12.75" customHeight="1">
      <c r="A354" s="603"/>
      <c r="B354" s="611"/>
      <c r="C354" s="2532"/>
      <c r="D354" s="2532"/>
      <c r="E354" s="2532"/>
      <c r="F354" s="2532"/>
      <c r="G354" s="2532"/>
      <c r="H354" s="2532"/>
      <c r="I354" s="2532"/>
      <c r="J354" s="2532"/>
      <c r="K354" s="2532"/>
      <c r="L354" s="2532"/>
      <c r="M354" s="2532"/>
      <c r="N354" s="2532"/>
      <c r="O354" s="2532"/>
      <c r="P354" s="2532"/>
      <c r="Q354" s="2532"/>
      <c r="R354" s="2532"/>
      <c r="S354" s="2532"/>
      <c r="T354" s="2532"/>
      <c r="U354" s="2532"/>
      <c r="V354" s="2532"/>
      <c r="W354" s="2532"/>
      <c r="X354" s="2532"/>
      <c r="Y354" s="2532"/>
      <c r="Z354" s="2532"/>
      <c r="AA354" s="2532"/>
      <c r="AB354" s="2532"/>
      <c r="AC354" s="2532"/>
      <c r="AD354" s="2532"/>
      <c r="AE354" s="2532"/>
      <c r="AF354" s="2532"/>
      <c r="AG354" s="2532"/>
      <c r="AH354" s="2532"/>
      <c r="AI354" s="2532"/>
      <c r="AJ354" s="2532"/>
      <c r="AK354" s="603"/>
      <c r="AL354" s="603"/>
      <c r="AM354" s="603"/>
      <c r="AN354" s="597"/>
      <c r="AQ354" s="570"/>
      <c r="AR354" s="570"/>
    </row>
    <row r="355" spans="1:46" s="550" customFormat="1" ht="13.25" customHeight="1">
      <c r="A355" s="603"/>
      <c r="B355" s="611"/>
      <c r="C355" s="2532"/>
      <c r="D355" s="2532"/>
      <c r="E355" s="2532"/>
      <c r="F355" s="2532"/>
      <c r="G355" s="2532"/>
      <c r="H355" s="2532"/>
      <c r="I355" s="2532"/>
      <c r="J355" s="2532"/>
      <c r="K355" s="2532"/>
      <c r="L355" s="2532"/>
      <c r="M355" s="2532"/>
      <c r="N355" s="2532"/>
      <c r="O355" s="2532"/>
      <c r="P355" s="2532"/>
      <c r="Q355" s="2532"/>
      <c r="R355" s="2532"/>
      <c r="S355" s="2532"/>
      <c r="T355" s="2532"/>
      <c r="U355" s="2532"/>
      <c r="V355" s="2532"/>
      <c r="W355" s="2532"/>
      <c r="X355" s="2532"/>
      <c r="Y355" s="2532"/>
      <c r="Z355" s="2532"/>
      <c r="AA355" s="2532"/>
      <c r="AB355" s="2532"/>
      <c r="AC355" s="2532"/>
      <c r="AD355" s="2532"/>
      <c r="AE355" s="2532"/>
      <c r="AF355" s="2532"/>
      <c r="AG355" s="2532"/>
      <c r="AH355" s="2532"/>
      <c r="AI355" s="2532"/>
      <c r="AJ355" s="2532"/>
      <c r="AK355" s="603"/>
      <c r="AL355" s="603"/>
      <c r="AM355" s="603"/>
      <c r="AN355" s="597"/>
      <c r="AQ355" s="570"/>
      <c r="AR355" s="570"/>
    </row>
    <row r="356" spans="1:46" s="550" customFormat="1" ht="12.75" customHeight="1">
      <c r="A356" s="603"/>
      <c r="B356" s="611"/>
      <c r="C356" s="2532"/>
      <c r="D356" s="2532"/>
      <c r="E356" s="2532"/>
      <c r="F356" s="2532"/>
      <c r="G356" s="2532"/>
      <c r="H356" s="2532"/>
      <c r="I356" s="2532"/>
      <c r="J356" s="2532"/>
      <c r="K356" s="2532"/>
      <c r="L356" s="2532"/>
      <c r="M356" s="2532"/>
      <c r="N356" s="2532"/>
      <c r="O356" s="2532"/>
      <c r="P356" s="2532"/>
      <c r="Q356" s="2532"/>
      <c r="R356" s="2532"/>
      <c r="S356" s="2532"/>
      <c r="T356" s="2532"/>
      <c r="U356" s="2532"/>
      <c r="V356" s="2532"/>
      <c r="W356" s="2532"/>
      <c r="X356" s="2532"/>
      <c r="Y356" s="2532"/>
      <c r="Z356" s="2532"/>
      <c r="AA356" s="2532"/>
      <c r="AB356" s="2532"/>
      <c r="AC356" s="2532"/>
      <c r="AD356" s="2532"/>
      <c r="AE356" s="2532"/>
      <c r="AF356" s="2532"/>
      <c r="AG356" s="2532"/>
      <c r="AH356" s="2532"/>
      <c r="AI356" s="2532"/>
      <c r="AJ356" s="2532"/>
      <c r="AK356" s="603"/>
      <c r="AL356" s="603"/>
      <c r="AM356" s="603"/>
      <c r="AN356" s="597"/>
      <c r="AO356" s="694"/>
      <c r="AP356" s="694"/>
      <c r="AQ356" s="570"/>
    </row>
    <row r="357" spans="1:46" s="550" customFormat="1" ht="11.75" customHeight="1">
      <c r="A357" s="603"/>
      <c r="B357" s="611"/>
      <c r="C357" s="2532"/>
      <c r="D357" s="2532"/>
      <c r="E357" s="2532"/>
      <c r="F357" s="2532"/>
      <c r="G357" s="2532"/>
      <c r="H357" s="2532"/>
      <c r="I357" s="2532"/>
      <c r="J357" s="2532"/>
      <c r="K357" s="2532"/>
      <c r="L357" s="2532"/>
      <c r="M357" s="2532"/>
      <c r="N357" s="2532"/>
      <c r="O357" s="2532"/>
      <c r="P357" s="2532"/>
      <c r="Q357" s="2532"/>
      <c r="R357" s="2532"/>
      <c r="S357" s="2532"/>
      <c r="T357" s="2532"/>
      <c r="U357" s="2532"/>
      <c r="V357" s="2532"/>
      <c r="W357" s="2532"/>
      <c r="X357" s="2532"/>
      <c r="Y357" s="2532"/>
      <c r="Z357" s="2532"/>
      <c r="AA357" s="2532"/>
      <c r="AB357" s="2532"/>
      <c r="AC357" s="2532"/>
      <c r="AD357" s="2532"/>
      <c r="AE357" s="2532"/>
      <c r="AF357" s="2532"/>
      <c r="AG357" s="2532"/>
      <c r="AH357" s="2532"/>
      <c r="AI357" s="2532"/>
      <c r="AJ357" s="2532"/>
      <c r="AK357" s="603"/>
      <c r="AL357" s="603"/>
      <c r="AM357" s="603"/>
      <c r="AN357" s="597"/>
      <c r="AO357" s="695" t="s">
        <v>112</v>
      </c>
      <c r="AP357" s="696">
        <f>IF(C381="Yes",5,0)</f>
        <v>0</v>
      </c>
      <c r="AS357" s="539" t="s">
        <v>1456</v>
      </c>
    </row>
    <row r="358" spans="1:46" s="550" customFormat="1" ht="12.75" customHeight="1">
      <c r="A358" s="603"/>
      <c r="B358" s="611"/>
      <c r="C358" s="2532"/>
      <c r="D358" s="2532"/>
      <c r="E358" s="2532"/>
      <c r="F358" s="2532"/>
      <c r="G358" s="2532"/>
      <c r="H358" s="2532"/>
      <c r="I358" s="2532"/>
      <c r="J358" s="2532"/>
      <c r="K358" s="2532"/>
      <c r="L358" s="2532"/>
      <c r="M358" s="2532"/>
      <c r="N358" s="2532"/>
      <c r="O358" s="2532"/>
      <c r="P358" s="2532"/>
      <c r="Q358" s="2532"/>
      <c r="R358" s="2532"/>
      <c r="S358" s="2532"/>
      <c r="T358" s="2532"/>
      <c r="U358" s="2532"/>
      <c r="V358" s="2532"/>
      <c r="W358" s="2532"/>
      <c r="X358" s="2532"/>
      <c r="Y358" s="2532"/>
      <c r="Z358" s="2532"/>
      <c r="AA358" s="2532"/>
      <c r="AB358" s="2532"/>
      <c r="AC358" s="2532"/>
      <c r="AD358" s="2532"/>
      <c r="AE358" s="2532"/>
      <c r="AF358" s="2532"/>
      <c r="AG358" s="2532"/>
      <c r="AH358" s="2532"/>
      <c r="AI358" s="2532"/>
      <c r="AJ358" s="2532"/>
      <c r="AK358" s="603"/>
      <c r="AL358" s="603"/>
      <c r="AM358" s="603"/>
      <c r="AN358" s="597"/>
      <c r="AO358" s="695" t="s">
        <v>113</v>
      </c>
      <c r="AP358" s="696">
        <f>IF(C389="Yes",5,0)</f>
        <v>0</v>
      </c>
      <c r="AS358" s="2553">
        <f>IF(Application!D211="Non-Targeted",(SUM(AQ366+AQ375)),AS362)</f>
        <v>10</v>
      </c>
      <c r="AT358" s="2553"/>
    </row>
    <row r="359" spans="1:46" s="550" customFormat="1" ht="12.75" customHeight="1">
      <c r="A359" s="603"/>
      <c r="B359" s="611"/>
      <c r="C359" s="2532"/>
      <c r="D359" s="2532"/>
      <c r="E359" s="2532"/>
      <c r="F359" s="2532"/>
      <c r="G359" s="2532"/>
      <c r="H359" s="2532"/>
      <c r="I359" s="2532"/>
      <c r="J359" s="2532"/>
      <c r="K359" s="2532"/>
      <c r="L359" s="2532"/>
      <c r="M359" s="2532"/>
      <c r="N359" s="2532"/>
      <c r="O359" s="2532"/>
      <c r="P359" s="2532"/>
      <c r="Q359" s="2532"/>
      <c r="R359" s="2532"/>
      <c r="S359" s="2532"/>
      <c r="T359" s="2532"/>
      <c r="U359" s="2532"/>
      <c r="V359" s="2532"/>
      <c r="W359" s="2532"/>
      <c r="X359" s="2532"/>
      <c r="Y359" s="2532"/>
      <c r="Z359" s="2532"/>
      <c r="AA359" s="2532"/>
      <c r="AB359" s="2532"/>
      <c r="AC359" s="2532"/>
      <c r="AD359" s="2532"/>
      <c r="AE359" s="2532"/>
      <c r="AF359" s="2532"/>
      <c r="AG359" s="2532"/>
      <c r="AH359" s="2532"/>
      <c r="AI359" s="2532"/>
      <c r="AJ359" s="2532"/>
      <c r="AK359" s="603"/>
      <c r="AL359" s="603"/>
      <c r="AM359" s="603"/>
      <c r="AN359" s="597"/>
      <c r="AO359" s="695" t="s">
        <v>119</v>
      </c>
      <c r="AP359" s="696">
        <f>IF(C397="Yes",7,0)</f>
        <v>7</v>
      </c>
      <c r="AS359" s="539" t="s">
        <v>1457</v>
      </c>
    </row>
    <row r="360" spans="1:46" s="550" customFormat="1" ht="12.75" customHeight="1">
      <c r="A360" s="603"/>
      <c r="B360" s="611"/>
      <c r="C360" s="2532"/>
      <c r="D360" s="2532"/>
      <c r="E360" s="2532"/>
      <c r="F360" s="2532"/>
      <c r="G360" s="2532"/>
      <c r="H360" s="2532"/>
      <c r="I360" s="2532"/>
      <c r="J360" s="2532"/>
      <c r="K360" s="2532"/>
      <c r="L360" s="2532"/>
      <c r="M360" s="2532"/>
      <c r="N360" s="2532"/>
      <c r="O360" s="2532"/>
      <c r="P360" s="2532"/>
      <c r="Q360" s="2532"/>
      <c r="R360" s="2532"/>
      <c r="S360" s="2532"/>
      <c r="T360" s="2532"/>
      <c r="U360" s="2532"/>
      <c r="V360" s="2532"/>
      <c r="W360" s="2532"/>
      <c r="X360" s="2532"/>
      <c r="Y360" s="2532"/>
      <c r="Z360" s="2532"/>
      <c r="AA360" s="2532"/>
      <c r="AB360" s="2532"/>
      <c r="AC360" s="2532"/>
      <c r="AD360" s="2532"/>
      <c r="AE360" s="2532"/>
      <c r="AF360" s="2532"/>
      <c r="AG360" s="2532"/>
      <c r="AH360" s="2532"/>
      <c r="AI360" s="2532"/>
      <c r="AJ360" s="2532"/>
      <c r="AK360" s="603"/>
      <c r="AL360" s="603"/>
      <c r="AM360" s="603"/>
      <c r="AN360" s="597"/>
      <c r="AO360" s="597"/>
      <c r="AP360" s="696">
        <f>IF(C399="Yes",5,0)</f>
        <v>0</v>
      </c>
      <c r="AS360" s="2553">
        <f>IF(AND(AQ366&gt;0,AQ375&gt;0),(AQ366+AQ375)/2,0)</f>
        <v>0</v>
      </c>
      <c r="AT360" s="2553"/>
    </row>
    <row r="361" spans="1:46" s="550" customFormat="1" ht="12.75" customHeight="1">
      <c r="A361" s="603"/>
      <c r="B361" s="611"/>
      <c r="C361" s="2532"/>
      <c r="D361" s="2532"/>
      <c r="E361" s="2532"/>
      <c r="F361" s="2532"/>
      <c r="G361" s="2532"/>
      <c r="H361" s="2532"/>
      <c r="I361" s="2532"/>
      <c r="J361" s="2532"/>
      <c r="K361" s="2532"/>
      <c r="L361" s="2532"/>
      <c r="M361" s="2532"/>
      <c r="N361" s="2532"/>
      <c r="O361" s="2532"/>
      <c r="P361" s="2532"/>
      <c r="Q361" s="2532"/>
      <c r="R361" s="2532"/>
      <c r="S361" s="2532"/>
      <c r="T361" s="2532"/>
      <c r="U361" s="2532"/>
      <c r="V361" s="2532"/>
      <c r="W361" s="2532"/>
      <c r="X361" s="2532"/>
      <c r="Y361" s="2532"/>
      <c r="Z361" s="2532"/>
      <c r="AA361" s="2532"/>
      <c r="AB361" s="2532"/>
      <c r="AC361" s="2532"/>
      <c r="AD361" s="2532"/>
      <c r="AE361" s="2532"/>
      <c r="AF361" s="2532"/>
      <c r="AG361" s="2532"/>
      <c r="AH361" s="2532"/>
      <c r="AI361" s="2532"/>
      <c r="AJ361" s="2532"/>
      <c r="AK361" s="603"/>
      <c r="AL361" s="603"/>
      <c r="AM361" s="603"/>
      <c r="AN361" s="597"/>
      <c r="AO361" s="695" t="s">
        <v>581</v>
      </c>
      <c r="AP361" s="696">
        <f>IF(C407="Yes",5,0)</f>
        <v>0</v>
      </c>
      <c r="AS361" s="539" t="s">
        <v>1878</v>
      </c>
    </row>
    <row r="362" spans="1:46" s="550" customFormat="1" ht="12.75" customHeight="1">
      <c r="A362" s="603"/>
      <c r="B362" s="611"/>
      <c r="C362" s="2554" t="s">
        <v>2231</v>
      </c>
      <c r="D362" s="2554"/>
      <c r="E362" s="2554"/>
      <c r="F362" s="2554"/>
      <c r="G362" s="2554"/>
      <c r="H362" s="2554"/>
      <c r="I362" s="2554"/>
      <c r="J362" s="2554"/>
      <c r="K362" s="2554"/>
      <c r="L362" s="2554"/>
      <c r="M362" s="2554"/>
      <c r="N362" s="2554"/>
      <c r="O362" s="2554"/>
      <c r="P362" s="2554"/>
      <c r="Q362" s="2554"/>
      <c r="R362" s="2554"/>
      <c r="S362" s="2554"/>
      <c r="T362" s="2554"/>
      <c r="U362" s="2554"/>
      <c r="V362" s="2554"/>
      <c r="W362" s="2554"/>
      <c r="X362" s="2554"/>
      <c r="Y362" s="2554"/>
      <c r="Z362" s="2554"/>
      <c r="AA362" s="2554"/>
      <c r="AB362" s="2554"/>
      <c r="AC362" s="2554"/>
      <c r="AD362" s="2554"/>
      <c r="AE362" s="2554"/>
      <c r="AF362" s="2554"/>
      <c r="AG362" s="2554"/>
      <c r="AH362" s="2554"/>
      <c r="AI362" s="2554"/>
      <c r="AJ362" s="2554"/>
      <c r="AK362" s="603"/>
      <c r="AL362" s="603"/>
      <c r="AM362" s="603"/>
      <c r="AN362" s="597"/>
      <c r="AO362" s="597"/>
      <c r="AP362" s="696">
        <f>IF(C409="Yes",3,0)</f>
        <v>3</v>
      </c>
      <c r="AS362" s="2553">
        <f>IF(AQ366=0,AQ375,AQ366)</f>
        <v>10</v>
      </c>
      <c r="AT362" s="2553"/>
    </row>
    <row r="363" spans="1:46" s="550" customFormat="1" ht="12.75" customHeight="1">
      <c r="A363" s="603"/>
      <c r="B363" s="611"/>
      <c r="C363" s="2554"/>
      <c r="D363" s="2554"/>
      <c r="E363" s="2554"/>
      <c r="F363" s="2554"/>
      <c r="G363" s="2554"/>
      <c r="H363" s="2554"/>
      <c r="I363" s="2554"/>
      <c r="J363" s="2554"/>
      <c r="K363" s="2554"/>
      <c r="L363" s="2554"/>
      <c r="M363" s="2554"/>
      <c r="N363" s="2554"/>
      <c r="O363" s="2554"/>
      <c r="P363" s="2554"/>
      <c r="Q363" s="2554"/>
      <c r="R363" s="2554"/>
      <c r="S363" s="2554"/>
      <c r="T363" s="2554"/>
      <c r="U363" s="2554"/>
      <c r="V363" s="2554"/>
      <c r="W363" s="2554"/>
      <c r="X363" s="2554"/>
      <c r="Y363" s="2554"/>
      <c r="Z363" s="2554"/>
      <c r="AA363" s="2554"/>
      <c r="AB363" s="2554"/>
      <c r="AC363" s="2554"/>
      <c r="AD363" s="2554"/>
      <c r="AE363" s="2554"/>
      <c r="AF363" s="2554"/>
      <c r="AG363" s="2554"/>
      <c r="AH363" s="2554"/>
      <c r="AI363" s="2554"/>
      <c r="AJ363" s="2554"/>
      <c r="AK363" s="603"/>
      <c r="AL363" s="603"/>
      <c r="AM363" s="603"/>
      <c r="AN363" s="597"/>
      <c r="AO363" s="695" t="s">
        <v>763</v>
      </c>
      <c r="AP363" s="696">
        <f>IF(C412="Yes",5,0)</f>
        <v>0</v>
      </c>
    </row>
    <row r="364" spans="1:46" s="550" customFormat="1" ht="12.75" customHeight="1">
      <c r="A364" s="603"/>
      <c r="B364" s="611"/>
      <c r="C364" s="2554"/>
      <c r="D364" s="2554"/>
      <c r="E364" s="2554"/>
      <c r="F364" s="2554"/>
      <c r="G364" s="2554"/>
      <c r="H364" s="2554"/>
      <c r="I364" s="2554"/>
      <c r="J364" s="2554"/>
      <c r="K364" s="2554"/>
      <c r="L364" s="2554"/>
      <c r="M364" s="2554"/>
      <c r="N364" s="2554"/>
      <c r="O364" s="2554"/>
      <c r="P364" s="2554"/>
      <c r="Q364" s="2554"/>
      <c r="R364" s="2554"/>
      <c r="S364" s="2554"/>
      <c r="T364" s="2554"/>
      <c r="U364" s="2554"/>
      <c r="V364" s="2554"/>
      <c r="W364" s="2554"/>
      <c r="X364" s="2554"/>
      <c r="Y364" s="2554"/>
      <c r="Z364" s="2554"/>
      <c r="AA364" s="2554"/>
      <c r="AB364" s="2554"/>
      <c r="AC364" s="2554"/>
      <c r="AD364" s="2554"/>
      <c r="AE364" s="2554"/>
      <c r="AF364" s="2554"/>
      <c r="AG364" s="2554"/>
      <c r="AH364" s="2554"/>
      <c r="AI364" s="2554"/>
      <c r="AJ364" s="2554"/>
      <c r="AK364" s="603"/>
      <c r="AL364" s="603"/>
      <c r="AM364" s="603"/>
      <c r="AN364" s="597"/>
      <c r="AO364" s="695" t="s">
        <v>584</v>
      </c>
      <c r="AP364" s="696">
        <f>IF(C421="Yes",5,0)</f>
        <v>0</v>
      </c>
    </row>
    <row r="365" spans="1:46" s="550" customFormat="1" ht="11.75" customHeight="1">
      <c r="A365" s="603"/>
      <c r="B365" s="611"/>
      <c r="C365" s="2554"/>
      <c r="D365" s="2554"/>
      <c r="E365" s="2554"/>
      <c r="F365" s="2554"/>
      <c r="G365" s="2554"/>
      <c r="H365" s="2554"/>
      <c r="I365" s="2554"/>
      <c r="J365" s="2554"/>
      <c r="K365" s="2554"/>
      <c r="L365" s="2554"/>
      <c r="M365" s="2554"/>
      <c r="N365" s="2554"/>
      <c r="O365" s="2554"/>
      <c r="P365" s="2554"/>
      <c r="Q365" s="2554"/>
      <c r="R365" s="2554"/>
      <c r="S365" s="2554"/>
      <c r="T365" s="2554"/>
      <c r="U365" s="2554"/>
      <c r="V365" s="2554"/>
      <c r="W365" s="2554"/>
      <c r="X365" s="2554"/>
      <c r="Y365" s="2554"/>
      <c r="Z365" s="2554"/>
      <c r="AA365" s="2554"/>
      <c r="AB365" s="2554"/>
      <c r="AC365" s="2554"/>
      <c r="AD365" s="2554"/>
      <c r="AE365" s="2554"/>
      <c r="AF365" s="2554"/>
      <c r="AG365" s="2554"/>
      <c r="AH365" s="2554"/>
      <c r="AI365" s="2554"/>
      <c r="AJ365" s="2554"/>
      <c r="AK365" s="603"/>
      <c r="AL365" s="603"/>
      <c r="AM365" s="603"/>
      <c r="AN365" s="597"/>
      <c r="AO365" s="697"/>
      <c r="AP365" s="698">
        <f>IF(C423="Yes",3,0)</f>
        <v>0</v>
      </c>
    </row>
    <row r="366" spans="1:46" s="550" customFormat="1" ht="12.5" customHeight="1">
      <c r="A366" s="603"/>
      <c r="B366" s="611"/>
      <c r="C366" s="2554"/>
      <c r="D366" s="2554"/>
      <c r="E366" s="2554"/>
      <c r="F366" s="2554"/>
      <c r="G366" s="2554"/>
      <c r="H366" s="2554"/>
      <c r="I366" s="2554"/>
      <c r="J366" s="2554"/>
      <c r="K366" s="2554"/>
      <c r="L366" s="2554"/>
      <c r="M366" s="2554"/>
      <c r="N366" s="2554"/>
      <c r="O366" s="2554"/>
      <c r="P366" s="2554"/>
      <c r="Q366" s="2554"/>
      <c r="R366" s="2554"/>
      <c r="S366" s="2554"/>
      <c r="T366" s="2554"/>
      <c r="U366" s="2554"/>
      <c r="V366" s="2554"/>
      <c r="W366" s="2554"/>
      <c r="X366" s="2554"/>
      <c r="Y366" s="2554"/>
      <c r="Z366" s="2554"/>
      <c r="AA366" s="2554"/>
      <c r="AB366" s="2554"/>
      <c r="AC366" s="2554"/>
      <c r="AD366" s="2554"/>
      <c r="AE366" s="2554"/>
      <c r="AF366" s="2554"/>
      <c r="AG366" s="2554"/>
      <c r="AH366" s="2554"/>
      <c r="AI366" s="2554"/>
      <c r="AJ366" s="2554"/>
      <c r="AK366" s="603"/>
      <c r="AL366" s="603"/>
      <c r="AM366" s="603"/>
      <c r="AN366" s="597"/>
      <c r="AO366" s="699" t="s">
        <v>227</v>
      </c>
      <c r="AP366" s="700">
        <f>SUM(AP357:AP365)</f>
        <v>10</v>
      </c>
      <c r="AQ366" s="2555">
        <f>IF(AP366&gt;0,AP366,0)</f>
        <v>10</v>
      </c>
      <c r="AR366" s="2555"/>
    </row>
    <row r="367" spans="1:46" s="550" customFormat="1" ht="12.75" customHeight="1">
      <c r="A367" s="603"/>
      <c r="B367" s="611"/>
      <c r="C367" s="2554"/>
      <c r="D367" s="2554"/>
      <c r="E367" s="2554"/>
      <c r="F367" s="2554"/>
      <c r="G367" s="2554"/>
      <c r="H367" s="2554"/>
      <c r="I367" s="2554"/>
      <c r="J367" s="2554"/>
      <c r="K367" s="2554"/>
      <c r="L367" s="2554"/>
      <c r="M367" s="2554"/>
      <c r="N367" s="2554"/>
      <c r="O367" s="2554"/>
      <c r="P367" s="2554"/>
      <c r="Q367" s="2554"/>
      <c r="R367" s="2554"/>
      <c r="S367" s="2554"/>
      <c r="T367" s="2554"/>
      <c r="U367" s="2554"/>
      <c r="V367" s="2554"/>
      <c r="W367" s="2554"/>
      <c r="X367" s="2554"/>
      <c r="Y367" s="2554"/>
      <c r="Z367" s="2554"/>
      <c r="AA367" s="2554"/>
      <c r="AB367" s="2554"/>
      <c r="AC367" s="2554"/>
      <c r="AD367" s="2554"/>
      <c r="AE367" s="2554"/>
      <c r="AF367" s="2554"/>
      <c r="AG367" s="2554"/>
      <c r="AH367" s="2554"/>
      <c r="AI367" s="2554"/>
      <c r="AJ367" s="255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32" t="s">
        <v>1458</v>
      </c>
      <c r="D369" s="2532"/>
      <c r="E369" s="2532"/>
      <c r="F369" s="2532"/>
      <c r="G369" s="2532"/>
      <c r="H369" s="2532"/>
      <c r="I369" s="2532"/>
      <c r="J369" s="2532"/>
      <c r="K369" s="2532"/>
      <c r="L369" s="2532"/>
      <c r="M369" s="2532"/>
      <c r="N369" s="2532"/>
      <c r="O369" s="2532"/>
      <c r="P369" s="2532"/>
      <c r="Q369" s="2532"/>
      <c r="R369" s="2532"/>
      <c r="S369" s="2532"/>
      <c r="T369" s="2532"/>
      <c r="U369" s="2532"/>
      <c r="V369" s="2532"/>
      <c r="W369" s="2532"/>
      <c r="X369" s="2532"/>
      <c r="Y369" s="2532"/>
      <c r="Z369" s="2532"/>
      <c r="AA369" s="2532"/>
      <c r="AB369" s="2532"/>
      <c r="AC369" s="2532"/>
      <c r="AD369" s="2532"/>
      <c r="AE369" s="2532"/>
      <c r="AF369" s="2532"/>
      <c r="AG369" s="2532"/>
      <c r="AH369" s="2532"/>
      <c r="AI369" s="2532"/>
      <c r="AJ369" s="2532"/>
      <c r="AK369" s="603"/>
      <c r="AL369" s="603"/>
      <c r="AM369" s="603"/>
      <c r="AN369" s="597"/>
      <c r="AO369" s="695" t="s">
        <v>456</v>
      </c>
      <c r="AP369" s="696">
        <f>IF(C442="Yes",5,0)</f>
        <v>0</v>
      </c>
    </row>
    <row r="370" spans="1:81" s="550" customFormat="1" ht="12.75" customHeight="1">
      <c r="A370" s="603"/>
      <c r="B370" s="611"/>
      <c r="C370" s="2532"/>
      <c r="D370" s="2532"/>
      <c r="E370" s="2532"/>
      <c r="F370" s="2532"/>
      <c r="G370" s="2532"/>
      <c r="H370" s="2532"/>
      <c r="I370" s="2532"/>
      <c r="J370" s="2532"/>
      <c r="K370" s="2532"/>
      <c r="L370" s="2532"/>
      <c r="M370" s="2532"/>
      <c r="N370" s="2532"/>
      <c r="O370" s="2532"/>
      <c r="P370" s="2532"/>
      <c r="Q370" s="2532"/>
      <c r="R370" s="2532"/>
      <c r="S370" s="2532"/>
      <c r="T370" s="2532"/>
      <c r="U370" s="2532"/>
      <c r="V370" s="2532"/>
      <c r="W370" s="2532"/>
      <c r="X370" s="2532"/>
      <c r="Y370" s="2532"/>
      <c r="Z370" s="2532"/>
      <c r="AA370" s="2532"/>
      <c r="AB370" s="2532"/>
      <c r="AC370" s="2532"/>
      <c r="AD370" s="2532"/>
      <c r="AE370" s="2532"/>
      <c r="AF370" s="2532"/>
      <c r="AG370" s="2532"/>
      <c r="AH370" s="2532"/>
      <c r="AI370" s="2532"/>
      <c r="AJ370" s="2532"/>
      <c r="AK370" s="603"/>
      <c r="AL370" s="603"/>
      <c r="AM370" s="603"/>
      <c r="AN370" s="597"/>
      <c r="AO370" s="695" t="s">
        <v>461</v>
      </c>
      <c r="AP370" s="696">
        <f>IF(C449="Yes",5,0)</f>
        <v>0</v>
      </c>
    </row>
    <row r="371" spans="1:81" s="550" customFormat="1" ht="68" customHeight="1">
      <c r="A371" s="603"/>
      <c r="B371" s="611"/>
      <c r="C371" s="2532"/>
      <c r="D371" s="2532"/>
      <c r="E371" s="2532"/>
      <c r="F371" s="2532"/>
      <c r="G371" s="2532"/>
      <c r="H371" s="2532"/>
      <c r="I371" s="2532"/>
      <c r="J371" s="2532"/>
      <c r="K371" s="2532"/>
      <c r="L371" s="2532"/>
      <c r="M371" s="2532"/>
      <c r="N371" s="2532"/>
      <c r="O371" s="2532"/>
      <c r="P371" s="2532"/>
      <c r="Q371" s="2532"/>
      <c r="R371" s="2532"/>
      <c r="S371" s="2532"/>
      <c r="T371" s="2532"/>
      <c r="U371" s="2532"/>
      <c r="V371" s="2532"/>
      <c r="W371" s="2532"/>
      <c r="X371" s="2532"/>
      <c r="Y371" s="2532"/>
      <c r="Z371" s="2532"/>
      <c r="AA371" s="2532"/>
      <c r="AB371" s="2532"/>
      <c r="AC371" s="2532"/>
      <c r="AD371" s="2532"/>
      <c r="AE371" s="2532"/>
      <c r="AF371" s="2532"/>
      <c r="AG371" s="2532"/>
      <c r="AH371" s="2532"/>
      <c r="AI371" s="2532"/>
      <c r="AJ371" s="2532"/>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40">
        <f>Application!DU802-U374</f>
        <v>90</v>
      </c>
      <c r="V373" s="2640"/>
      <c r="W373" s="264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41">
        <f>IF(Application!D211="SRO",Application!DU755,Application!AG756)</f>
        <v>0</v>
      </c>
      <c r="V374" s="2641"/>
      <c r="W374" s="26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55">
        <f>IF(AP375&gt;0,AP375,0)</f>
        <v>0</v>
      </c>
      <c r="AR375" s="2555"/>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36" t="s">
        <v>1460</v>
      </c>
      <c r="G377" s="2536"/>
      <c r="H377" s="2536"/>
      <c r="I377" s="2536"/>
      <c r="J377" s="2536"/>
      <c r="K377" s="2536"/>
      <c r="L377" s="2536"/>
      <c r="M377" s="2536"/>
      <c r="N377" s="2536"/>
      <c r="O377" s="2536"/>
      <c r="P377" s="2536"/>
      <c r="Q377" s="2536"/>
      <c r="R377" s="2536"/>
      <c r="S377" s="2536"/>
      <c r="T377" s="2536"/>
      <c r="U377" s="2536"/>
      <c r="V377" s="2536"/>
      <c r="W377" s="2536"/>
      <c r="X377" s="2536"/>
      <c r="Y377" s="2536"/>
      <c r="Z377" s="2536"/>
      <c r="AA377" s="2536"/>
      <c r="AB377" s="2536"/>
      <c r="AC377" s="2536"/>
      <c r="AD377" s="2536"/>
      <c r="AE377" s="2536"/>
      <c r="AF377" s="25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7"/>
      <c r="G378" s="2537"/>
      <c r="H378" s="2537"/>
      <c r="I378" s="2537"/>
      <c r="J378" s="2537"/>
      <c r="K378" s="2537"/>
      <c r="L378" s="2537"/>
      <c r="M378" s="2537"/>
      <c r="N378" s="2537"/>
      <c r="O378" s="2537"/>
      <c r="P378" s="2537"/>
      <c r="Q378" s="2537"/>
      <c r="R378" s="2537"/>
      <c r="S378" s="2537"/>
      <c r="T378" s="2537"/>
      <c r="U378" s="2537"/>
      <c r="V378" s="2537"/>
      <c r="W378" s="2537"/>
      <c r="X378" s="2537"/>
      <c r="Y378" s="2537"/>
      <c r="Z378" s="2537"/>
      <c r="AA378" s="2537"/>
      <c r="AB378" s="2537"/>
      <c r="AC378" s="2537"/>
      <c r="AD378" s="2537"/>
      <c r="AE378" s="2537"/>
      <c r="AF378" s="25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7"/>
      <c r="G379" s="2537"/>
      <c r="H379" s="2537"/>
      <c r="I379" s="2537"/>
      <c r="J379" s="2537"/>
      <c r="K379" s="2537"/>
      <c r="L379" s="2537"/>
      <c r="M379" s="2537"/>
      <c r="N379" s="2537"/>
      <c r="O379" s="2537"/>
      <c r="P379" s="2537"/>
      <c r="Q379" s="2537"/>
      <c r="R379" s="2537"/>
      <c r="S379" s="2537"/>
      <c r="T379" s="2537"/>
      <c r="U379" s="2537"/>
      <c r="V379" s="2537"/>
      <c r="W379" s="2537"/>
      <c r="X379" s="2537"/>
      <c r="Y379" s="2537"/>
      <c r="Z379" s="2537"/>
      <c r="AA379" s="2537"/>
      <c r="AB379" s="2537"/>
      <c r="AC379" s="2537"/>
      <c r="AD379" s="2537"/>
      <c r="AE379" s="2537"/>
      <c r="AF379" s="25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7"/>
      <c r="G380" s="2537"/>
      <c r="H380" s="2537"/>
      <c r="I380" s="2537"/>
      <c r="J380" s="2537"/>
      <c r="K380" s="2537"/>
      <c r="L380" s="2537"/>
      <c r="M380" s="2537"/>
      <c r="N380" s="2537"/>
      <c r="O380" s="2537"/>
      <c r="P380" s="2537"/>
      <c r="Q380" s="2537"/>
      <c r="R380" s="2537"/>
      <c r="S380" s="2537"/>
      <c r="T380" s="2537"/>
      <c r="U380" s="2537"/>
      <c r="V380" s="2537"/>
      <c r="W380" s="2537"/>
      <c r="X380" s="2537"/>
      <c r="Y380" s="2537"/>
      <c r="Z380" s="2537"/>
      <c r="AA380" s="2537"/>
      <c r="AB380" s="2537"/>
      <c r="AC380" s="2537"/>
      <c r="AD380" s="2537"/>
      <c r="AE380" s="2537"/>
      <c r="AF380" s="25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33" t="s">
        <v>591</v>
      </c>
      <c r="D381" s="249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34" t="s">
        <v>1462</v>
      </c>
      <c r="AG381" s="2534"/>
      <c r="AH381" s="2534"/>
      <c r="AI381" s="2534"/>
      <c r="AJ381" s="2534"/>
      <c r="AK381" s="2534"/>
      <c r="AL381" s="253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36" t="s">
        <v>1463</v>
      </c>
      <c r="G384" s="2536"/>
      <c r="H384" s="2536"/>
      <c r="I384" s="2536"/>
      <c r="J384" s="2536"/>
      <c r="K384" s="2536"/>
      <c r="L384" s="2536"/>
      <c r="M384" s="2536"/>
      <c r="N384" s="2536"/>
      <c r="O384" s="2536"/>
      <c r="P384" s="2536"/>
      <c r="Q384" s="2536"/>
      <c r="R384" s="2536"/>
      <c r="S384" s="2536"/>
      <c r="T384" s="2536"/>
      <c r="U384" s="2536"/>
      <c r="V384" s="2536"/>
      <c r="W384" s="2536"/>
      <c r="X384" s="2536"/>
      <c r="Y384" s="2536"/>
      <c r="Z384" s="2536"/>
      <c r="AA384" s="2536"/>
      <c r="AB384" s="2536"/>
      <c r="AC384" s="2536"/>
      <c r="AD384" s="2536"/>
      <c r="AE384" s="2536"/>
      <c r="AF384" s="25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7"/>
      <c r="G385" s="2537"/>
      <c r="H385" s="2537"/>
      <c r="I385" s="2537"/>
      <c r="J385" s="2537"/>
      <c r="K385" s="2537"/>
      <c r="L385" s="2537"/>
      <c r="M385" s="2537"/>
      <c r="N385" s="2537"/>
      <c r="O385" s="2537"/>
      <c r="P385" s="2537"/>
      <c r="Q385" s="2537"/>
      <c r="R385" s="2537"/>
      <c r="S385" s="2537"/>
      <c r="T385" s="2537"/>
      <c r="U385" s="2537"/>
      <c r="V385" s="2537"/>
      <c r="W385" s="2537"/>
      <c r="X385" s="2537"/>
      <c r="Y385" s="2537"/>
      <c r="Z385" s="2537"/>
      <c r="AA385" s="2537"/>
      <c r="AB385" s="2537"/>
      <c r="AC385" s="2537"/>
      <c r="AD385" s="2537"/>
      <c r="AE385" s="2537"/>
      <c r="AF385" s="25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7"/>
      <c r="G386" s="2537"/>
      <c r="H386" s="2537"/>
      <c r="I386" s="2537"/>
      <c r="J386" s="2537"/>
      <c r="K386" s="2537"/>
      <c r="L386" s="2537"/>
      <c r="M386" s="2537"/>
      <c r="N386" s="2537"/>
      <c r="O386" s="2537"/>
      <c r="P386" s="2537"/>
      <c r="Q386" s="2537"/>
      <c r="R386" s="2537"/>
      <c r="S386" s="2537"/>
      <c r="T386" s="2537"/>
      <c r="U386" s="2537"/>
      <c r="V386" s="2537"/>
      <c r="W386" s="2537"/>
      <c r="X386" s="2537"/>
      <c r="Y386" s="2537"/>
      <c r="Z386" s="2537"/>
      <c r="AA386" s="2537"/>
      <c r="AB386" s="2537"/>
      <c r="AC386" s="2537"/>
      <c r="AD386" s="2537"/>
      <c r="AE386" s="2537"/>
      <c r="AF386" s="25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7"/>
      <c r="G387" s="2537"/>
      <c r="H387" s="2537"/>
      <c r="I387" s="2537"/>
      <c r="J387" s="2537"/>
      <c r="K387" s="2537"/>
      <c r="L387" s="2537"/>
      <c r="M387" s="2537"/>
      <c r="N387" s="2537"/>
      <c r="O387" s="2537"/>
      <c r="P387" s="2537"/>
      <c r="Q387" s="2537"/>
      <c r="R387" s="2537"/>
      <c r="S387" s="2537"/>
      <c r="T387" s="2537"/>
      <c r="U387" s="2537"/>
      <c r="V387" s="2537"/>
      <c r="W387" s="2537"/>
      <c r="X387" s="2537"/>
      <c r="Y387" s="2537"/>
      <c r="Z387" s="2537"/>
      <c r="AA387" s="2537"/>
      <c r="AB387" s="2537"/>
      <c r="AC387" s="2537"/>
      <c r="AD387" s="2537"/>
      <c r="AE387" s="2537"/>
      <c r="AF387" s="25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7"/>
      <c r="G388" s="2537"/>
      <c r="H388" s="2537"/>
      <c r="I388" s="2537"/>
      <c r="J388" s="2537"/>
      <c r="K388" s="2537"/>
      <c r="L388" s="2537"/>
      <c r="M388" s="2537"/>
      <c r="N388" s="2537"/>
      <c r="O388" s="2537"/>
      <c r="P388" s="2537"/>
      <c r="Q388" s="2537"/>
      <c r="R388" s="2537"/>
      <c r="S388" s="2537"/>
      <c r="T388" s="2537"/>
      <c r="U388" s="2537"/>
      <c r="V388" s="2537"/>
      <c r="W388" s="2537"/>
      <c r="X388" s="2537"/>
      <c r="Y388" s="2537"/>
      <c r="Z388" s="2537"/>
      <c r="AA388" s="2537"/>
      <c r="AB388" s="2537"/>
      <c r="AC388" s="2537"/>
      <c r="AD388" s="2537"/>
      <c r="AE388" s="2537"/>
      <c r="AF388" s="2537"/>
      <c r="AL388" s="732"/>
      <c r="AN388" s="597"/>
      <c r="BS388" s="30"/>
      <c r="BT388" s="30"/>
      <c r="BU388" s="14"/>
      <c r="BV388" s="14"/>
      <c r="BW388" s="14"/>
      <c r="BX388" s="14"/>
      <c r="BY388" s="14"/>
      <c r="BZ388" s="14"/>
      <c r="CA388" s="14"/>
      <c r="CB388" s="14"/>
      <c r="CC388" s="14"/>
    </row>
    <row r="389" spans="1:81" s="550" customFormat="1" ht="12.75" customHeight="1">
      <c r="A389" s="536"/>
      <c r="B389" s="14"/>
      <c r="C389" s="2533" t="s">
        <v>591</v>
      </c>
      <c r="D389" s="249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34" t="s">
        <v>1462</v>
      </c>
      <c r="AG389" s="2534"/>
      <c r="AH389" s="2534"/>
      <c r="AI389" s="2534"/>
      <c r="AJ389" s="2534"/>
      <c r="AK389" s="2534"/>
      <c r="AL389" s="253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36" t="s">
        <v>1465</v>
      </c>
      <c r="G392" s="2536"/>
      <c r="H392" s="2536"/>
      <c r="I392" s="2536"/>
      <c r="J392" s="2536"/>
      <c r="K392" s="2536"/>
      <c r="L392" s="2536"/>
      <c r="M392" s="2536"/>
      <c r="N392" s="2536"/>
      <c r="O392" s="2536"/>
      <c r="P392" s="2536"/>
      <c r="Q392" s="2536"/>
      <c r="R392" s="2536"/>
      <c r="S392" s="2536"/>
      <c r="T392" s="2536"/>
      <c r="U392" s="2536"/>
      <c r="V392" s="2536"/>
      <c r="W392" s="2536"/>
      <c r="X392" s="2536"/>
      <c r="Y392" s="2536"/>
      <c r="Z392" s="2536"/>
      <c r="AA392" s="2536"/>
      <c r="AB392" s="2536"/>
      <c r="AC392" s="2536"/>
      <c r="AD392" s="2536"/>
      <c r="AE392" s="2536"/>
      <c r="AF392" s="25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7"/>
      <c r="G393" s="2537"/>
      <c r="H393" s="2537"/>
      <c r="I393" s="2537"/>
      <c r="J393" s="2537"/>
      <c r="K393" s="2537"/>
      <c r="L393" s="2537"/>
      <c r="M393" s="2537"/>
      <c r="N393" s="2537"/>
      <c r="O393" s="2537"/>
      <c r="P393" s="2537"/>
      <c r="Q393" s="2537"/>
      <c r="R393" s="2537"/>
      <c r="S393" s="2537"/>
      <c r="T393" s="2537"/>
      <c r="U393" s="2537"/>
      <c r="V393" s="2537"/>
      <c r="W393" s="2537"/>
      <c r="X393" s="2537"/>
      <c r="Y393" s="2537"/>
      <c r="Z393" s="2537"/>
      <c r="AA393" s="2537"/>
      <c r="AB393" s="2537"/>
      <c r="AC393" s="2537"/>
      <c r="AD393" s="2537"/>
      <c r="AE393" s="2537"/>
      <c r="AF393" s="25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7"/>
      <c r="G394" s="2537"/>
      <c r="H394" s="2537"/>
      <c r="I394" s="2537"/>
      <c r="J394" s="2537"/>
      <c r="K394" s="2537"/>
      <c r="L394" s="2537"/>
      <c r="M394" s="2537"/>
      <c r="N394" s="2537"/>
      <c r="O394" s="2537"/>
      <c r="P394" s="2537"/>
      <c r="Q394" s="2537"/>
      <c r="R394" s="2537"/>
      <c r="S394" s="2537"/>
      <c r="T394" s="2537"/>
      <c r="U394" s="2537"/>
      <c r="V394" s="2537"/>
      <c r="W394" s="2537"/>
      <c r="X394" s="2537"/>
      <c r="Y394" s="2537"/>
      <c r="Z394" s="2537"/>
      <c r="AA394" s="2537"/>
      <c r="AB394" s="2537"/>
      <c r="AC394" s="2537"/>
      <c r="AD394" s="2537"/>
      <c r="AE394" s="2537"/>
      <c r="AF394" s="25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7"/>
      <c r="G395" s="2537"/>
      <c r="H395" s="2537"/>
      <c r="I395" s="2537"/>
      <c r="J395" s="2537"/>
      <c r="K395" s="2537"/>
      <c r="L395" s="2537"/>
      <c r="M395" s="2537"/>
      <c r="N395" s="2537"/>
      <c r="O395" s="2537"/>
      <c r="P395" s="2537"/>
      <c r="Q395" s="2537"/>
      <c r="R395" s="2537"/>
      <c r="S395" s="2537"/>
      <c r="T395" s="2537"/>
      <c r="U395" s="2537"/>
      <c r="V395" s="2537"/>
      <c r="W395" s="2537"/>
      <c r="X395" s="2537"/>
      <c r="Y395" s="2537"/>
      <c r="Z395" s="2537"/>
      <c r="AA395" s="2537"/>
      <c r="AB395" s="2537"/>
      <c r="AC395" s="2537"/>
      <c r="AD395" s="2537"/>
      <c r="AE395" s="2537"/>
      <c r="AF395" s="25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7"/>
      <c r="G396" s="2537"/>
      <c r="H396" s="2537"/>
      <c r="I396" s="2537"/>
      <c r="J396" s="2537"/>
      <c r="K396" s="2537"/>
      <c r="L396" s="2537"/>
      <c r="M396" s="2537"/>
      <c r="N396" s="2537"/>
      <c r="O396" s="2537"/>
      <c r="P396" s="2537"/>
      <c r="Q396" s="2537"/>
      <c r="R396" s="2537"/>
      <c r="S396" s="2537"/>
      <c r="T396" s="2537"/>
      <c r="U396" s="2537"/>
      <c r="V396" s="2537"/>
      <c r="W396" s="2537"/>
      <c r="X396" s="2537"/>
      <c r="Y396" s="2537"/>
      <c r="Z396" s="2537"/>
      <c r="AA396" s="2537"/>
      <c r="AB396" s="2537"/>
      <c r="AC396" s="2537"/>
      <c r="AD396" s="2537"/>
      <c r="AE396" s="2537"/>
      <c r="AF396" s="25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33" t="s">
        <v>545</v>
      </c>
      <c r="D397" s="249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34" t="s">
        <v>1467</v>
      </c>
      <c r="AG397" s="2534"/>
      <c r="AH397" s="2534"/>
      <c r="AI397" s="2534"/>
      <c r="AJ397" s="2534"/>
      <c r="AK397" s="2534"/>
      <c r="AL397" s="253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33" t="s">
        <v>591</v>
      </c>
      <c r="D399" s="249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34" t="s">
        <v>1462</v>
      </c>
      <c r="AG399" s="2534"/>
      <c r="AH399" s="2534"/>
      <c r="AI399" s="2534"/>
      <c r="AJ399" s="2534"/>
      <c r="AK399" s="2534"/>
      <c r="AL399" s="253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36" t="s">
        <v>1471</v>
      </c>
      <c r="G403" s="2536"/>
      <c r="H403" s="2536"/>
      <c r="I403" s="2536"/>
      <c r="J403" s="2536"/>
      <c r="K403" s="2536"/>
      <c r="L403" s="2536"/>
      <c r="M403" s="2536"/>
      <c r="N403" s="2536"/>
      <c r="O403" s="2536"/>
      <c r="P403" s="2536"/>
      <c r="Q403" s="2536"/>
      <c r="R403" s="2536"/>
      <c r="S403" s="2536"/>
      <c r="T403" s="2536"/>
      <c r="U403" s="2536"/>
      <c r="V403" s="2536"/>
      <c r="W403" s="2536"/>
      <c r="X403" s="2536"/>
      <c r="Y403" s="2536"/>
      <c r="Z403" s="2536"/>
      <c r="AA403" s="2536"/>
      <c r="AB403" s="2536"/>
      <c r="AC403" s="2536"/>
      <c r="AD403" s="2536"/>
      <c r="AE403" s="2536"/>
      <c r="AF403" s="25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7"/>
      <c r="G404" s="2537"/>
      <c r="H404" s="2537"/>
      <c r="I404" s="2537"/>
      <c r="J404" s="2537"/>
      <c r="K404" s="2537"/>
      <c r="L404" s="2537"/>
      <c r="M404" s="2537"/>
      <c r="N404" s="2537"/>
      <c r="O404" s="2537"/>
      <c r="P404" s="2537"/>
      <c r="Q404" s="2537"/>
      <c r="R404" s="2537"/>
      <c r="S404" s="2537"/>
      <c r="T404" s="2537"/>
      <c r="U404" s="2537"/>
      <c r="V404" s="2537"/>
      <c r="W404" s="2537"/>
      <c r="X404" s="2537"/>
      <c r="Y404" s="2537"/>
      <c r="Z404" s="2537"/>
      <c r="AA404" s="2537"/>
      <c r="AB404" s="2537"/>
      <c r="AC404" s="2537"/>
      <c r="AD404" s="2537"/>
      <c r="AE404" s="2537"/>
      <c r="AF404" s="25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37"/>
      <c r="G405" s="2537"/>
      <c r="H405" s="2537"/>
      <c r="I405" s="2537"/>
      <c r="J405" s="2537"/>
      <c r="K405" s="2537"/>
      <c r="L405" s="2537"/>
      <c r="M405" s="2537"/>
      <c r="N405" s="2537"/>
      <c r="O405" s="2537"/>
      <c r="P405" s="2537"/>
      <c r="Q405" s="2537"/>
      <c r="R405" s="2537"/>
      <c r="S405" s="2537"/>
      <c r="T405" s="2537"/>
      <c r="U405" s="2537"/>
      <c r="V405" s="2537"/>
      <c r="W405" s="2537"/>
      <c r="X405" s="2537"/>
      <c r="Y405" s="2537"/>
      <c r="Z405" s="2537"/>
      <c r="AA405" s="2537"/>
      <c r="AB405" s="2537"/>
      <c r="AC405" s="2537"/>
      <c r="AD405" s="2537"/>
      <c r="AE405" s="2537"/>
      <c r="AF405" s="25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7"/>
      <c r="G406" s="2537"/>
      <c r="H406" s="2537"/>
      <c r="I406" s="2537"/>
      <c r="J406" s="2537"/>
      <c r="K406" s="2537"/>
      <c r="L406" s="2537"/>
      <c r="M406" s="2537"/>
      <c r="N406" s="2537"/>
      <c r="O406" s="2537"/>
      <c r="P406" s="2537"/>
      <c r="Q406" s="2537"/>
      <c r="R406" s="2537"/>
      <c r="S406" s="2537"/>
      <c r="T406" s="2537"/>
      <c r="U406" s="2537"/>
      <c r="V406" s="2537"/>
      <c r="W406" s="2537"/>
      <c r="X406" s="2537"/>
      <c r="Y406" s="2537"/>
      <c r="Z406" s="2537"/>
      <c r="AA406" s="2537"/>
      <c r="AB406" s="2537"/>
      <c r="AC406" s="2537"/>
      <c r="AD406" s="2537"/>
      <c r="AE406" s="2537"/>
      <c r="AF406" s="25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33" t="s">
        <v>591</v>
      </c>
      <c r="D407" s="249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34" t="s">
        <v>1462</v>
      </c>
      <c r="AG407" s="2534"/>
      <c r="AH407" s="2534"/>
      <c r="AI407" s="2534"/>
      <c r="AJ407" s="2534"/>
      <c r="AK407" s="2534"/>
      <c r="AL407" s="253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33" t="s">
        <v>545</v>
      </c>
      <c r="D409" s="249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34" t="s">
        <v>1474</v>
      </c>
      <c r="AG409" s="2534"/>
      <c r="AH409" s="2534"/>
      <c r="AI409" s="2534"/>
      <c r="AJ409" s="2534"/>
      <c r="AK409" s="2534"/>
      <c r="AL409" s="253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33" t="s">
        <v>591</v>
      </c>
      <c r="D412" s="2490"/>
      <c r="E412" s="715" t="s">
        <v>1475</v>
      </c>
      <c r="F412" s="2536" t="s">
        <v>1476</v>
      </c>
      <c r="G412" s="2536"/>
      <c r="H412" s="2536"/>
      <c r="I412" s="2536"/>
      <c r="J412" s="2536"/>
      <c r="K412" s="2536"/>
      <c r="L412" s="2536"/>
      <c r="M412" s="2536"/>
      <c r="N412" s="2536"/>
      <c r="O412" s="2536"/>
      <c r="P412" s="2536"/>
      <c r="Q412" s="2536"/>
      <c r="R412" s="2536"/>
      <c r="S412" s="2536"/>
      <c r="T412" s="2536"/>
      <c r="U412" s="2536"/>
      <c r="V412" s="2536"/>
      <c r="W412" s="2536"/>
      <c r="X412" s="2536"/>
      <c r="Y412" s="2536"/>
      <c r="Z412" s="2536"/>
      <c r="AA412" s="2536"/>
      <c r="AB412" s="2536"/>
      <c r="AC412" s="2536"/>
      <c r="AD412" s="2536"/>
      <c r="AE412" s="25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7"/>
      <c r="G413" s="2537"/>
      <c r="H413" s="2537"/>
      <c r="I413" s="2537"/>
      <c r="J413" s="2537"/>
      <c r="K413" s="2537"/>
      <c r="L413" s="2537"/>
      <c r="M413" s="2537"/>
      <c r="N413" s="2537"/>
      <c r="O413" s="2537"/>
      <c r="P413" s="2537"/>
      <c r="Q413" s="2537"/>
      <c r="R413" s="2537"/>
      <c r="S413" s="2537"/>
      <c r="T413" s="2537"/>
      <c r="U413" s="2537"/>
      <c r="V413" s="2537"/>
      <c r="W413" s="2537"/>
      <c r="X413" s="2537"/>
      <c r="Y413" s="2537"/>
      <c r="Z413" s="2537"/>
      <c r="AA413" s="2537"/>
      <c r="AB413" s="2537"/>
      <c r="AC413" s="2537"/>
      <c r="AD413" s="2537"/>
      <c r="AE413" s="2537"/>
      <c r="AF413" s="2458" t="s">
        <v>1462</v>
      </c>
      <c r="AG413" s="2458"/>
      <c r="AH413" s="2458"/>
      <c r="AI413" s="2458"/>
      <c r="AJ413" s="2458"/>
      <c r="AK413" s="2458"/>
      <c r="AL413" s="2538"/>
      <c r="AM413" s="570"/>
      <c r="AN413" s="597"/>
      <c r="BS413" s="570"/>
      <c r="BT413" s="570"/>
      <c r="BY413" s="570"/>
      <c r="BZ413" s="570"/>
      <c r="CA413" s="570"/>
      <c r="CB413" s="570"/>
      <c r="CC413" s="570"/>
    </row>
    <row r="414" spans="1:81" s="550" customFormat="1" ht="12.75" customHeight="1">
      <c r="A414" s="536"/>
      <c r="B414" s="14"/>
      <c r="C414" s="731"/>
      <c r="D414" s="14"/>
      <c r="E414" s="691"/>
      <c r="F414" s="2537"/>
      <c r="G414" s="2537"/>
      <c r="H414" s="2537"/>
      <c r="I414" s="2537"/>
      <c r="J414" s="2537"/>
      <c r="K414" s="2537"/>
      <c r="L414" s="2537"/>
      <c r="M414" s="2537"/>
      <c r="N414" s="2537"/>
      <c r="O414" s="2537"/>
      <c r="P414" s="2537"/>
      <c r="Q414" s="2537"/>
      <c r="R414" s="2537"/>
      <c r="S414" s="2537"/>
      <c r="T414" s="2537"/>
      <c r="U414" s="2537"/>
      <c r="V414" s="2537"/>
      <c r="W414" s="2537"/>
      <c r="X414" s="2537"/>
      <c r="Y414" s="2537"/>
      <c r="Z414" s="2537"/>
      <c r="AA414" s="2537"/>
      <c r="AB414" s="2537"/>
      <c r="AC414" s="2537"/>
      <c r="AD414" s="2537"/>
      <c r="AE414" s="25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56"/>
      <c r="G415" s="2556"/>
      <c r="H415" s="2556"/>
      <c r="I415" s="2556"/>
      <c r="J415" s="2556"/>
      <c r="K415" s="2556"/>
      <c r="L415" s="2556"/>
      <c r="M415" s="2556"/>
      <c r="N415" s="2556"/>
      <c r="O415" s="2556"/>
      <c r="P415" s="2556"/>
      <c r="Q415" s="2556"/>
      <c r="R415" s="2556"/>
      <c r="S415" s="2556"/>
      <c r="T415" s="2556"/>
      <c r="U415" s="2556"/>
      <c r="V415" s="2556"/>
      <c r="W415" s="2556"/>
      <c r="X415" s="2556"/>
      <c r="Y415" s="2556"/>
      <c r="Z415" s="2556"/>
      <c r="AA415" s="2556"/>
      <c r="AB415" s="2556"/>
      <c r="AC415" s="2556"/>
      <c r="AD415" s="2556"/>
      <c r="AE415" s="255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36" t="s">
        <v>1478</v>
      </c>
      <c r="G417" s="2536"/>
      <c r="H417" s="2536"/>
      <c r="I417" s="2536"/>
      <c r="J417" s="2536"/>
      <c r="K417" s="2536"/>
      <c r="L417" s="2536"/>
      <c r="M417" s="2536"/>
      <c r="N417" s="2536"/>
      <c r="O417" s="2536"/>
      <c r="P417" s="2536"/>
      <c r="Q417" s="2536"/>
      <c r="R417" s="2536"/>
      <c r="S417" s="2536"/>
      <c r="T417" s="2536"/>
      <c r="U417" s="2536"/>
      <c r="V417" s="2536"/>
      <c r="W417" s="2536"/>
      <c r="X417" s="2536"/>
      <c r="Y417" s="2536"/>
      <c r="Z417" s="2536"/>
      <c r="AA417" s="2536"/>
      <c r="AB417" s="2536"/>
      <c r="AC417" s="2536"/>
      <c r="AD417" s="2536"/>
      <c r="AE417" s="2536"/>
      <c r="AF417" s="747"/>
      <c r="AG417" s="747"/>
      <c r="AH417" s="747"/>
      <c r="AI417" s="747"/>
      <c r="AJ417" s="747"/>
      <c r="AK417" s="747"/>
      <c r="AL417" s="748"/>
      <c r="AM417" s="570"/>
    </row>
    <row r="418" spans="1:55" ht="13">
      <c r="A418" s="536"/>
      <c r="C418" s="731"/>
      <c r="E418" s="691"/>
      <c r="F418" s="2537"/>
      <c r="G418" s="2537"/>
      <c r="H418" s="2537"/>
      <c r="I418" s="2537"/>
      <c r="J418" s="2537"/>
      <c r="K418" s="2537"/>
      <c r="L418" s="2537"/>
      <c r="M418" s="2537"/>
      <c r="N418" s="2537"/>
      <c r="O418" s="2537"/>
      <c r="P418" s="2537"/>
      <c r="Q418" s="2537"/>
      <c r="R418" s="2537"/>
      <c r="S418" s="2537"/>
      <c r="T418" s="2537"/>
      <c r="U418" s="2537"/>
      <c r="V418" s="2537"/>
      <c r="W418" s="2537"/>
      <c r="X418" s="2537"/>
      <c r="Y418" s="2537"/>
      <c r="Z418" s="2537"/>
      <c r="AA418" s="2537"/>
      <c r="AB418" s="2537"/>
      <c r="AC418" s="2537"/>
      <c r="AD418" s="2537"/>
      <c r="AE418" s="2537"/>
      <c r="AF418" s="539"/>
      <c r="AG418" s="536"/>
      <c r="AH418" s="550"/>
      <c r="AI418" s="550"/>
      <c r="AJ418" s="550"/>
      <c r="AK418" s="550"/>
      <c r="AL418" s="732"/>
      <c r="AM418" s="570"/>
    </row>
    <row r="419" spans="1:55" s="550" customFormat="1" ht="12.75" customHeight="1">
      <c r="A419" s="536"/>
      <c r="B419" s="14"/>
      <c r="C419" s="731"/>
      <c r="D419" s="14"/>
      <c r="E419" s="691"/>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L419" s="732"/>
      <c r="AM419" s="570"/>
      <c r="AN419" s="597"/>
    </row>
    <row r="420" spans="1:55" s="550" customFormat="1" ht="12.75" customHeight="1">
      <c r="A420" s="536"/>
      <c r="B420" s="14"/>
      <c r="C420" s="739"/>
      <c r="F420" s="2537"/>
      <c r="G420" s="2537"/>
      <c r="H420" s="2537"/>
      <c r="I420" s="2537"/>
      <c r="J420" s="2537"/>
      <c r="K420" s="2537"/>
      <c r="L420" s="2537"/>
      <c r="M420" s="2537"/>
      <c r="N420" s="2537"/>
      <c r="O420" s="2537"/>
      <c r="P420" s="2537"/>
      <c r="Q420" s="2537"/>
      <c r="R420" s="2537"/>
      <c r="S420" s="2537"/>
      <c r="T420" s="2537"/>
      <c r="U420" s="2537"/>
      <c r="V420" s="2537"/>
      <c r="W420" s="2537"/>
      <c r="X420" s="2537"/>
      <c r="Y420" s="2537"/>
      <c r="Z420" s="2537"/>
      <c r="AA420" s="2537"/>
      <c r="AB420" s="2537"/>
      <c r="AC420" s="2537"/>
      <c r="AD420" s="2537"/>
      <c r="AE420" s="2537"/>
      <c r="AL420" s="732"/>
      <c r="AM420" s="570"/>
      <c r="AN420" s="597"/>
    </row>
    <row r="421" spans="1:55" s="550" customFormat="1" ht="12.75" customHeight="1">
      <c r="A421" s="536"/>
      <c r="B421" s="14"/>
      <c r="C421" s="2533" t="s">
        <v>591</v>
      </c>
      <c r="D421" s="249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8" t="s">
        <v>1462</v>
      </c>
      <c r="AG421" s="2458"/>
      <c r="AH421" s="2458"/>
      <c r="AI421" s="2458"/>
      <c r="AJ421" s="2458"/>
      <c r="AK421" s="2458"/>
      <c r="AL421" s="2538"/>
      <c r="AM421" s="570"/>
      <c r="AN421" s="597"/>
    </row>
    <row r="422" spans="1:55" s="550" customFormat="1" ht="12.75" customHeight="1">
      <c r="A422" s="536"/>
      <c r="B422" s="14"/>
      <c r="C422" s="739"/>
      <c r="AL422" s="732"/>
      <c r="AM422" s="570"/>
      <c r="AN422" s="597"/>
    </row>
    <row r="423" spans="1:55" s="550" customFormat="1" ht="12.75" customHeight="1">
      <c r="A423" s="536"/>
      <c r="B423" s="14"/>
      <c r="C423" s="2533" t="s">
        <v>591</v>
      </c>
      <c r="D423" s="249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8" t="s">
        <v>1474</v>
      </c>
      <c r="AG423" s="2458"/>
      <c r="AH423" s="2458"/>
      <c r="AI423" s="2458"/>
      <c r="AJ423" s="2458"/>
      <c r="AK423" s="2458"/>
      <c r="AL423" s="253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36" t="s">
        <v>1482</v>
      </c>
      <c r="G427" s="2536"/>
      <c r="H427" s="2536"/>
      <c r="I427" s="2536"/>
      <c r="J427" s="2536"/>
      <c r="K427" s="2536"/>
      <c r="L427" s="2536"/>
      <c r="M427" s="2536"/>
      <c r="N427" s="2536"/>
      <c r="O427" s="2536"/>
      <c r="P427" s="2536"/>
      <c r="Q427" s="2536"/>
      <c r="R427" s="2536"/>
      <c r="S427" s="2536"/>
      <c r="T427" s="2536"/>
      <c r="U427" s="2536"/>
      <c r="V427" s="2536"/>
      <c r="W427" s="2536"/>
      <c r="X427" s="2536"/>
      <c r="Y427" s="2536"/>
      <c r="Z427" s="2536"/>
      <c r="AA427" s="2536"/>
      <c r="AB427" s="2536"/>
      <c r="AC427" s="2536"/>
      <c r="AD427" s="2536"/>
      <c r="AE427" s="2536"/>
      <c r="AF427" s="714"/>
      <c r="AG427" s="714"/>
      <c r="AH427" s="714"/>
      <c r="AI427" s="714"/>
      <c r="AJ427" s="714"/>
      <c r="AK427" s="714"/>
      <c r="AL427" s="745"/>
      <c r="AM427" s="570"/>
      <c r="AN427" s="597"/>
    </row>
    <row r="428" spans="1:55" s="550" customFormat="1" ht="12.75" customHeight="1">
      <c r="A428" s="536"/>
      <c r="B428" s="14"/>
      <c r="C428" s="731"/>
      <c r="D428" s="14"/>
      <c r="E428" s="691"/>
      <c r="F428" s="2537"/>
      <c r="G428" s="2537"/>
      <c r="H428" s="2537"/>
      <c r="I428" s="2537"/>
      <c r="J428" s="2537"/>
      <c r="K428" s="2537"/>
      <c r="L428" s="2537"/>
      <c r="M428" s="2537"/>
      <c r="N428" s="2537"/>
      <c r="O428" s="2537"/>
      <c r="P428" s="2537"/>
      <c r="Q428" s="2537"/>
      <c r="R428" s="2537"/>
      <c r="S428" s="2537"/>
      <c r="T428" s="2537"/>
      <c r="U428" s="2537"/>
      <c r="V428" s="2537"/>
      <c r="W428" s="2537"/>
      <c r="X428" s="2537"/>
      <c r="Y428" s="2537"/>
      <c r="Z428" s="2537"/>
      <c r="AA428" s="2537"/>
      <c r="AB428" s="2537"/>
      <c r="AC428" s="2537"/>
      <c r="AD428" s="2537"/>
      <c r="AE428" s="2537"/>
      <c r="AF428" s="539"/>
      <c r="AG428" s="536"/>
      <c r="AL428" s="732"/>
      <c r="AM428" s="570"/>
      <c r="AN428" s="597"/>
    </row>
    <row r="429" spans="1:55" s="550" customFormat="1" ht="12.5" customHeight="1">
      <c r="A429" s="536"/>
      <c r="B429" s="14"/>
      <c r="C429" s="731"/>
      <c r="D429" s="14"/>
      <c r="E429" s="691"/>
      <c r="F429" s="2537"/>
      <c r="G429" s="2537"/>
      <c r="H429" s="2537"/>
      <c r="I429" s="2537"/>
      <c r="J429" s="2537"/>
      <c r="K429" s="2537"/>
      <c r="L429" s="2537"/>
      <c r="M429" s="2537"/>
      <c r="N429" s="2537"/>
      <c r="O429" s="2537"/>
      <c r="P429" s="2537"/>
      <c r="Q429" s="2537"/>
      <c r="R429" s="2537"/>
      <c r="S429" s="2537"/>
      <c r="T429" s="2537"/>
      <c r="U429" s="2537"/>
      <c r="V429" s="2537"/>
      <c r="W429" s="2537"/>
      <c r="X429" s="2537"/>
      <c r="Y429" s="2537"/>
      <c r="Z429" s="2537"/>
      <c r="AA429" s="2537"/>
      <c r="AB429" s="2537"/>
      <c r="AC429" s="2537"/>
      <c r="AD429" s="2537"/>
      <c r="AE429" s="2537"/>
      <c r="AL429" s="732"/>
      <c r="AM429" s="570"/>
      <c r="AN429" s="597"/>
    </row>
    <row r="430" spans="1:55" s="550" customFormat="1" ht="12.75" customHeight="1">
      <c r="A430" s="536"/>
      <c r="B430" s="14"/>
      <c r="C430" s="2533" t="s">
        <v>591</v>
      </c>
      <c r="D430" s="249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8" t="s">
        <v>1462</v>
      </c>
      <c r="AG430" s="2458"/>
      <c r="AH430" s="2458"/>
      <c r="AI430" s="2458"/>
      <c r="AJ430" s="2458"/>
      <c r="AK430" s="2458"/>
      <c r="AL430" s="253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36" t="s">
        <v>1485</v>
      </c>
      <c r="G433" s="2536"/>
      <c r="H433" s="2536"/>
      <c r="I433" s="2536"/>
      <c r="J433" s="2536"/>
      <c r="K433" s="2536"/>
      <c r="L433" s="2536"/>
      <c r="M433" s="2536"/>
      <c r="N433" s="2536"/>
      <c r="O433" s="2536"/>
      <c r="P433" s="2536"/>
      <c r="Q433" s="2536"/>
      <c r="R433" s="2536"/>
      <c r="S433" s="2536"/>
      <c r="T433" s="2536"/>
      <c r="U433" s="2536"/>
      <c r="V433" s="2536"/>
      <c r="W433" s="2536"/>
      <c r="X433" s="2536"/>
      <c r="Y433" s="2536"/>
      <c r="Z433" s="2536"/>
      <c r="AA433" s="2536"/>
      <c r="AB433" s="2536"/>
      <c r="AC433" s="2536"/>
      <c r="AD433" s="2536"/>
      <c r="AE433" s="2536"/>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37"/>
      <c r="G434" s="2537"/>
      <c r="H434" s="2537"/>
      <c r="I434" s="2537"/>
      <c r="J434" s="2537"/>
      <c r="K434" s="2537"/>
      <c r="L434" s="2537"/>
      <c r="M434" s="2537"/>
      <c r="N434" s="2537"/>
      <c r="O434" s="2537"/>
      <c r="P434" s="2537"/>
      <c r="Q434" s="2537"/>
      <c r="R434" s="2537"/>
      <c r="S434" s="2537"/>
      <c r="T434" s="2537"/>
      <c r="U434" s="2537"/>
      <c r="V434" s="2537"/>
      <c r="W434" s="2537"/>
      <c r="X434" s="2537"/>
      <c r="Y434" s="2537"/>
      <c r="Z434" s="2537"/>
      <c r="AA434" s="2537"/>
      <c r="AB434" s="2537"/>
      <c r="AC434" s="2537"/>
      <c r="AD434" s="2537"/>
      <c r="AE434" s="2537"/>
      <c r="AF434" s="594"/>
      <c r="AG434" s="594"/>
      <c r="AH434" s="594"/>
      <c r="AI434" s="594"/>
      <c r="AJ434" s="594"/>
      <c r="AK434" s="594"/>
      <c r="AL434" s="750"/>
      <c r="AM434" s="570"/>
      <c r="AO434" s="550"/>
      <c r="AP434" s="550"/>
    </row>
    <row r="435" spans="1:60" s="550" customFormat="1" ht="12.75" customHeight="1">
      <c r="A435" s="536"/>
      <c r="B435" s="14"/>
      <c r="C435" s="731"/>
      <c r="D435" s="14"/>
      <c r="E435" s="691"/>
      <c r="F435" s="2537"/>
      <c r="G435" s="2537"/>
      <c r="H435" s="2537"/>
      <c r="I435" s="2537"/>
      <c r="J435" s="2537"/>
      <c r="K435" s="2537"/>
      <c r="L435" s="2537"/>
      <c r="M435" s="2537"/>
      <c r="N435" s="2537"/>
      <c r="O435" s="2537"/>
      <c r="P435" s="2537"/>
      <c r="Q435" s="2537"/>
      <c r="R435" s="2537"/>
      <c r="S435" s="2537"/>
      <c r="T435" s="2537"/>
      <c r="U435" s="2537"/>
      <c r="V435" s="2537"/>
      <c r="W435" s="2537"/>
      <c r="X435" s="2537"/>
      <c r="Y435" s="2537"/>
      <c r="Z435" s="2537"/>
      <c r="AA435" s="2537"/>
      <c r="AB435" s="2537"/>
      <c r="AC435" s="2537"/>
      <c r="AD435" s="2537"/>
      <c r="AE435" s="2537"/>
      <c r="AF435" s="594"/>
      <c r="AG435" s="594"/>
      <c r="AH435" s="594"/>
      <c r="AI435" s="594"/>
      <c r="AJ435" s="594"/>
      <c r="AK435" s="594"/>
      <c r="AL435" s="750"/>
      <c r="AM435" s="570"/>
      <c r="AN435" s="597"/>
    </row>
    <row r="436" spans="1:60" s="550" customFormat="1" ht="12.75" customHeight="1">
      <c r="A436" s="536"/>
      <c r="B436" s="14"/>
      <c r="C436" s="751"/>
      <c r="D436" s="730"/>
      <c r="E436" s="719"/>
      <c r="F436" s="2537"/>
      <c r="G436" s="2537"/>
      <c r="H436" s="2537"/>
      <c r="I436" s="2537"/>
      <c r="J436" s="2537"/>
      <c r="K436" s="2537"/>
      <c r="L436" s="2537"/>
      <c r="M436" s="2537"/>
      <c r="N436" s="2537"/>
      <c r="O436" s="2537"/>
      <c r="P436" s="2537"/>
      <c r="Q436" s="2537"/>
      <c r="R436" s="2537"/>
      <c r="S436" s="2537"/>
      <c r="T436" s="2537"/>
      <c r="U436" s="2537"/>
      <c r="V436" s="2537"/>
      <c r="W436" s="2537"/>
      <c r="X436" s="2537"/>
      <c r="Y436" s="2537"/>
      <c r="Z436" s="2537"/>
      <c r="AA436" s="2537"/>
      <c r="AB436" s="2537"/>
      <c r="AC436" s="2537"/>
      <c r="AD436" s="2537"/>
      <c r="AE436" s="25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7"/>
      <c r="G437" s="2537"/>
      <c r="H437" s="2537"/>
      <c r="I437" s="2537"/>
      <c r="J437" s="2537"/>
      <c r="K437" s="2537"/>
      <c r="L437" s="2537"/>
      <c r="M437" s="2537"/>
      <c r="N437" s="2537"/>
      <c r="O437" s="2537"/>
      <c r="P437" s="2537"/>
      <c r="Q437" s="2537"/>
      <c r="R437" s="2537"/>
      <c r="S437" s="2537"/>
      <c r="T437" s="2537"/>
      <c r="U437" s="2537"/>
      <c r="V437" s="2537"/>
      <c r="W437" s="2537"/>
      <c r="X437" s="2537"/>
      <c r="Y437" s="2537"/>
      <c r="Z437" s="2537"/>
      <c r="AA437" s="2537"/>
      <c r="AB437" s="2537"/>
      <c r="AC437" s="2537"/>
      <c r="AD437" s="2537"/>
      <c r="AE437" s="2537"/>
      <c r="AF437" s="594"/>
      <c r="AG437" s="594"/>
      <c r="AH437" s="594"/>
      <c r="AI437" s="594"/>
      <c r="AJ437" s="594"/>
      <c r="AK437" s="594"/>
      <c r="AL437" s="750"/>
      <c r="AM437" s="570"/>
      <c r="AN437" s="597"/>
    </row>
    <row r="438" spans="1:60" s="550" customFormat="1" ht="12.75" customHeight="1">
      <c r="A438" s="536"/>
      <c r="B438" s="14"/>
      <c r="C438" s="751"/>
      <c r="D438" s="730"/>
      <c r="E438" s="719"/>
      <c r="F438" s="2537"/>
      <c r="G438" s="2537"/>
      <c r="H438" s="2537"/>
      <c r="I438" s="2537"/>
      <c r="J438" s="2537"/>
      <c r="K438" s="2537"/>
      <c r="L438" s="2537"/>
      <c r="M438" s="2537"/>
      <c r="N438" s="2537"/>
      <c r="O438" s="2537"/>
      <c r="P438" s="2537"/>
      <c r="Q438" s="2537"/>
      <c r="R438" s="2537"/>
      <c r="S438" s="2537"/>
      <c r="T438" s="2537"/>
      <c r="U438" s="2537"/>
      <c r="V438" s="2537"/>
      <c r="W438" s="2537"/>
      <c r="X438" s="2537"/>
      <c r="Y438" s="2537"/>
      <c r="Z438" s="2537"/>
      <c r="AA438" s="2537"/>
      <c r="AB438" s="2537"/>
      <c r="AC438" s="2537"/>
      <c r="AD438" s="2537"/>
      <c r="AE438" s="2537"/>
      <c r="AF438" s="594"/>
      <c r="AG438" s="594"/>
      <c r="AH438" s="594"/>
      <c r="AI438" s="594"/>
      <c r="AJ438" s="594"/>
      <c r="AK438" s="594"/>
      <c r="AL438" s="750"/>
      <c r="AM438" s="570"/>
      <c r="AN438" s="597"/>
    </row>
    <row r="439" spans="1:60" s="550" customFormat="1" ht="12.75" customHeight="1">
      <c r="A439" s="536"/>
      <c r="B439" s="14"/>
      <c r="C439" s="751"/>
      <c r="D439" s="730"/>
      <c r="E439" s="719"/>
      <c r="F439" s="2537"/>
      <c r="G439" s="2537"/>
      <c r="H439" s="2537"/>
      <c r="I439" s="2537"/>
      <c r="J439" s="2537"/>
      <c r="K439" s="2537"/>
      <c r="L439" s="2537"/>
      <c r="M439" s="2537"/>
      <c r="N439" s="2537"/>
      <c r="O439" s="2537"/>
      <c r="P439" s="2537"/>
      <c r="Q439" s="2537"/>
      <c r="R439" s="2537"/>
      <c r="S439" s="2537"/>
      <c r="T439" s="2537"/>
      <c r="U439" s="2537"/>
      <c r="V439" s="2537"/>
      <c r="W439" s="2537"/>
      <c r="X439" s="2537"/>
      <c r="Y439" s="2537"/>
      <c r="Z439" s="2537"/>
      <c r="AA439" s="2537"/>
      <c r="AB439" s="2537"/>
      <c r="AC439" s="2537"/>
      <c r="AD439" s="2537"/>
      <c r="AE439" s="2537"/>
      <c r="AF439" s="594"/>
      <c r="AG439" s="594"/>
      <c r="AH439" s="594"/>
      <c r="AI439" s="594"/>
      <c r="AJ439" s="594"/>
      <c r="AK439" s="594"/>
      <c r="AL439" s="750"/>
      <c r="AM439" s="570"/>
      <c r="AN439" s="597"/>
    </row>
    <row r="440" spans="1:60" s="550" customFormat="1" ht="12.75" customHeight="1">
      <c r="A440" s="536"/>
      <c r="B440" s="14"/>
      <c r="C440" s="751"/>
      <c r="D440" s="730"/>
      <c r="E440" s="719"/>
      <c r="F440" s="2537"/>
      <c r="G440" s="2537"/>
      <c r="H440" s="2537"/>
      <c r="I440" s="2537"/>
      <c r="J440" s="2537"/>
      <c r="K440" s="2537"/>
      <c r="L440" s="2537"/>
      <c r="M440" s="2537"/>
      <c r="N440" s="2537"/>
      <c r="O440" s="2537"/>
      <c r="P440" s="2537"/>
      <c r="Q440" s="2537"/>
      <c r="R440" s="2537"/>
      <c r="S440" s="2537"/>
      <c r="T440" s="2537"/>
      <c r="U440" s="2537"/>
      <c r="V440" s="2537"/>
      <c r="W440" s="2537"/>
      <c r="X440" s="2537"/>
      <c r="Y440" s="2537"/>
      <c r="Z440" s="2537"/>
      <c r="AA440" s="2537"/>
      <c r="AB440" s="2537"/>
      <c r="AC440" s="2537"/>
      <c r="AD440" s="2537"/>
      <c r="AE440" s="2537"/>
      <c r="AF440" s="594"/>
      <c r="AG440" s="594"/>
      <c r="AH440" s="594"/>
      <c r="AI440" s="594"/>
      <c r="AJ440" s="594"/>
      <c r="AK440" s="594"/>
      <c r="AL440" s="750"/>
      <c r="AM440" s="570"/>
      <c r="AN440" s="597"/>
    </row>
    <row r="441" spans="1:60" s="550" customFormat="1" ht="17.25" customHeight="1">
      <c r="A441" s="536"/>
      <c r="B441" s="14"/>
      <c r="C441" s="751"/>
      <c r="D441" s="730"/>
      <c r="E441" s="719"/>
      <c r="F441" s="2537"/>
      <c r="G441" s="2537"/>
      <c r="H441" s="2537"/>
      <c r="I441" s="2537"/>
      <c r="J441" s="2537"/>
      <c r="K441" s="2537"/>
      <c r="L441" s="2537"/>
      <c r="M441" s="2537"/>
      <c r="N441" s="2537"/>
      <c r="O441" s="2537"/>
      <c r="P441" s="2537"/>
      <c r="Q441" s="2537"/>
      <c r="R441" s="2537"/>
      <c r="S441" s="2537"/>
      <c r="T441" s="2537"/>
      <c r="U441" s="2537"/>
      <c r="V441" s="2537"/>
      <c r="W441" s="2537"/>
      <c r="X441" s="2537"/>
      <c r="Y441" s="2537"/>
      <c r="Z441" s="2537"/>
      <c r="AA441" s="2537"/>
      <c r="AB441" s="2537"/>
      <c r="AC441" s="2537"/>
      <c r="AD441" s="2537"/>
      <c r="AE441" s="2537"/>
      <c r="AL441" s="732"/>
      <c r="AM441" s="570"/>
      <c r="AN441" s="597"/>
    </row>
    <row r="442" spans="1:60" s="550" customFormat="1" ht="12.75" customHeight="1">
      <c r="A442" s="536"/>
      <c r="B442" s="14"/>
      <c r="C442" s="2533" t="s">
        <v>591</v>
      </c>
      <c r="D442" s="249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8" t="s">
        <v>1462</v>
      </c>
      <c r="AG442" s="2458"/>
      <c r="AH442" s="2458"/>
      <c r="AI442" s="2458"/>
      <c r="AJ442" s="2458"/>
      <c r="AK442" s="2458"/>
      <c r="AL442" s="253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36" t="s">
        <v>1488</v>
      </c>
      <c r="G445" s="2536"/>
      <c r="H445" s="2536"/>
      <c r="I445" s="2536"/>
      <c r="J445" s="2536"/>
      <c r="K445" s="2536"/>
      <c r="L445" s="2536"/>
      <c r="M445" s="2536"/>
      <c r="N445" s="2536"/>
      <c r="O445" s="2536"/>
      <c r="P445" s="2536"/>
      <c r="Q445" s="2536"/>
      <c r="R445" s="2536"/>
      <c r="S445" s="2536"/>
      <c r="T445" s="2536"/>
      <c r="U445" s="2536"/>
      <c r="V445" s="2536"/>
      <c r="W445" s="2536"/>
      <c r="X445" s="2536"/>
      <c r="Y445" s="2536"/>
      <c r="Z445" s="2536"/>
      <c r="AA445" s="2536"/>
      <c r="AB445" s="2536"/>
      <c r="AC445" s="2536"/>
      <c r="AD445" s="2536"/>
      <c r="AE445" s="2536"/>
      <c r="AF445" s="714"/>
      <c r="AG445" s="714"/>
      <c r="AH445" s="714"/>
      <c r="AI445" s="714"/>
      <c r="AJ445" s="714"/>
      <c r="AK445" s="714"/>
      <c r="AL445" s="745"/>
      <c r="AM445" s="570"/>
      <c r="AN445" s="597"/>
    </row>
    <row r="446" spans="1:60" s="550" customFormat="1" ht="12.75" customHeight="1">
      <c r="A446" s="536"/>
      <c r="B446" s="14"/>
      <c r="C446" s="751"/>
      <c r="D446" s="730"/>
      <c r="E446" s="719"/>
      <c r="F446" s="2537"/>
      <c r="G446" s="2537"/>
      <c r="H446" s="2537"/>
      <c r="I446" s="2537"/>
      <c r="J446" s="2537"/>
      <c r="K446" s="2537"/>
      <c r="L446" s="2537"/>
      <c r="M446" s="2537"/>
      <c r="N446" s="2537"/>
      <c r="O446" s="2537"/>
      <c r="P446" s="2537"/>
      <c r="Q446" s="2537"/>
      <c r="R446" s="2537"/>
      <c r="S446" s="2537"/>
      <c r="T446" s="2537"/>
      <c r="U446" s="2537"/>
      <c r="V446" s="2537"/>
      <c r="W446" s="2537"/>
      <c r="X446" s="2537"/>
      <c r="Y446" s="2537"/>
      <c r="Z446" s="2537"/>
      <c r="AA446" s="2537"/>
      <c r="AB446" s="2537"/>
      <c r="AC446" s="2537"/>
      <c r="AD446" s="2537"/>
      <c r="AE446" s="2537"/>
      <c r="AF446" s="591"/>
      <c r="AG446" s="591"/>
      <c r="AH446" s="591"/>
      <c r="AI446" s="591"/>
      <c r="AJ446" s="591"/>
      <c r="AK446" s="591"/>
      <c r="AL446" s="720"/>
      <c r="AM446" s="570"/>
      <c r="AN446" s="597"/>
    </row>
    <row r="447" spans="1:60" s="550" customFormat="1" ht="12.75" customHeight="1">
      <c r="A447" s="536"/>
      <c r="B447" s="14"/>
      <c r="C447" s="751"/>
      <c r="D447" s="730"/>
      <c r="E447" s="719"/>
      <c r="F447" s="2537"/>
      <c r="G447" s="2537"/>
      <c r="H447" s="2537"/>
      <c r="I447" s="2537"/>
      <c r="J447" s="2537"/>
      <c r="K447" s="2537"/>
      <c r="L447" s="2537"/>
      <c r="M447" s="2537"/>
      <c r="N447" s="2537"/>
      <c r="O447" s="2537"/>
      <c r="P447" s="2537"/>
      <c r="Q447" s="2537"/>
      <c r="R447" s="2537"/>
      <c r="S447" s="2537"/>
      <c r="T447" s="2537"/>
      <c r="U447" s="2537"/>
      <c r="V447" s="2537"/>
      <c r="W447" s="2537"/>
      <c r="X447" s="2537"/>
      <c r="Y447" s="2537"/>
      <c r="Z447" s="2537"/>
      <c r="AA447" s="2537"/>
      <c r="AB447" s="2537"/>
      <c r="AC447" s="2537"/>
      <c r="AD447" s="2537"/>
      <c r="AE447" s="2537"/>
      <c r="AF447" s="591"/>
      <c r="AG447" s="591"/>
      <c r="AH447" s="591"/>
      <c r="AI447" s="591"/>
      <c r="AJ447" s="591"/>
      <c r="AK447" s="591"/>
      <c r="AL447" s="720"/>
      <c r="AM447" s="570"/>
      <c r="AN447" s="597"/>
    </row>
    <row r="448" spans="1:60" s="550" customFormat="1" ht="12.75" customHeight="1">
      <c r="A448" s="536"/>
      <c r="B448" s="14"/>
      <c r="C448" s="751"/>
      <c r="D448" s="730"/>
      <c r="E448" s="719"/>
      <c r="F448" s="2537"/>
      <c r="G448" s="2537"/>
      <c r="H448" s="2537"/>
      <c r="I448" s="2537"/>
      <c r="J448" s="2537"/>
      <c r="K448" s="2537"/>
      <c r="L448" s="2537"/>
      <c r="M448" s="2537"/>
      <c r="N448" s="2537"/>
      <c r="O448" s="2537"/>
      <c r="P448" s="2537"/>
      <c r="Q448" s="2537"/>
      <c r="R448" s="2537"/>
      <c r="S448" s="2537"/>
      <c r="T448" s="2537"/>
      <c r="U448" s="2537"/>
      <c r="V448" s="2537"/>
      <c r="W448" s="2537"/>
      <c r="X448" s="2537"/>
      <c r="Y448" s="2537"/>
      <c r="Z448" s="2537"/>
      <c r="AA448" s="2537"/>
      <c r="AB448" s="2537"/>
      <c r="AC448" s="2537"/>
      <c r="AD448" s="2537"/>
      <c r="AE448" s="2537"/>
      <c r="AL448" s="732"/>
      <c r="AM448" s="570"/>
      <c r="AN448" s="597"/>
    </row>
    <row r="449" spans="1:40" s="550" customFormat="1" ht="12.75" customHeight="1">
      <c r="A449" s="536"/>
      <c r="B449" s="14"/>
      <c r="C449" s="2533" t="s">
        <v>591</v>
      </c>
      <c r="D449" s="249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8" t="s">
        <v>1462</v>
      </c>
      <c r="AG449" s="2458"/>
      <c r="AH449" s="2458"/>
      <c r="AI449" s="2458"/>
      <c r="AJ449" s="2458"/>
      <c r="AK449" s="2458"/>
      <c r="AL449" s="253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9" t="s">
        <v>591</v>
      </c>
      <c r="D453" s="2540"/>
      <c r="E453" s="715" t="s">
        <v>1497</v>
      </c>
      <c r="F453" s="2536" t="s">
        <v>1498</v>
      </c>
      <c r="G453" s="2536"/>
      <c r="H453" s="2536"/>
      <c r="I453" s="2536"/>
      <c r="J453" s="2536"/>
      <c r="K453" s="2536"/>
      <c r="L453" s="2536"/>
      <c r="M453" s="2536"/>
      <c r="N453" s="2536"/>
      <c r="O453" s="2536"/>
      <c r="P453" s="2536"/>
      <c r="Q453" s="2536"/>
      <c r="R453" s="2536"/>
      <c r="S453" s="2536"/>
      <c r="T453" s="2536"/>
      <c r="U453" s="2536"/>
      <c r="V453" s="2536"/>
      <c r="W453" s="2536"/>
      <c r="X453" s="2536"/>
      <c r="Y453" s="2536"/>
      <c r="Z453" s="2536"/>
      <c r="AA453" s="2536"/>
      <c r="AB453" s="2536"/>
      <c r="AC453" s="2536"/>
      <c r="AD453" s="2536"/>
      <c r="AE453" s="2536"/>
      <c r="AF453" s="2557" t="s">
        <v>1462</v>
      </c>
      <c r="AG453" s="2557"/>
      <c r="AH453" s="2557"/>
      <c r="AI453" s="2557"/>
      <c r="AJ453" s="2557"/>
      <c r="AK453" s="2557"/>
      <c r="AL453" s="2558"/>
      <c r="AM453" s="570"/>
      <c r="AN453" s="753"/>
    </row>
    <row r="454" spans="1:40" s="550" customFormat="1" ht="12.75" customHeight="1">
      <c r="A454" s="536"/>
      <c r="B454" s="14"/>
      <c r="C454" s="751"/>
      <c r="D454" s="730"/>
      <c r="E454" s="719"/>
      <c r="F454" s="2537"/>
      <c r="G454" s="2537"/>
      <c r="H454" s="2537"/>
      <c r="I454" s="2537"/>
      <c r="J454" s="2537"/>
      <c r="K454" s="2537"/>
      <c r="L454" s="2537"/>
      <c r="M454" s="2537"/>
      <c r="N454" s="2537"/>
      <c r="O454" s="2537"/>
      <c r="P454" s="2537"/>
      <c r="Q454" s="2537"/>
      <c r="R454" s="2537"/>
      <c r="S454" s="2537"/>
      <c r="T454" s="2537"/>
      <c r="U454" s="2537"/>
      <c r="V454" s="2537"/>
      <c r="W454" s="2537"/>
      <c r="X454" s="2537"/>
      <c r="Y454" s="2537"/>
      <c r="Z454" s="2537"/>
      <c r="AA454" s="2537"/>
      <c r="AB454" s="2537"/>
      <c r="AC454" s="2537"/>
      <c r="AD454" s="2537"/>
      <c r="AE454" s="2537"/>
      <c r="AF454" s="591"/>
      <c r="AG454" s="591"/>
      <c r="AH454" s="591"/>
      <c r="AI454" s="591"/>
      <c r="AJ454" s="591"/>
      <c r="AK454" s="591"/>
      <c r="AL454" s="720"/>
      <c r="AM454" s="570"/>
      <c r="AN454" s="754"/>
    </row>
    <row r="455" spans="1:40" s="550" customFormat="1" ht="17.75" customHeight="1">
      <c r="A455" s="536"/>
      <c r="B455" s="14"/>
      <c r="C455" s="756"/>
      <c r="D455" s="723"/>
      <c r="E455" s="724"/>
      <c r="F455" s="2556"/>
      <c r="G455" s="2556"/>
      <c r="H455" s="2556"/>
      <c r="I455" s="2556"/>
      <c r="J455" s="2556"/>
      <c r="K455" s="2556"/>
      <c r="L455" s="2556"/>
      <c r="M455" s="2556"/>
      <c r="N455" s="2556"/>
      <c r="O455" s="2556"/>
      <c r="P455" s="2556"/>
      <c r="Q455" s="2556"/>
      <c r="R455" s="2556"/>
      <c r="S455" s="2556"/>
      <c r="T455" s="2556"/>
      <c r="U455" s="2556"/>
      <c r="V455" s="2556"/>
      <c r="W455" s="2556"/>
      <c r="X455" s="2556"/>
      <c r="Y455" s="2556"/>
      <c r="Z455" s="2556"/>
      <c r="AA455" s="2556"/>
      <c r="AB455" s="2556"/>
      <c r="AC455" s="2556"/>
      <c r="AD455" s="2556"/>
      <c r="AE455" s="255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33" t="s">
        <v>591</v>
      </c>
      <c r="D457" s="2490"/>
      <c r="E457" s="715" t="s">
        <v>1503</v>
      </c>
      <c r="F457" s="2536" t="s">
        <v>1504</v>
      </c>
      <c r="G457" s="2536"/>
      <c r="H457" s="2536"/>
      <c r="I457" s="2536"/>
      <c r="J457" s="2536"/>
      <c r="K457" s="2536"/>
      <c r="L457" s="2536"/>
      <c r="M457" s="2536"/>
      <c r="N457" s="2536"/>
      <c r="O457" s="2536"/>
      <c r="P457" s="2536"/>
      <c r="Q457" s="2536"/>
      <c r="R457" s="2536"/>
      <c r="S457" s="2536"/>
      <c r="T457" s="2536"/>
      <c r="U457" s="2536"/>
      <c r="V457" s="2536"/>
      <c r="W457" s="2536"/>
      <c r="X457" s="2536"/>
      <c r="Y457" s="2536"/>
      <c r="Z457" s="2536"/>
      <c r="AA457" s="2536"/>
      <c r="AB457" s="2536"/>
      <c r="AC457" s="2536"/>
      <c r="AD457" s="2536"/>
      <c r="AE457" s="2536"/>
      <c r="AF457" s="2557" t="s">
        <v>1462</v>
      </c>
      <c r="AG457" s="2557"/>
      <c r="AH457" s="2557"/>
      <c r="AI457" s="2557"/>
      <c r="AJ457" s="2557"/>
      <c r="AK457" s="2557"/>
      <c r="AL457" s="2558"/>
      <c r="AM457" s="570"/>
      <c r="AN457" s="535"/>
    </row>
    <row r="458" spans="1:40" s="550" customFormat="1" ht="12.75" customHeight="1">
      <c r="A458" s="536"/>
      <c r="B458" s="14"/>
      <c r="C458" s="731"/>
      <c r="D458" s="14"/>
      <c r="E458" s="691"/>
      <c r="F458" s="2537"/>
      <c r="G458" s="2537"/>
      <c r="H458" s="2537"/>
      <c r="I458" s="2537"/>
      <c r="J458" s="2537"/>
      <c r="K458" s="2537"/>
      <c r="L458" s="2537"/>
      <c r="M458" s="2537"/>
      <c r="N458" s="2537"/>
      <c r="O458" s="2537"/>
      <c r="P458" s="2537"/>
      <c r="Q458" s="2537"/>
      <c r="R458" s="2537"/>
      <c r="S458" s="2537"/>
      <c r="T458" s="2537"/>
      <c r="U458" s="2537"/>
      <c r="V458" s="2537"/>
      <c r="W458" s="2537"/>
      <c r="X458" s="2537"/>
      <c r="Y458" s="2537"/>
      <c r="Z458" s="2537"/>
      <c r="AA458" s="2537"/>
      <c r="AB458" s="2537"/>
      <c r="AC458" s="2537"/>
      <c r="AD458" s="2537"/>
      <c r="AE458" s="2537"/>
      <c r="AF458" s="539"/>
      <c r="AG458" s="536"/>
      <c r="AL458" s="732"/>
      <c r="AM458" s="570"/>
      <c r="AN458" s="535"/>
    </row>
    <row r="459" spans="1:40" s="550" customFormat="1" ht="12.75" customHeight="1">
      <c r="A459" s="536"/>
      <c r="B459" s="14"/>
      <c r="C459" s="731"/>
      <c r="D459" s="14"/>
      <c r="E459" s="691"/>
      <c r="F459" s="2537"/>
      <c r="G459" s="2537"/>
      <c r="H459" s="2537"/>
      <c r="I459" s="2537"/>
      <c r="J459" s="2537"/>
      <c r="K459" s="2537"/>
      <c r="L459" s="2537"/>
      <c r="M459" s="2537"/>
      <c r="N459" s="2537"/>
      <c r="O459" s="2537"/>
      <c r="P459" s="2537"/>
      <c r="Q459" s="2537"/>
      <c r="R459" s="2537"/>
      <c r="S459" s="2537"/>
      <c r="T459" s="2537"/>
      <c r="U459" s="2537"/>
      <c r="V459" s="2537"/>
      <c r="W459" s="2537"/>
      <c r="X459" s="2537"/>
      <c r="Y459" s="2537"/>
      <c r="Z459" s="2537"/>
      <c r="AA459" s="2537"/>
      <c r="AB459" s="2537"/>
      <c r="AC459" s="2537"/>
      <c r="AD459" s="2537"/>
      <c r="AE459" s="2537"/>
      <c r="AF459" s="539"/>
      <c r="AG459" s="536"/>
      <c r="AL459" s="732"/>
      <c r="AM459" s="570"/>
      <c r="AN459" s="535"/>
    </row>
    <row r="460" spans="1:40" s="550" customFormat="1" ht="12.75" customHeight="1">
      <c r="A460" s="536"/>
      <c r="B460" s="14"/>
      <c r="C460" s="756"/>
      <c r="D460" s="723"/>
      <c r="E460" s="724"/>
      <c r="F460" s="2556"/>
      <c r="G460" s="2556"/>
      <c r="H460" s="2556"/>
      <c r="I460" s="2556"/>
      <c r="J460" s="2556"/>
      <c r="K460" s="2556"/>
      <c r="L460" s="2556"/>
      <c r="M460" s="2556"/>
      <c r="N460" s="2556"/>
      <c r="O460" s="2556"/>
      <c r="P460" s="2556"/>
      <c r="Q460" s="2556"/>
      <c r="R460" s="2556"/>
      <c r="S460" s="2556"/>
      <c r="T460" s="2556"/>
      <c r="U460" s="2556"/>
      <c r="V460" s="2556"/>
      <c r="W460" s="2556"/>
      <c r="X460" s="2556"/>
      <c r="Y460" s="2556"/>
      <c r="Z460" s="2556"/>
      <c r="AA460" s="2556"/>
      <c r="AB460" s="2556"/>
      <c r="AC460" s="2556"/>
      <c r="AD460" s="2556"/>
      <c r="AE460" s="255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36" t="s">
        <v>1507</v>
      </c>
      <c r="G462" s="2536"/>
      <c r="H462" s="2536"/>
      <c r="I462" s="2536"/>
      <c r="J462" s="2536"/>
      <c r="K462" s="2536"/>
      <c r="L462" s="2536"/>
      <c r="M462" s="2536"/>
      <c r="N462" s="2536"/>
      <c r="O462" s="2536"/>
      <c r="P462" s="2536"/>
      <c r="Q462" s="2536"/>
      <c r="R462" s="2536"/>
      <c r="S462" s="2536"/>
      <c r="T462" s="2536"/>
      <c r="U462" s="2536"/>
      <c r="V462" s="2536"/>
      <c r="W462" s="2536"/>
      <c r="X462" s="2536"/>
      <c r="Y462" s="2536"/>
      <c r="Z462" s="2536"/>
      <c r="AA462" s="2536"/>
      <c r="AB462" s="2536"/>
      <c r="AC462" s="2536"/>
      <c r="AD462" s="2536"/>
      <c r="AE462" s="2536"/>
      <c r="AF462" s="2536"/>
      <c r="AG462" s="744"/>
      <c r="AH462" s="714"/>
      <c r="AI462" s="714"/>
      <c r="AJ462" s="714"/>
      <c r="AK462" s="714"/>
      <c r="AL462" s="745"/>
      <c r="AM462" s="570"/>
      <c r="AN462" s="597"/>
    </row>
    <row r="463" spans="1:40" s="550" customFormat="1" ht="12.75" customHeight="1">
      <c r="A463" s="536"/>
      <c r="B463" s="14"/>
      <c r="C463" s="731"/>
      <c r="D463" s="14"/>
      <c r="E463" s="691"/>
      <c r="F463" s="2537"/>
      <c r="G463" s="2537"/>
      <c r="H463" s="2537"/>
      <c r="I463" s="2537"/>
      <c r="J463" s="2537"/>
      <c r="K463" s="2537"/>
      <c r="L463" s="2537"/>
      <c r="M463" s="2537"/>
      <c r="N463" s="2537"/>
      <c r="O463" s="2537"/>
      <c r="P463" s="2537"/>
      <c r="Q463" s="2537"/>
      <c r="R463" s="2537"/>
      <c r="S463" s="2537"/>
      <c r="T463" s="2537"/>
      <c r="U463" s="2537"/>
      <c r="V463" s="2537"/>
      <c r="W463" s="2537"/>
      <c r="X463" s="2537"/>
      <c r="Y463" s="2537"/>
      <c r="Z463" s="2537"/>
      <c r="AA463" s="2537"/>
      <c r="AB463" s="2537"/>
      <c r="AC463" s="2537"/>
      <c r="AD463" s="2537"/>
      <c r="AE463" s="2537"/>
      <c r="AF463" s="2537"/>
      <c r="AL463" s="732"/>
      <c r="AM463" s="570"/>
      <c r="AN463" s="597"/>
    </row>
    <row r="464" spans="1:40" s="550" customFormat="1" ht="12.75" customHeight="1">
      <c r="A464" s="536"/>
      <c r="B464" s="14"/>
      <c r="C464" s="739"/>
      <c r="F464" s="2537"/>
      <c r="G464" s="2537"/>
      <c r="H464" s="2537"/>
      <c r="I464" s="2537"/>
      <c r="J464" s="2537"/>
      <c r="K464" s="2537"/>
      <c r="L464" s="2537"/>
      <c r="M464" s="2537"/>
      <c r="N464" s="2537"/>
      <c r="O464" s="2537"/>
      <c r="P464" s="2537"/>
      <c r="Q464" s="2537"/>
      <c r="R464" s="2537"/>
      <c r="S464" s="2537"/>
      <c r="T464" s="2537"/>
      <c r="U464" s="2537"/>
      <c r="V464" s="2537"/>
      <c r="W464" s="2537"/>
      <c r="X464" s="2537"/>
      <c r="Y464" s="2537"/>
      <c r="Z464" s="2537"/>
      <c r="AA464" s="2537"/>
      <c r="AB464" s="2537"/>
      <c r="AC464" s="2537"/>
      <c r="AD464" s="2537"/>
      <c r="AE464" s="2537"/>
      <c r="AF464" s="2537"/>
      <c r="AL464" s="732"/>
      <c r="AM464" s="570"/>
      <c r="AN464" s="597"/>
    </row>
    <row r="465" spans="1:58" s="550" customFormat="1" ht="12.75" customHeight="1">
      <c r="A465" s="536"/>
      <c r="B465" s="14"/>
      <c r="C465" s="739"/>
      <c r="F465" s="2537"/>
      <c r="G465" s="2537"/>
      <c r="H465" s="2537"/>
      <c r="I465" s="2537"/>
      <c r="J465" s="2537"/>
      <c r="K465" s="2537"/>
      <c r="L465" s="2537"/>
      <c r="M465" s="2537"/>
      <c r="N465" s="2537"/>
      <c r="O465" s="2537"/>
      <c r="P465" s="2537"/>
      <c r="Q465" s="2537"/>
      <c r="R465" s="2537"/>
      <c r="S465" s="2537"/>
      <c r="T465" s="2537"/>
      <c r="U465" s="2537"/>
      <c r="V465" s="2537"/>
      <c r="W465" s="2537"/>
      <c r="X465" s="2537"/>
      <c r="Y465" s="2537"/>
      <c r="Z465" s="2537"/>
      <c r="AA465" s="2537"/>
      <c r="AB465" s="2537"/>
      <c r="AC465" s="2537"/>
      <c r="AD465" s="2537"/>
      <c r="AE465" s="2537"/>
      <c r="AF465" s="2537"/>
      <c r="AL465" s="732"/>
      <c r="AM465" s="570"/>
      <c r="AN465" s="597"/>
    </row>
    <row r="466" spans="1:58" s="550" customFormat="1" ht="12.75" customHeight="1">
      <c r="A466" s="536"/>
      <c r="B466" s="14"/>
      <c r="C466" s="2533" t="s">
        <v>591</v>
      </c>
      <c r="D466" s="249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34" t="s">
        <v>1462</v>
      </c>
      <c r="AG466" s="2534"/>
      <c r="AH466" s="2534"/>
      <c r="AI466" s="2534"/>
      <c r="AJ466" s="2534"/>
      <c r="AK466" s="2534"/>
      <c r="AL466" s="253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93">
        <f>IF(Application!D214="N/A",AS358,AS360)</f>
        <v>10</v>
      </c>
      <c r="AL469" s="2494"/>
      <c r="AM469" s="249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34" t="s">
        <v>1511</v>
      </c>
      <c r="AF472" s="2534"/>
      <c r="AG472" s="2534"/>
      <c r="AH472" s="2534"/>
      <c r="AI472" s="2534"/>
      <c r="AJ472" s="2534"/>
      <c r="AK472" s="253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59" t="s">
        <v>591</v>
      </c>
      <c r="D478" s="2560"/>
      <c r="E478" s="761" t="s">
        <v>507</v>
      </c>
      <c r="F478" s="2561" t="s">
        <v>1517</v>
      </c>
      <c r="G478" s="2561"/>
      <c r="H478" s="2561"/>
      <c r="I478" s="2561"/>
      <c r="J478" s="2561"/>
      <c r="K478" s="2561"/>
      <c r="L478" s="2561"/>
      <c r="M478" s="2561"/>
      <c r="N478" s="2561"/>
      <c r="O478" s="2561"/>
      <c r="P478" s="2561"/>
      <c r="Q478" s="2561"/>
      <c r="R478" s="2561"/>
      <c r="S478" s="2561"/>
      <c r="T478" s="2561"/>
      <c r="U478" s="2561"/>
      <c r="V478" s="2561"/>
      <c r="W478" s="2561"/>
      <c r="X478" s="2561"/>
      <c r="Y478" s="2561"/>
      <c r="Z478" s="2561"/>
      <c r="AA478" s="2561"/>
      <c r="AB478" s="2561"/>
      <c r="AC478" s="2561"/>
      <c r="AD478" s="2561"/>
      <c r="AE478" s="256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62"/>
      <c r="G479" s="2562"/>
      <c r="H479" s="2562"/>
      <c r="I479" s="2562"/>
      <c r="J479" s="2562"/>
      <c r="K479" s="2562"/>
      <c r="L479" s="2562"/>
      <c r="M479" s="2562"/>
      <c r="N479" s="2562"/>
      <c r="O479" s="2562"/>
      <c r="P479" s="2562"/>
      <c r="Q479" s="2562"/>
      <c r="R479" s="2562"/>
      <c r="S479" s="2562"/>
      <c r="T479" s="2562"/>
      <c r="U479" s="2562"/>
      <c r="V479" s="2562"/>
      <c r="W479" s="2562"/>
      <c r="X479" s="2562"/>
      <c r="Y479" s="2562"/>
      <c r="Z479" s="2562"/>
      <c r="AA479" s="2562"/>
      <c r="AB479" s="2562"/>
      <c r="AC479" s="2562"/>
      <c r="AD479" s="2562"/>
      <c r="AE479" s="256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35" t="s">
        <v>591</v>
      </c>
      <c r="G480" s="2635"/>
      <c r="H480" s="2635"/>
      <c r="I480" s="2635"/>
      <c r="J480" s="2635"/>
      <c r="K480" s="2635"/>
      <c r="L480" s="2635"/>
      <c r="M480" s="2635"/>
      <c r="N480" s="2635"/>
      <c r="O480" s="2635"/>
      <c r="P480" s="2635"/>
      <c r="Q480" s="2635"/>
      <c r="R480" s="2635"/>
      <c r="S480" s="2635"/>
      <c r="T480" s="2635"/>
      <c r="U480" s="2635"/>
      <c r="V480" s="2635"/>
      <c r="W480" s="2635"/>
      <c r="X480" s="2635"/>
      <c r="Y480" s="2635"/>
      <c r="Z480" s="263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36" t="s">
        <v>545</v>
      </c>
      <c r="D482" s="263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34" t="s">
        <v>591</v>
      </c>
      <c r="W485" s="2634"/>
      <c r="X485" s="26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34" t="s">
        <v>591</v>
      </c>
      <c r="W487" s="2634"/>
      <c r="X487" s="26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34" t="s">
        <v>591</v>
      </c>
      <c r="W492" s="2634"/>
      <c r="X492" s="26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24"/>
      <c r="E495" s="262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34" t="s">
        <v>591</v>
      </c>
      <c r="W496" s="2634"/>
      <c r="X496" s="26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34" t="s">
        <v>591</v>
      </c>
      <c r="W498" s="2634"/>
      <c r="X498" s="26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9" t="s">
        <v>591</v>
      </c>
      <c r="D501" s="2560"/>
      <c r="E501" s="761" t="s">
        <v>507</v>
      </c>
      <c r="F501" s="2561" t="s">
        <v>1517</v>
      </c>
      <c r="G501" s="2561"/>
      <c r="H501" s="2561"/>
      <c r="I501" s="2561"/>
      <c r="J501" s="2561"/>
      <c r="K501" s="2561"/>
      <c r="L501" s="2561"/>
      <c r="M501" s="2561"/>
      <c r="N501" s="2561"/>
      <c r="O501" s="2561"/>
      <c r="P501" s="2561"/>
      <c r="Q501" s="2561"/>
      <c r="R501" s="2561"/>
      <c r="S501" s="2561"/>
      <c r="T501" s="2561"/>
      <c r="U501" s="2561"/>
      <c r="V501" s="2561"/>
      <c r="W501" s="2561"/>
      <c r="X501" s="2561"/>
      <c r="Y501" s="2561"/>
      <c r="Z501" s="2561"/>
      <c r="AA501" s="2561"/>
      <c r="AB501" s="2561"/>
      <c r="AC501" s="2561"/>
      <c r="AD501" s="2561"/>
      <c r="AE501" s="256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62"/>
      <c r="G502" s="2562"/>
      <c r="H502" s="2562"/>
      <c r="I502" s="2562"/>
      <c r="J502" s="2562"/>
      <c r="K502" s="2562"/>
      <c r="L502" s="2562"/>
      <c r="M502" s="2562"/>
      <c r="N502" s="2562"/>
      <c r="O502" s="2562"/>
      <c r="P502" s="2562"/>
      <c r="Q502" s="2562"/>
      <c r="R502" s="2562"/>
      <c r="S502" s="2562"/>
      <c r="T502" s="2562"/>
      <c r="U502" s="2562"/>
      <c r="V502" s="2562"/>
      <c r="W502" s="2562"/>
      <c r="X502" s="2562"/>
      <c r="Y502" s="2562"/>
      <c r="Z502" s="2562"/>
      <c r="AA502" s="2562"/>
      <c r="AB502" s="2562"/>
      <c r="AC502" s="2562"/>
      <c r="AD502" s="2562"/>
      <c r="AE502" s="256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30" t="s">
        <v>591</v>
      </c>
      <c r="G503" s="2630"/>
      <c r="H503" s="2630"/>
      <c r="I503" s="2630"/>
      <c r="J503" s="2630"/>
      <c r="K503" s="2630"/>
      <c r="L503" s="2630"/>
      <c r="M503" s="2630"/>
      <c r="N503" s="2630"/>
      <c r="O503" s="2630"/>
      <c r="P503" s="2630"/>
      <c r="Q503" s="2630"/>
      <c r="R503" s="2630"/>
      <c r="S503" s="2630"/>
      <c r="T503" s="2630"/>
      <c r="U503" s="2630"/>
      <c r="V503" s="2630"/>
      <c r="W503" s="2630"/>
      <c r="X503" s="2630"/>
      <c r="Y503" s="2630"/>
      <c r="Z503" s="263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9" t="s">
        <v>591</v>
      </c>
      <c r="D505" s="2560"/>
      <c r="E505" s="761" t="s">
        <v>757</v>
      </c>
      <c r="F505" s="2631" t="s">
        <v>1539</v>
      </c>
      <c r="G505" s="2631"/>
      <c r="H505" s="2631"/>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31"/>
      <c r="AD505" s="2631"/>
      <c r="AE505" s="263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32"/>
      <c r="G506" s="2632"/>
      <c r="H506" s="2632"/>
      <c r="I506" s="2632"/>
      <c r="J506" s="2632"/>
      <c r="K506" s="2632"/>
      <c r="L506" s="2632"/>
      <c r="M506" s="2632"/>
      <c r="N506" s="2632"/>
      <c r="O506" s="2632"/>
      <c r="P506" s="2632"/>
      <c r="Q506" s="2632"/>
      <c r="R506" s="2632"/>
      <c r="S506" s="2632"/>
      <c r="T506" s="2632"/>
      <c r="U506" s="2632"/>
      <c r="V506" s="2632"/>
      <c r="W506" s="2632"/>
      <c r="X506" s="2632"/>
      <c r="Y506" s="2632"/>
      <c r="Z506" s="2632"/>
      <c r="AA506" s="2632"/>
      <c r="AB506" s="2632"/>
      <c r="AC506" s="2632"/>
      <c r="AD506" s="2632"/>
      <c r="AE506" s="263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33" t="s">
        <v>591</v>
      </c>
      <c r="G508" s="2633"/>
      <c r="H508" s="263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59" t="s">
        <v>591</v>
      </c>
      <c r="D510" s="256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23"/>
      <c r="D512" s="262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25" t="s">
        <v>591</v>
      </c>
      <c r="H513" s="2625"/>
      <c r="I513" s="2625"/>
      <c r="J513" s="2625"/>
      <c r="K513" s="2625"/>
      <c r="L513" s="2625"/>
      <c r="M513" s="2625"/>
      <c r="N513" s="2625"/>
      <c r="O513" s="2625"/>
      <c r="P513" s="2625"/>
      <c r="Q513" s="2625"/>
      <c r="R513" s="2625"/>
      <c r="S513" s="2625"/>
      <c r="T513" s="2625"/>
      <c r="U513" s="2625"/>
      <c r="V513" s="2625"/>
      <c r="W513" s="2625"/>
      <c r="X513" s="2625"/>
      <c r="Y513" s="2625"/>
      <c r="Z513" s="2625"/>
      <c r="AA513" s="2625"/>
      <c r="AB513" s="2625"/>
      <c r="AC513" s="2625"/>
      <c r="AD513" s="2625"/>
      <c r="AE513" s="2625"/>
      <c r="AF513" s="262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63" t="s">
        <v>591</v>
      </c>
      <c r="D515" s="256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63" t="s">
        <v>591</v>
      </c>
      <c r="D519" s="2564"/>
      <c r="F519" s="795" t="s">
        <v>1547</v>
      </c>
      <c r="G519" s="2537" t="s">
        <v>1548</v>
      </c>
      <c r="H519" s="2537"/>
      <c r="I519" s="2537"/>
      <c r="J519" s="2537"/>
      <c r="K519" s="2537"/>
      <c r="L519" s="2537"/>
      <c r="M519" s="2537"/>
      <c r="N519" s="2537"/>
      <c r="O519" s="2537"/>
      <c r="P519" s="2537"/>
      <c r="Q519" s="2537"/>
      <c r="R519" s="2537"/>
      <c r="S519" s="2537"/>
      <c r="T519" s="2537"/>
      <c r="U519" s="2537"/>
      <c r="V519" s="2537"/>
      <c r="W519" s="2537"/>
      <c r="X519" s="2537"/>
      <c r="Y519" s="2537"/>
      <c r="Z519" s="2537"/>
      <c r="AA519" s="2537"/>
      <c r="AB519" s="2537"/>
      <c r="AC519" s="2537"/>
      <c r="AD519" s="2537"/>
      <c r="AE519" s="2537"/>
      <c r="AF519" s="253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56"/>
      <c r="H520" s="2556"/>
      <c r="I520" s="2556"/>
      <c r="J520" s="2556"/>
      <c r="K520" s="2556"/>
      <c r="L520" s="2556"/>
      <c r="M520" s="2556"/>
      <c r="N520" s="2556"/>
      <c r="O520" s="2556"/>
      <c r="P520" s="2556"/>
      <c r="Q520" s="2556"/>
      <c r="R520" s="2556"/>
      <c r="S520" s="2556"/>
      <c r="T520" s="2556"/>
      <c r="U520" s="2556"/>
      <c r="V520" s="2556"/>
      <c r="W520" s="2556"/>
      <c r="X520" s="2556"/>
      <c r="Y520" s="2556"/>
      <c r="Z520" s="2556"/>
      <c r="AA520" s="2556"/>
      <c r="AB520" s="2556"/>
      <c r="AC520" s="2556"/>
      <c r="AD520" s="2556"/>
      <c r="AE520" s="2556"/>
      <c r="AF520" s="255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65" t="s">
        <v>591</v>
      </c>
      <c r="D523" s="256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7" t="s">
        <v>591</v>
      </c>
      <c r="G524" s="2567"/>
      <c r="H524" s="2567"/>
      <c r="I524" s="2567"/>
      <c r="J524" s="2567"/>
      <c r="K524" s="2567"/>
      <c r="L524" s="2567"/>
      <c r="M524" s="2567"/>
      <c r="N524" s="2567"/>
      <c r="O524" s="2567"/>
      <c r="P524" s="2567"/>
      <c r="Q524" s="2567"/>
      <c r="R524" s="2567"/>
      <c r="S524" s="2567"/>
      <c r="T524" s="2567"/>
      <c r="U524" s="2567"/>
      <c r="V524" s="2567"/>
      <c r="W524" s="2567"/>
      <c r="X524" s="2567"/>
      <c r="Y524" s="2567"/>
      <c r="Z524" s="2567"/>
      <c r="AA524" s="2567"/>
      <c r="AB524" s="2567"/>
      <c r="AC524" s="2567"/>
      <c r="AD524" s="2567"/>
      <c r="AE524" s="2567"/>
      <c r="AF524" s="256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8"/>
      <c r="G525" s="2568"/>
      <c r="H525" s="2568"/>
      <c r="I525" s="2568"/>
      <c r="J525" s="2568"/>
      <c r="K525" s="2568"/>
      <c r="L525" s="2568"/>
      <c r="M525" s="2568"/>
      <c r="N525" s="2568"/>
      <c r="O525" s="2568"/>
      <c r="P525" s="2568"/>
      <c r="Q525" s="2568"/>
      <c r="R525" s="2568"/>
      <c r="S525" s="2568"/>
      <c r="T525" s="2568"/>
      <c r="U525" s="2568"/>
      <c r="V525" s="2568"/>
      <c r="W525" s="2568"/>
      <c r="X525" s="2568"/>
      <c r="Y525" s="2568"/>
      <c r="Z525" s="2568"/>
      <c r="AA525" s="2568"/>
      <c r="AB525" s="2568"/>
      <c r="AC525" s="2568"/>
      <c r="AD525" s="2568"/>
      <c r="AE525" s="2568"/>
      <c r="AF525" s="256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93">
        <f>SUM(AG479:AG524)</f>
        <v>0</v>
      </c>
      <c r="AL535" s="2494"/>
      <c r="AM535" s="249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23" t="s">
        <v>1560</v>
      </c>
      <c r="AF538" s="2423"/>
      <c r="AG538" s="2423"/>
      <c r="AH538" s="2423"/>
      <c r="AI538" s="2423"/>
      <c r="AJ538" s="2423"/>
      <c r="AK538" s="2423"/>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90" t="s">
        <v>591</v>
      </c>
      <c r="D541" s="2490"/>
      <c r="E541" s="551"/>
      <c r="F541" s="2617" t="s">
        <v>1561</v>
      </c>
      <c r="G541" s="2618"/>
      <c r="H541" s="2618"/>
      <c r="I541" s="2618"/>
      <c r="J541" s="2618"/>
      <c r="K541" s="2618"/>
      <c r="L541" s="2618"/>
      <c r="M541" s="2618"/>
      <c r="N541" s="2618"/>
      <c r="O541" s="2618"/>
      <c r="P541" s="2618"/>
      <c r="Q541" s="2618"/>
      <c r="R541" s="2618"/>
      <c r="S541" s="2618"/>
      <c r="T541" s="2618"/>
      <c r="U541" s="2618"/>
      <c r="V541" s="2618"/>
      <c r="W541" s="2618"/>
      <c r="X541" s="2618"/>
      <c r="Y541" s="2618"/>
      <c r="Z541" s="2618"/>
      <c r="AA541" s="2618"/>
      <c r="AB541" s="2618"/>
      <c r="AC541" s="2618"/>
      <c r="AD541" s="2618"/>
      <c r="AE541" s="2618"/>
      <c r="AF541" s="2618"/>
      <c r="AG541" s="2618"/>
      <c r="AH541" s="2618"/>
      <c r="AI541" s="2618"/>
      <c r="AJ541" s="2618"/>
      <c r="AK541" s="2618"/>
      <c r="AL541" s="2619"/>
      <c r="AM541" s="595"/>
      <c r="AN541" s="597"/>
    </row>
    <row r="542" spans="1:81" s="550" customFormat="1" ht="12.75" customHeight="1">
      <c r="A542" s="539"/>
      <c r="B542" s="539"/>
      <c r="C542" s="551"/>
      <c r="D542" s="551"/>
      <c r="E542" s="551"/>
      <c r="F542" s="2620"/>
      <c r="G542" s="2621"/>
      <c r="H542" s="2621"/>
      <c r="I542" s="2621"/>
      <c r="J542" s="2621"/>
      <c r="K542" s="2621"/>
      <c r="L542" s="2621"/>
      <c r="M542" s="2621"/>
      <c r="N542" s="2621"/>
      <c r="O542" s="2621"/>
      <c r="P542" s="2621"/>
      <c r="Q542" s="2621"/>
      <c r="R542" s="2621"/>
      <c r="S542" s="2621"/>
      <c r="T542" s="2621"/>
      <c r="U542" s="2621"/>
      <c r="V542" s="2621"/>
      <c r="W542" s="2621"/>
      <c r="X542" s="2621"/>
      <c r="Y542" s="2621"/>
      <c r="Z542" s="2621"/>
      <c r="AA542" s="2621"/>
      <c r="AB542" s="2621"/>
      <c r="AC542" s="2621"/>
      <c r="AD542" s="2621"/>
      <c r="AE542" s="2621"/>
      <c r="AF542" s="2621"/>
      <c r="AG542" s="2621"/>
      <c r="AH542" s="2621"/>
      <c r="AI542" s="2621"/>
      <c r="AJ542" s="2621"/>
      <c r="AK542" s="2621"/>
      <c r="AL542" s="262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90" t="s">
        <v>545</v>
      </c>
      <c r="D544" s="249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12" t="s">
        <v>1563</v>
      </c>
      <c r="G545" s="2513"/>
      <c r="H545" s="2513"/>
      <c r="I545" s="2513"/>
      <c r="J545" s="2513"/>
      <c r="K545" s="2513"/>
      <c r="L545" s="2513"/>
      <c r="M545" s="2513"/>
      <c r="N545" s="2513"/>
      <c r="O545" s="2513"/>
      <c r="P545" s="2513"/>
      <c r="Q545" s="2513"/>
      <c r="R545" s="2513"/>
      <c r="S545" s="2513"/>
      <c r="T545" s="2513"/>
      <c r="U545" s="2513"/>
      <c r="V545" s="2513"/>
      <c r="W545" s="2513"/>
      <c r="X545" s="2513"/>
      <c r="Y545" s="2513"/>
      <c r="Z545" s="2513"/>
      <c r="AA545" s="2513"/>
      <c r="AB545" s="2513"/>
      <c r="AC545" s="2513"/>
      <c r="AD545" s="2513"/>
      <c r="AE545" s="2513"/>
      <c r="AF545" s="2513"/>
      <c r="AG545" s="2513"/>
      <c r="AH545" s="2513"/>
      <c r="AI545" s="2513"/>
      <c r="AJ545" s="2513"/>
      <c r="AK545" s="2513"/>
      <c r="AL545" s="2514"/>
      <c r="AM545" s="595"/>
      <c r="AN545" s="597"/>
      <c r="AS545" s="870"/>
      <c r="AT545" s="870"/>
      <c r="AU545" s="870"/>
      <c r="AV545" s="870"/>
      <c r="AW545" s="870"/>
    </row>
    <row r="546" spans="1:49" s="550" customFormat="1" ht="12.75" customHeight="1">
      <c r="B546" s="806"/>
      <c r="C546" s="806"/>
      <c r="D546" s="806"/>
      <c r="E546" s="806"/>
      <c r="F546" s="2512"/>
      <c r="G546" s="2513"/>
      <c r="H546" s="2513"/>
      <c r="I546" s="2513"/>
      <c r="J546" s="2513"/>
      <c r="K546" s="2513"/>
      <c r="L546" s="2513"/>
      <c r="M546" s="2513"/>
      <c r="N546" s="2513"/>
      <c r="O546" s="2513"/>
      <c r="P546" s="2513"/>
      <c r="Q546" s="2513"/>
      <c r="R546" s="2513"/>
      <c r="S546" s="2513"/>
      <c r="T546" s="2513"/>
      <c r="U546" s="2513"/>
      <c r="V546" s="2513"/>
      <c r="W546" s="2513"/>
      <c r="X546" s="2513"/>
      <c r="Y546" s="2513"/>
      <c r="Z546" s="2513"/>
      <c r="AA546" s="2513"/>
      <c r="AB546" s="2513"/>
      <c r="AC546" s="2513"/>
      <c r="AD546" s="2513"/>
      <c r="AE546" s="2513"/>
      <c r="AF546" s="2513"/>
      <c r="AG546" s="2513"/>
      <c r="AH546" s="2513"/>
      <c r="AI546" s="2513"/>
      <c r="AJ546" s="2513"/>
      <c r="AK546" s="2513"/>
      <c r="AL546" s="2514"/>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12" t="s">
        <v>1564</v>
      </c>
      <c r="G548" s="2513"/>
      <c r="H548" s="2513"/>
      <c r="I548" s="2513"/>
      <c r="J548" s="2513"/>
      <c r="K548" s="2513"/>
      <c r="L548" s="2513"/>
      <c r="M548" s="2513"/>
      <c r="N548" s="2513"/>
      <c r="O548" s="2513"/>
      <c r="P548" s="2513"/>
      <c r="Q548" s="2513"/>
      <c r="R548" s="2513"/>
      <c r="S548" s="2513"/>
      <c r="T548" s="2513"/>
      <c r="U548" s="2513"/>
      <c r="V548" s="2513"/>
      <c r="W548" s="2513"/>
      <c r="X548" s="2513"/>
      <c r="Y548" s="2513"/>
      <c r="Z548" s="2513"/>
      <c r="AA548" s="2513"/>
      <c r="AB548" s="2513"/>
      <c r="AC548" s="2513"/>
      <c r="AD548" s="2513"/>
      <c r="AE548" s="2513"/>
      <c r="AF548" s="2513"/>
      <c r="AG548" s="2513"/>
      <c r="AH548" s="2513"/>
      <c r="AI548" s="2513"/>
      <c r="AJ548" s="2513"/>
      <c r="AK548" s="2513"/>
      <c r="AL548" s="813"/>
      <c r="AM548" s="595"/>
      <c r="AN548" s="597"/>
    </row>
    <row r="549" spans="1:49" s="550" customFormat="1" ht="12.75" customHeight="1">
      <c r="B549" s="806"/>
      <c r="C549" s="806"/>
      <c r="D549" s="806"/>
      <c r="E549" s="806"/>
      <c r="F549" s="2515"/>
      <c r="G549" s="2516"/>
      <c r="H549" s="2516"/>
      <c r="I549" s="2516"/>
      <c r="J549" s="2516"/>
      <c r="K549" s="2516"/>
      <c r="L549" s="2516"/>
      <c r="M549" s="2516"/>
      <c r="N549" s="2516"/>
      <c r="O549" s="2516"/>
      <c r="P549" s="2516"/>
      <c r="Q549" s="2516"/>
      <c r="R549" s="2516"/>
      <c r="S549" s="2516"/>
      <c r="T549" s="2516"/>
      <c r="U549" s="2516"/>
      <c r="V549" s="2516"/>
      <c r="W549" s="2516"/>
      <c r="X549" s="2516"/>
      <c r="Y549" s="2516"/>
      <c r="Z549" s="2516"/>
      <c r="AA549" s="2516"/>
      <c r="AB549" s="2516"/>
      <c r="AC549" s="2516"/>
      <c r="AD549" s="2516"/>
      <c r="AE549" s="2516"/>
      <c r="AF549" s="2516"/>
      <c r="AG549" s="2516"/>
      <c r="AH549" s="2516"/>
      <c r="AI549" s="2516"/>
      <c r="AJ549" s="2516"/>
      <c r="AK549" s="251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9">
        <f>Application!AJ992</f>
        <v>28902777</v>
      </c>
      <c r="AQ550" s="2639"/>
      <c r="AR550" s="2639"/>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96">
        <f>'Sources and Uses Budget'!S107+'Sources and Uses Budget'!T107</f>
        <v>33206252</v>
      </c>
      <c r="AG551" s="2496"/>
      <c r="AH551" s="2496"/>
      <c r="AI551" s="2496"/>
      <c r="AJ551" s="249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44">
        <f>IFERROR(AP559,0)</f>
        <v>64272043.600000001</v>
      </c>
      <c r="AG552" s="2644"/>
      <c r="AH552" s="2644"/>
      <c r="AI552" s="2644"/>
      <c r="AJ552" s="2644"/>
      <c r="AK552" s="595"/>
      <c r="AL552" s="595"/>
      <c r="AM552" s="595"/>
      <c r="AN552" s="597"/>
      <c r="AP552" s="2639">
        <f>Application!AJ1045</f>
        <v>15029444.040000001</v>
      </c>
      <c r="AQ552" s="2639"/>
      <c r="AR552" s="2639"/>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45">
        <f>IFERROR(ROUNDDOWN(IF(C544="YES",((1-(AF551/AF552))*2),(1-(AF551/AF552))),2),0)</f>
        <v>0.96</v>
      </c>
      <c r="AG553" s="2645"/>
      <c r="AH553" s="2645"/>
      <c r="AI553" s="2645"/>
      <c r="AJ553" s="2645"/>
      <c r="AK553" s="595"/>
      <c r="AL553" s="595"/>
      <c r="AM553" s="595"/>
      <c r="AN553" s="597"/>
      <c r="AP553" s="2642">
        <f>Application!AJ1049</f>
        <v>11561110.800000001</v>
      </c>
      <c r="AQ553" s="2642"/>
      <c r="AR553" s="264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8">
        <f>IF(((AP552+AP553)/AP550)&gt;0.8,0.8,((AP552+AP553)/AP550))</f>
        <v>0.8</v>
      </c>
      <c r="AQ554" s="2638"/>
      <c r="AR554" s="2638"/>
      <c r="AS554" s="550" t="s">
        <v>2171</v>
      </c>
    </row>
    <row r="555" spans="1:49" s="550" customFormat="1" ht="12.75" customHeight="1">
      <c r="A555" s="624"/>
      <c r="B555" s="2575" t="s">
        <v>2031</v>
      </c>
      <c r="C555" s="2576"/>
      <c r="D555" s="2576"/>
      <c r="E555" s="2576"/>
      <c r="F555" s="2576"/>
      <c r="G555" s="2576"/>
      <c r="H555" s="2576"/>
      <c r="I555" s="2576"/>
      <c r="J555" s="2576"/>
      <c r="K555" s="2576"/>
      <c r="L555" s="2576"/>
      <c r="M555" s="2576"/>
      <c r="N555" s="2576"/>
      <c r="O555" s="2576"/>
      <c r="P555" s="2576"/>
      <c r="Q555" s="2576"/>
      <c r="R555" s="2576"/>
      <c r="S555" s="2576"/>
      <c r="T555" s="2576"/>
      <c r="U555" s="2576"/>
      <c r="V555" s="2576"/>
      <c r="W555" s="2576"/>
      <c r="X555" s="2576"/>
      <c r="Y555" s="2576"/>
      <c r="Z555" s="2576"/>
      <c r="AA555" s="2576"/>
      <c r="AB555" s="2576"/>
      <c r="AC555" s="2576"/>
      <c r="AD555" s="2576"/>
      <c r="AE555" s="2576"/>
      <c r="AF555" s="2576"/>
      <c r="AG555" s="2576"/>
      <c r="AH555" s="2576"/>
      <c r="AI555" s="2576"/>
      <c r="AJ555" s="2577"/>
      <c r="AK555" s="595"/>
      <c r="AL555" s="595"/>
      <c r="AM555" s="595"/>
      <c r="AN555" s="597"/>
    </row>
    <row r="556" spans="1:49" s="550" customFormat="1" ht="12.75" customHeight="1">
      <c r="A556" s="624"/>
      <c r="B556" s="2578"/>
      <c r="C556" s="2579"/>
      <c r="D556" s="2579"/>
      <c r="E556" s="2579"/>
      <c r="F556" s="2579"/>
      <c r="G556" s="2579"/>
      <c r="H556" s="2579"/>
      <c r="I556" s="2579"/>
      <c r="J556" s="2579"/>
      <c r="K556" s="2579"/>
      <c r="L556" s="2579"/>
      <c r="M556" s="2579"/>
      <c r="N556" s="2579"/>
      <c r="O556" s="2579"/>
      <c r="P556" s="2579"/>
      <c r="Q556" s="2579"/>
      <c r="R556" s="2579"/>
      <c r="S556" s="2579"/>
      <c r="T556" s="2579"/>
      <c r="U556" s="2579"/>
      <c r="V556" s="2579"/>
      <c r="W556" s="2579"/>
      <c r="X556" s="2579"/>
      <c r="Y556" s="2579"/>
      <c r="Z556" s="2579"/>
      <c r="AA556" s="2579"/>
      <c r="AB556" s="2579"/>
      <c r="AC556" s="2579"/>
      <c r="AD556" s="2579"/>
      <c r="AE556" s="2579"/>
      <c r="AF556" s="2579"/>
      <c r="AG556" s="2579"/>
      <c r="AH556" s="2579"/>
      <c r="AI556" s="2579"/>
      <c r="AJ556" s="2580"/>
      <c r="AK556" s="595"/>
      <c r="AL556" s="595"/>
      <c r="AM556" s="595"/>
      <c r="AN556" s="597"/>
      <c r="AP556" s="2639">
        <f>AP557-AP552-AP553</f>
        <v>41149822</v>
      </c>
      <c r="AQ556" s="2548"/>
      <c r="AR556" s="2548"/>
      <c r="AS556" s="550" t="s">
        <v>2173</v>
      </c>
    </row>
    <row r="557" spans="1:49" s="550" customFormat="1" ht="12.75" customHeight="1">
      <c r="A557" s="624"/>
      <c r="B557" s="2581"/>
      <c r="C557" s="2582"/>
      <c r="D557" s="2582"/>
      <c r="E557" s="2582"/>
      <c r="F557" s="2582"/>
      <c r="G557" s="2582"/>
      <c r="H557" s="2582"/>
      <c r="I557" s="2582"/>
      <c r="J557" s="2582"/>
      <c r="K557" s="2582"/>
      <c r="L557" s="2582"/>
      <c r="M557" s="2582"/>
      <c r="N557" s="2582"/>
      <c r="O557" s="2582"/>
      <c r="P557" s="2582"/>
      <c r="Q557" s="2582"/>
      <c r="R557" s="2582"/>
      <c r="S557" s="2582"/>
      <c r="T557" s="2582"/>
      <c r="U557" s="2582"/>
      <c r="V557" s="2582"/>
      <c r="W557" s="2582"/>
      <c r="X557" s="2582"/>
      <c r="Y557" s="2582"/>
      <c r="Z557" s="2582"/>
      <c r="AA557" s="2582"/>
      <c r="AB557" s="2582"/>
      <c r="AC557" s="2582"/>
      <c r="AD557" s="2582"/>
      <c r="AE557" s="2582"/>
      <c r="AF557" s="2582"/>
      <c r="AG557" s="2582"/>
      <c r="AH557" s="2582"/>
      <c r="AI557" s="2582"/>
      <c r="AJ557" s="2583"/>
      <c r="AK557" s="595"/>
      <c r="AL557" s="595"/>
      <c r="AM557" s="595"/>
      <c r="AN557" s="597"/>
      <c r="AP557" s="2639">
        <f>Application!AJ1053</f>
        <v>67740376.840000004</v>
      </c>
      <c r="AQ557" s="2639"/>
      <c r="AR557" s="2639"/>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84">
        <f>IFERROR(IF(AND(C541="N/A",C544="N/A"),0,IF(AF553=0,0,IF((AF553*100)&gt;12,12,(AF553*100)))),0)</f>
        <v>12</v>
      </c>
      <c r="AL559" s="2584"/>
      <c r="AM559" s="2585"/>
      <c r="AN559" s="597"/>
      <c r="AP559" s="2656">
        <f>AP556+(AP550*AP554)</f>
        <v>64272043.600000001</v>
      </c>
      <c r="AQ559" s="2657"/>
      <c r="AR559" s="265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23" t="s">
        <v>1314</v>
      </c>
      <c r="AF562" s="2423"/>
      <c r="AG562" s="2423"/>
      <c r="AH562" s="2423"/>
      <c r="AI562" s="2423"/>
      <c r="AJ562" s="2423"/>
      <c r="AK562" s="242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13" t="s">
        <v>2022</v>
      </c>
      <c r="C564" s="2513"/>
      <c r="D564" s="2513"/>
      <c r="E564" s="2513"/>
      <c r="F564" s="2513"/>
      <c r="G564" s="2513"/>
      <c r="H564" s="2513"/>
      <c r="I564" s="2513"/>
      <c r="J564" s="2513"/>
      <c r="K564" s="2513"/>
      <c r="L564" s="2513"/>
      <c r="M564" s="2513"/>
      <c r="N564" s="2513"/>
      <c r="O564" s="2513"/>
      <c r="P564" s="2513"/>
      <c r="Q564" s="2513"/>
      <c r="R564" s="2513"/>
      <c r="S564" s="2513"/>
      <c r="T564" s="2513"/>
      <c r="U564" s="2513"/>
      <c r="V564" s="2513"/>
      <c r="W564" s="2513"/>
      <c r="X564" s="2513"/>
      <c r="Y564" s="2513"/>
      <c r="Z564" s="2513"/>
      <c r="AA564" s="2513"/>
      <c r="AB564" s="2513"/>
      <c r="AC564" s="2513"/>
      <c r="AD564" s="2513"/>
      <c r="AE564" s="2513"/>
      <c r="AF564" s="2513"/>
      <c r="AG564" s="2513"/>
      <c r="AH564" s="2513"/>
      <c r="AI564" s="2513"/>
      <c r="AJ564" s="2513"/>
      <c r="AK564" s="642"/>
      <c r="AL564" s="573"/>
      <c r="AM564" s="603"/>
      <c r="AN564" s="597"/>
    </row>
    <row r="565" spans="1:42" s="550" customFormat="1" ht="12.75" customHeight="1">
      <c r="A565" s="603"/>
      <c r="B565" s="2513"/>
      <c r="C565" s="2513"/>
      <c r="D565" s="2513"/>
      <c r="E565" s="2513"/>
      <c r="F565" s="2513"/>
      <c r="G565" s="2513"/>
      <c r="H565" s="2513"/>
      <c r="I565" s="2513"/>
      <c r="J565" s="2513"/>
      <c r="K565" s="2513"/>
      <c r="L565" s="2513"/>
      <c r="M565" s="2513"/>
      <c r="N565" s="2513"/>
      <c r="O565" s="2513"/>
      <c r="P565" s="2513"/>
      <c r="Q565" s="2513"/>
      <c r="R565" s="2513"/>
      <c r="S565" s="2513"/>
      <c r="T565" s="2513"/>
      <c r="U565" s="2513"/>
      <c r="V565" s="2513"/>
      <c r="W565" s="2513"/>
      <c r="X565" s="2513"/>
      <c r="Y565" s="2513"/>
      <c r="Z565" s="2513"/>
      <c r="AA565" s="2513"/>
      <c r="AB565" s="2513"/>
      <c r="AC565" s="2513"/>
      <c r="AD565" s="2513"/>
      <c r="AE565" s="2513"/>
      <c r="AF565" s="2513"/>
      <c r="AG565" s="2513"/>
      <c r="AH565" s="2513"/>
      <c r="AI565" s="2513"/>
      <c r="AJ565" s="2513"/>
      <c r="AK565" s="642"/>
      <c r="AL565" s="573"/>
      <c r="AM565" s="603"/>
      <c r="AN565" s="597"/>
    </row>
    <row r="566" spans="1:42" s="550" customFormat="1" ht="12.75" customHeight="1">
      <c r="A566" s="603"/>
      <c r="B566" s="2513"/>
      <c r="C566" s="2513"/>
      <c r="D566" s="2513"/>
      <c r="E566" s="2513"/>
      <c r="F566" s="2513"/>
      <c r="G566" s="2513"/>
      <c r="H566" s="2513"/>
      <c r="I566" s="2513"/>
      <c r="J566" s="2513"/>
      <c r="K566" s="2513"/>
      <c r="L566" s="2513"/>
      <c r="M566" s="2513"/>
      <c r="N566" s="2513"/>
      <c r="O566" s="2513"/>
      <c r="P566" s="2513"/>
      <c r="Q566" s="2513"/>
      <c r="R566" s="2513"/>
      <c r="S566" s="2513"/>
      <c r="T566" s="2513"/>
      <c r="U566" s="2513"/>
      <c r="V566" s="2513"/>
      <c r="W566" s="2513"/>
      <c r="X566" s="2513"/>
      <c r="Y566" s="2513"/>
      <c r="Z566" s="2513"/>
      <c r="AA566" s="2513"/>
      <c r="AB566" s="2513"/>
      <c r="AC566" s="2513"/>
      <c r="AD566" s="2513"/>
      <c r="AE566" s="2513"/>
      <c r="AF566" s="2513"/>
      <c r="AG566" s="2513"/>
      <c r="AH566" s="2513"/>
      <c r="AI566" s="2513"/>
      <c r="AJ566" s="2513"/>
      <c r="AK566" s="642"/>
      <c r="AL566" s="573"/>
      <c r="AM566" s="603"/>
      <c r="AN566" s="597"/>
    </row>
    <row r="567" spans="1:42" s="550" customFormat="1" ht="12.75" customHeight="1">
      <c r="A567" s="603"/>
      <c r="B567" s="2513"/>
      <c r="C567" s="2513"/>
      <c r="D567" s="2513"/>
      <c r="E567" s="2513"/>
      <c r="F567" s="2513"/>
      <c r="G567" s="2513"/>
      <c r="H567" s="2513"/>
      <c r="I567" s="2513"/>
      <c r="J567" s="2513"/>
      <c r="K567" s="2513"/>
      <c r="L567" s="2513"/>
      <c r="M567" s="2513"/>
      <c r="N567" s="2513"/>
      <c r="O567" s="2513"/>
      <c r="P567" s="2513"/>
      <c r="Q567" s="2513"/>
      <c r="R567" s="2513"/>
      <c r="S567" s="2513"/>
      <c r="T567" s="2513"/>
      <c r="U567" s="2513"/>
      <c r="V567" s="2513"/>
      <c r="W567" s="2513"/>
      <c r="X567" s="2513"/>
      <c r="Y567" s="2513"/>
      <c r="Z567" s="2513"/>
      <c r="AA567" s="2513"/>
      <c r="AB567" s="2513"/>
      <c r="AC567" s="2513"/>
      <c r="AD567" s="2513"/>
      <c r="AE567" s="2513"/>
      <c r="AF567" s="2513"/>
      <c r="AG567" s="2513"/>
      <c r="AH567" s="2513"/>
      <c r="AI567" s="2513"/>
      <c r="AJ567" s="2513"/>
      <c r="AK567" s="642"/>
      <c r="AL567" s="573"/>
      <c r="AM567" s="603"/>
      <c r="AN567" s="597"/>
    </row>
    <row r="568" spans="1:42" s="550" customFormat="1" ht="12.75" customHeight="1">
      <c r="A568" s="603"/>
      <c r="B568" s="2513"/>
      <c r="C568" s="2513"/>
      <c r="D568" s="2513"/>
      <c r="E568" s="2513"/>
      <c r="F568" s="2513"/>
      <c r="G568" s="2513"/>
      <c r="H568" s="2513"/>
      <c r="I568" s="2513"/>
      <c r="J568" s="2513"/>
      <c r="K568" s="2513"/>
      <c r="L568" s="2513"/>
      <c r="M568" s="2513"/>
      <c r="N568" s="2513"/>
      <c r="O568" s="2513"/>
      <c r="P568" s="2513"/>
      <c r="Q568" s="2513"/>
      <c r="R568" s="2513"/>
      <c r="S568" s="2513"/>
      <c r="T568" s="2513"/>
      <c r="U568" s="2513"/>
      <c r="V568" s="2513"/>
      <c r="W568" s="2513"/>
      <c r="X568" s="2513"/>
      <c r="Y568" s="2513"/>
      <c r="Z568" s="2513"/>
      <c r="AA568" s="2513"/>
      <c r="AB568" s="2513"/>
      <c r="AC568" s="2513"/>
      <c r="AD568" s="2513"/>
      <c r="AE568" s="2513"/>
      <c r="AF568" s="2513"/>
      <c r="AG568" s="2513"/>
      <c r="AH568" s="2513"/>
      <c r="AI568" s="2513"/>
      <c r="AJ568" s="2513"/>
      <c r="AK568" s="642"/>
      <c r="AL568" s="573"/>
      <c r="AM568" s="603"/>
      <c r="AN568" s="597"/>
    </row>
    <row r="569" spans="1:42" s="550" customFormat="1" ht="12.75" customHeight="1">
      <c r="A569" s="603"/>
      <c r="B569" s="2513"/>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3"/>
      <c r="AK569" s="642"/>
      <c r="AL569" s="573"/>
      <c r="AM569" s="603"/>
      <c r="AN569" s="597"/>
    </row>
    <row r="570" spans="1:42" s="550" customFormat="1" ht="12.75" customHeight="1">
      <c r="A570" s="603"/>
      <c r="B570" s="2513"/>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3"/>
      <c r="AK570" s="642"/>
      <c r="AL570" s="573"/>
      <c r="AM570" s="603"/>
      <c r="AN570" s="597"/>
    </row>
    <row r="571" spans="1:42" ht="12.75" customHeight="1">
      <c r="A571" s="603"/>
      <c r="B571" s="2513"/>
      <c r="C571" s="2513"/>
      <c r="D571" s="2513"/>
      <c r="E571" s="2513"/>
      <c r="F571" s="2513"/>
      <c r="G571" s="2513"/>
      <c r="H571" s="2513"/>
      <c r="I571" s="2513"/>
      <c r="J571" s="2513"/>
      <c r="K571" s="2513"/>
      <c r="L571" s="2513"/>
      <c r="M571" s="2513"/>
      <c r="N571" s="2513"/>
      <c r="O571" s="2513"/>
      <c r="P571" s="2513"/>
      <c r="Q571" s="2513"/>
      <c r="R571" s="2513"/>
      <c r="S571" s="2513"/>
      <c r="T571" s="2513"/>
      <c r="U571" s="2513"/>
      <c r="V571" s="2513"/>
      <c r="W571" s="2513"/>
      <c r="X571" s="2513"/>
      <c r="Y571" s="2513"/>
      <c r="Z571" s="2513"/>
      <c r="AA571" s="2513"/>
      <c r="AB571" s="2513"/>
      <c r="AC571" s="2513"/>
      <c r="AD571" s="2513"/>
      <c r="AE571" s="2513"/>
      <c r="AF571" s="2513"/>
      <c r="AG571" s="2513"/>
      <c r="AH571" s="2513"/>
      <c r="AI571" s="2513"/>
      <c r="AJ571" s="2513"/>
      <c r="AK571" s="642"/>
      <c r="AL571" s="573"/>
      <c r="AM571" s="603"/>
    </row>
    <row r="572" spans="1:42" s="550" customFormat="1" ht="12.75" customHeight="1">
      <c r="B572" s="2513"/>
      <c r="C572" s="2513"/>
      <c r="D572" s="2513"/>
      <c r="E572" s="2513"/>
      <c r="F572" s="2513"/>
      <c r="G572" s="2513"/>
      <c r="H572" s="2513"/>
      <c r="I572" s="2513"/>
      <c r="J572" s="2513"/>
      <c r="K572" s="2513"/>
      <c r="L572" s="2513"/>
      <c r="M572" s="2513"/>
      <c r="N572" s="2513"/>
      <c r="O572" s="2513"/>
      <c r="P572" s="2513"/>
      <c r="Q572" s="2513"/>
      <c r="R572" s="2513"/>
      <c r="S572" s="2513"/>
      <c r="T572" s="2513"/>
      <c r="U572" s="2513"/>
      <c r="V572" s="2513"/>
      <c r="W572" s="2513"/>
      <c r="X572" s="2513"/>
      <c r="Y572" s="2513"/>
      <c r="Z572" s="2513"/>
      <c r="AA572" s="2513"/>
      <c r="AB572" s="2513"/>
      <c r="AC572" s="2513"/>
      <c r="AD572" s="2513"/>
      <c r="AE572" s="2513"/>
      <c r="AF572" s="2513"/>
      <c r="AG572" s="2513"/>
      <c r="AH572" s="2513"/>
      <c r="AI572" s="2513"/>
      <c r="AJ572" s="251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8" t="s">
        <v>1338</v>
      </c>
      <c r="AG578" s="2458"/>
      <c r="AH578" s="2458"/>
      <c r="AI578" s="2458"/>
      <c r="AJ578" s="2458"/>
      <c r="AK578" s="2458"/>
      <c r="AL578" s="2458"/>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8" t="s">
        <v>1396</v>
      </c>
      <c r="AG585" s="2458"/>
      <c r="AH585" s="2458"/>
      <c r="AI585" s="2458"/>
      <c r="AJ585" s="2458"/>
      <c r="AK585" s="2458"/>
      <c r="AL585" s="2458"/>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8" t="s">
        <v>1378</v>
      </c>
      <c r="AG591" s="2458"/>
      <c r="AH591" s="2458"/>
      <c r="AI591" s="2458"/>
      <c r="AJ591" s="2458"/>
      <c r="AK591" s="2458"/>
      <c r="AL591" s="2458"/>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8" t="s">
        <v>1399</v>
      </c>
      <c r="AG597" s="2458"/>
      <c r="AH597" s="2458"/>
      <c r="AI597" s="2458"/>
      <c r="AJ597" s="2458"/>
      <c r="AK597" s="2458"/>
      <c r="AL597" s="2458"/>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4" t="s">
        <v>1184</v>
      </c>
      <c r="P601" s="2544"/>
      <c r="Q601" s="2544"/>
      <c r="R601" s="2544"/>
      <c r="S601" s="2544"/>
      <c r="T601" s="2544"/>
      <c r="U601" s="2544"/>
      <c r="V601" s="2544"/>
      <c r="W601" s="2544"/>
      <c r="X601" s="2544"/>
      <c r="Y601" s="2544"/>
      <c r="Z601" s="2544"/>
      <c r="AA601" s="2544"/>
      <c r="AB601" s="254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8" t="s">
        <v>1352</v>
      </c>
      <c r="AG603" s="2458"/>
      <c r="AH603" s="2458"/>
      <c r="AI603" s="2458"/>
      <c r="AJ603" s="2458"/>
      <c r="AK603" s="2458"/>
      <c r="AL603" s="2458"/>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42" t="s">
        <v>687</v>
      </c>
      <c r="I606" s="2542"/>
      <c r="J606" s="936"/>
      <c r="K606" s="936"/>
      <c r="L606" s="936"/>
      <c r="N606" s="22"/>
      <c r="O606" s="22"/>
      <c r="P606" s="22"/>
      <c r="Q606" s="1151" t="s">
        <v>2176</v>
      </c>
      <c r="R606" s="2545"/>
      <c r="S606" s="2545"/>
      <c r="T606" s="2545"/>
      <c r="U606" s="2545"/>
      <c r="V606" s="2545"/>
      <c r="W606" s="254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6" t="str">
        <f>IF(AND(H606="(i)",NOT(AP582)),AO599,IF(AND(H606="(iv)",OR(R606=AO595,R606=AO594),NOT(AP583)),AO600,""))</f>
        <v/>
      </c>
      <c r="Z607" s="2546"/>
      <c r="AA607" s="2546"/>
      <c r="AB607" s="2546"/>
      <c r="AC607" s="2546"/>
      <c r="AD607" s="2546"/>
      <c r="AE607" s="2546"/>
      <c r="AF607" s="2546"/>
      <c r="AG607" s="2546"/>
      <c r="AH607" s="2546"/>
      <c r="AI607" s="2546"/>
      <c r="AJ607" s="2546"/>
      <c r="AK607" s="2546"/>
      <c r="AL607" s="2546"/>
      <c r="AM607" s="254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6"/>
      <c r="Z608" s="2546"/>
      <c r="AA608" s="2546"/>
      <c r="AB608" s="2546"/>
      <c r="AC608" s="2546"/>
      <c r="AD608" s="2546"/>
      <c r="AE608" s="2546"/>
      <c r="AF608" s="2546"/>
      <c r="AG608" s="2546"/>
      <c r="AH608" s="2546"/>
      <c r="AI608" s="2546"/>
      <c r="AJ608" s="2546"/>
      <c r="AK608" s="2546"/>
      <c r="AL608" s="2546"/>
      <c r="AM608" s="254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3" t="s">
        <v>591</v>
      </c>
      <c r="J614" s="2543"/>
      <c r="K614" s="2543"/>
      <c r="L614" s="2543"/>
      <c r="M614" s="2543"/>
      <c r="N614" s="2543"/>
      <c r="O614" s="2543"/>
      <c r="P614" s="2543"/>
      <c r="Q614" s="2543"/>
      <c r="R614" s="2543"/>
      <c r="S614" s="2543"/>
      <c r="T614" s="2543"/>
      <c r="U614" s="2543"/>
      <c r="V614" s="2543"/>
      <c r="W614" s="2543"/>
      <c r="X614" s="2543"/>
      <c r="Y614" s="2543"/>
      <c r="Z614" s="2543"/>
      <c r="AA614" s="2543"/>
      <c r="AB614" s="2543"/>
      <c r="AC614" s="2543"/>
      <c r="AD614" s="2543"/>
      <c r="AE614" s="254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86" t="s">
        <v>591</v>
      </c>
      <c r="C616" s="2486"/>
      <c r="D616" s="642"/>
      <c r="E616" s="2513" t="s">
        <v>1403</v>
      </c>
      <c r="F616" s="2513"/>
      <c r="G616" s="2513"/>
      <c r="H616" s="2513"/>
      <c r="I616" s="2513"/>
      <c r="J616" s="2513"/>
      <c r="K616" s="2513"/>
      <c r="L616" s="2513"/>
      <c r="M616" s="2513"/>
      <c r="N616" s="2513"/>
      <c r="O616" s="2513"/>
      <c r="P616" s="2513"/>
      <c r="Q616" s="2513"/>
      <c r="R616" s="2513"/>
      <c r="S616" s="2513"/>
      <c r="T616" s="2513"/>
      <c r="U616" s="2513"/>
      <c r="V616" s="2513"/>
      <c r="W616" s="2513"/>
      <c r="X616" s="2513"/>
      <c r="Y616" s="2513"/>
      <c r="Z616" s="2513"/>
      <c r="AA616" s="2513"/>
      <c r="AB616" s="2513"/>
      <c r="AC616" s="2513"/>
      <c r="AD616" s="2513"/>
      <c r="AE616" s="2513"/>
      <c r="AF616" s="2513"/>
      <c r="AG616" s="2513"/>
      <c r="AH616" s="642"/>
      <c r="AI616" s="642"/>
      <c r="AJ616" s="642"/>
      <c r="AK616" s="642"/>
      <c r="AL616" s="642"/>
      <c r="AN616" s="597"/>
    </row>
    <row r="617" spans="1:42" s="550" customFormat="1" ht="12.75" customHeight="1">
      <c r="B617" s="536"/>
      <c r="C617" s="933"/>
      <c r="D617" s="642"/>
      <c r="E617" s="2513"/>
      <c r="F617" s="2513"/>
      <c r="G617" s="2513"/>
      <c r="H617" s="2513"/>
      <c r="I617" s="2513"/>
      <c r="J617" s="2513"/>
      <c r="K617" s="2513"/>
      <c r="L617" s="2513"/>
      <c r="M617" s="2513"/>
      <c r="N617" s="2513"/>
      <c r="O617" s="2513"/>
      <c r="P617" s="2513"/>
      <c r="Q617" s="2513"/>
      <c r="R617" s="2513"/>
      <c r="S617" s="2513"/>
      <c r="T617" s="2513"/>
      <c r="U617" s="2513"/>
      <c r="V617" s="2513"/>
      <c r="W617" s="2513"/>
      <c r="X617" s="2513"/>
      <c r="Y617" s="2513"/>
      <c r="Z617" s="2513"/>
      <c r="AA617" s="2513"/>
      <c r="AB617" s="2513"/>
      <c r="AC617" s="2513"/>
      <c r="AD617" s="2513"/>
      <c r="AE617" s="2513"/>
      <c r="AF617" s="2513"/>
      <c r="AG617" s="2513"/>
      <c r="AH617" s="642"/>
      <c r="AI617" s="642"/>
      <c r="AJ617" s="642"/>
      <c r="AK617" s="642"/>
      <c r="AL617" s="642"/>
      <c r="AN617" s="597"/>
    </row>
    <row r="618" spans="1:42" s="550" customFormat="1" ht="12.75" customHeight="1">
      <c r="B618" s="536"/>
      <c r="C618" s="933"/>
      <c r="D618" s="642"/>
      <c r="E618" s="2513"/>
      <c r="F618" s="2513"/>
      <c r="G618" s="2513"/>
      <c r="H618" s="2513"/>
      <c r="I618" s="2513"/>
      <c r="J618" s="2513"/>
      <c r="K618" s="2513"/>
      <c r="L618" s="2513"/>
      <c r="M618" s="2513"/>
      <c r="N618" s="2513"/>
      <c r="O618" s="2513"/>
      <c r="P618" s="2513"/>
      <c r="Q618" s="2513"/>
      <c r="R618" s="2513"/>
      <c r="S618" s="2513"/>
      <c r="T618" s="2513"/>
      <c r="U618" s="2513"/>
      <c r="V618" s="2513"/>
      <c r="W618" s="2513"/>
      <c r="X618" s="2513"/>
      <c r="Y618" s="2513"/>
      <c r="Z618" s="2513"/>
      <c r="AA618" s="2513"/>
      <c r="AB618" s="2513"/>
      <c r="AC618" s="2513"/>
      <c r="AD618" s="2513"/>
      <c r="AE618" s="2513"/>
      <c r="AF618" s="2513"/>
      <c r="AG618" s="2513"/>
      <c r="AH618" s="642"/>
      <c r="AI618" s="642"/>
      <c r="AJ618" s="642"/>
      <c r="AK618" s="642"/>
      <c r="AL618" s="642"/>
      <c r="AN618" s="597"/>
    </row>
    <row r="619" spans="1:42" s="550" customFormat="1" ht="12.75" customHeight="1">
      <c r="B619" s="536"/>
      <c r="C619" s="933"/>
      <c r="D619" s="642"/>
      <c r="E619" s="2513"/>
      <c r="F619" s="2513"/>
      <c r="G619" s="2513"/>
      <c r="H619" s="2513"/>
      <c r="I619" s="2513"/>
      <c r="J619" s="2513"/>
      <c r="K619" s="2513"/>
      <c r="L619" s="2513"/>
      <c r="M619" s="2513"/>
      <c r="N619" s="2513"/>
      <c r="O619" s="2513"/>
      <c r="P619" s="2513"/>
      <c r="Q619" s="2513"/>
      <c r="R619" s="2513"/>
      <c r="S619" s="2513"/>
      <c r="T619" s="2513"/>
      <c r="U619" s="2513"/>
      <c r="V619" s="2513"/>
      <c r="W619" s="2513"/>
      <c r="X619" s="2513"/>
      <c r="Y619" s="2513"/>
      <c r="Z619" s="2513"/>
      <c r="AA619" s="2513"/>
      <c r="AB619" s="2513"/>
      <c r="AC619" s="2513"/>
      <c r="AD619" s="2513"/>
      <c r="AE619" s="2513"/>
      <c r="AF619" s="2513"/>
      <c r="AG619" s="251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93">
        <f>VLOOKUP($H$606,$AO$586:$AP$591,2,FALSE)+IF(R606=AO594,0,VLOOKUP($I$614,$AO$613:$AP$615,2,FALSE))</f>
        <v>7</v>
      </c>
      <c r="AK621" s="249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1" t="s">
        <v>1694</v>
      </c>
      <c r="F625" s="2541"/>
      <c r="G625" s="2541"/>
      <c r="H625" s="2541"/>
      <c r="I625" s="2541"/>
      <c r="J625" s="2541"/>
      <c r="K625" s="2541"/>
      <c r="L625" s="2541"/>
      <c r="M625" s="2541"/>
      <c r="N625" s="2541"/>
      <c r="O625" s="2541"/>
      <c r="P625" s="2541"/>
      <c r="Q625" s="2541"/>
      <c r="R625" s="2541"/>
      <c r="S625" s="2541"/>
      <c r="T625" s="2541"/>
      <c r="U625" s="2541"/>
      <c r="V625" s="2541"/>
      <c r="W625" s="2541"/>
      <c r="X625" s="2541"/>
      <c r="Y625" s="2541"/>
      <c r="Z625" s="2541"/>
      <c r="AA625" s="2541"/>
      <c r="AB625" s="2541"/>
      <c r="AC625" s="2541"/>
      <c r="AD625" s="2541"/>
      <c r="AE625" s="539"/>
      <c r="AF625" s="2458" t="s">
        <v>1352</v>
      </c>
      <c r="AG625" s="2458"/>
      <c r="AH625" s="2458"/>
      <c r="AI625" s="2458"/>
      <c r="AJ625" s="2458"/>
      <c r="AK625" s="2458"/>
      <c r="AL625" s="2458"/>
      <c r="AM625" s="550"/>
      <c r="AN625" s="678"/>
    </row>
    <row r="626" spans="1:42" s="550" customFormat="1" ht="12.75" customHeight="1">
      <c r="A626" s="679"/>
      <c r="B626" s="536"/>
      <c r="C626" s="933"/>
      <c r="D626" s="663"/>
      <c r="E626" s="2541"/>
      <c r="F626" s="2541"/>
      <c r="G626" s="2541"/>
      <c r="H626" s="2541"/>
      <c r="I626" s="2541"/>
      <c r="J626" s="2541"/>
      <c r="K626" s="2541"/>
      <c r="L626" s="2541"/>
      <c r="M626" s="2541"/>
      <c r="N626" s="2541"/>
      <c r="O626" s="2541"/>
      <c r="P626" s="2541"/>
      <c r="Q626" s="2541"/>
      <c r="R626" s="2541"/>
      <c r="S626" s="2541"/>
      <c r="T626" s="2541"/>
      <c r="U626" s="2541"/>
      <c r="V626" s="2541"/>
      <c r="W626" s="2541"/>
      <c r="X626" s="2541"/>
      <c r="Y626" s="2541"/>
      <c r="Z626" s="2541"/>
      <c r="AA626" s="2541"/>
      <c r="AB626" s="2541"/>
      <c r="AC626" s="2541"/>
      <c r="AD626" s="2541"/>
      <c r="AE626" s="536"/>
      <c r="AF626" s="536"/>
      <c r="AG626" s="536"/>
      <c r="AH626" s="536"/>
      <c r="AI626" s="536"/>
      <c r="AJ626" s="536"/>
      <c r="AK626" s="536"/>
      <c r="AL626" s="536"/>
      <c r="AN626" s="597"/>
    </row>
    <row r="627" spans="1:42" s="550" customFormat="1" ht="12.75" customHeight="1">
      <c r="B627" s="536"/>
      <c r="C627" s="931"/>
      <c r="D627" s="663"/>
      <c r="E627" s="2541"/>
      <c r="F627" s="2541"/>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536"/>
      <c r="AF627" s="536"/>
      <c r="AG627" s="536"/>
      <c r="AH627" s="536"/>
      <c r="AI627" s="536"/>
      <c r="AJ627" s="536"/>
      <c r="AK627" s="536"/>
      <c r="AL627" s="536"/>
      <c r="AN627" s="597"/>
    </row>
    <row r="628" spans="1:42" s="550" customFormat="1" ht="12.75" customHeight="1">
      <c r="B628" s="536"/>
      <c r="C628" s="931"/>
      <c r="D628" s="663"/>
      <c r="E628" s="2541"/>
      <c r="F628" s="2541"/>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1"/>
      <c r="AE628" s="536"/>
      <c r="AF628" s="536"/>
      <c r="AG628" s="536"/>
      <c r="AH628" s="536"/>
      <c r="AI628" s="536"/>
      <c r="AJ628" s="536"/>
      <c r="AK628" s="536"/>
      <c r="AL628" s="536"/>
      <c r="AN628" s="597"/>
    </row>
    <row r="629" spans="1:42" s="550" customFormat="1" ht="12.75" customHeight="1">
      <c r="B629" s="536"/>
      <c r="C629" s="931"/>
      <c r="D629" s="663"/>
      <c r="E629" s="2541"/>
      <c r="F629" s="2541"/>
      <c r="G629" s="2541"/>
      <c r="H629" s="2541"/>
      <c r="I629" s="2541"/>
      <c r="J629" s="2541"/>
      <c r="K629" s="2541"/>
      <c r="L629" s="2541"/>
      <c r="M629" s="2541"/>
      <c r="N629" s="2541"/>
      <c r="O629" s="2541"/>
      <c r="P629" s="2541"/>
      <c r="Q629" s="2541"/>
      <c r="R629" s="2541"/>
      <c r="S629" s="2541"/>
      <c r="T629" s="2541"/>
      <c r="U629" s="2541"/>
      <c r="V629" s="2541"/>
      <c r="W629" s="2541"/>
      <c r="X629" s="2541"/>
      <c r="Y629" s="2541"/>
      <c r="Z629" s="2541"/>
      <c r="AA629" s="2541"/>
      <c r="AB629" s="2541"/>
      <c r="AC629" s="2541"/>
      <c r="AD629" s="2541"/>
      <c r="AE629" s="536"/>
      <c r="AF629" s="536"/>
      <c r="AG629" s="536"/>
      <c r="AH629" s="536"/>
      <c r="AI629" s="536"/>
      <c r="AJ629" s="536"/>
      <c r="AK629" s="536"/>
      <c r="AL629" s="536"/>
      <c r="AN629" s="597"/>
    </row>
    <row r="630" spans="1:42" s="550" customFormat="1" ht="12.75" customHeight="1">
      <c r="B630" s="536"/>
      <c r="C630" s="931"/>
      <c r="D630" s="663"/>
      <c r="E630" s="2541"/>
      <c r="F630" s="2541"/>
      <c r="G630" s="2541"/>
      <c r="H630" s="2541"/>
      <c r="I630" s="2541"/>
      <c r="J630" s="2541"/>
      <c r="K630" s="2541"/>
      <c r="L630" s="2541"/>
      <c r="M630" s="2541"/>
      <c r="N630" s="2541"/>
      <c r="O630" s="2541"/>
      <c r="P630" s="2541"/>
      <c r="Q630" s="2541"/>
      <c r="R630" s="2541"/>
      <c r="S630" s="2541"/>
      <c r="T630" s="2541"/>
      <c r="U630" s="2541"/>
      <c r="V630" s="2541"/>
      <c r="W630" s="2541"/>
      <c r="X630" s="2541"/>
      <c r="Y630" s="2541"/>
      <c r="Z630" s="2541"/>
      <c r="AA630" s="2541"/>
      <c r="AB630" s="2541"/>
      <c r="AC630" s="2541"/>
      <c r="AD630" s="2541"/>
      <c r="AE630" s="536"/>
      <c r="AF630" s="536"/>
      <c r="AG630" s="536"/>
      <c r="AH630" s="536"/>
      <c r="AI630" s="536"/>
      <c r="AJ630" s="536"/>
      <c r="AK630" s="536"/>
      <c r="AL630" s="536"/>
      <c r="AN630" s="597"/>
    </row>
    <row r="631" spans="1:42" s="550" customFormat="1" ht="12.75" customHeight="1">
      <c r="A631" s="637"/>
      <c r="B631" s="616"/>
      <c r="C631" s="940"/>
      <c r="D631" s="663"/>
      <c r="E631" s="2541"/>
      <c r="F631" s="2541"/>
      <c r="G631" s="2541"/>
      <c r="H631" s="2541"/>
      <c r="I631" s="2541"/>
      <c r="J631" s="2541"/>
      <c r="K631" s="2541"/>
      <c r="L631" s="2541"/>
      <c r="M631" s="2541"/>
      <c r="N631" s="2541"/>
      <c r="O631" s="2541"/>
      <c r="P631" s="2541"/>
      <c r="Q631" s="2541"/>
      <c r="R631" s="2541"/>
      <c r="S631" s="2541"/>
      <c r="T631" s="2541"/>
      <c r="U631" s="2541"/>
      <c r="V631" s="2541"/>
      <c r="W631" s="2541"/>
      <c r="X631" s="2541"/>
      <c r="Y631" s="2541"/>
      <c r="Z631" s="2541"/>
      <c r="AA631" s="2541"/>
      <c r="AB631" s="2541"/>
      <c r="AC631" s="2541"/>
      <c r="AD631" s="2541"/>
      <c r="AE631" s="616"/>
      <c r="AF631" s="616"/>
      <c r="AG631" s="616"/>
      <c r="AH631" s="616"/>
      <c r="AI631" s="616"/>
      <c r="AJ631" s="616"/>
      <c r="AK631" s="536"/>
      <c r="AL631" s="536"/>
      <c r="AN631" s="597"/>
    </row>
    <row r="632" spans="1:42" s="550" customFormat="1" ht="12.75" customHeight="1">
      <c r="B632" s="616"/>
      <c r="C632" s="940"/>
      <c r="D632" s="663"/>
      <c r="E632" s="2541"/>
      <c r="F632" s="2541"/>
      <c r="G632" s="2541"/>
      <c r="H632" s="2541"/>
      <c r="I632" s="2541"/>
      <c r="J632" s="2541"/>
      <c r="K632" s="2541"/>
      <c r="L632" s="2541"/>
      <c r="M632" s="2541"/>
      <c r="N632" s="2541"/>
      <c r="O632" s="2541"/>
      <c r="P632" s="2541"/>
      <c r="Q632" s="2541"/>
      <c r="R632" s="2541"/>
      <c r="S632" s="2541"/>
      <c r="T632" s="2541"/>
      <c r="U632" s="2541"/>
      <c r="V632" s="2541"/>
      <c r="W632" s="2541"/>
      <c r="X632" s="2541"/>
      <c r="Y632" s="2541"/>
      <c r="Z632" s="2541"/>
      <c r="AA632" s="2541"/>
      <c r="AB632" s="2541"/>
      <c r="AC632" s="2541"/>
      <c r="AD632" s="254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86" t="s">
        <v>591</v>
      </c>
      <c r="Y634" s="248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8" t="s">
        <v>1408</v>
      </c>
      <c r="AG636" s="2458"/>
      <c r="AH636" s="2458"/>
      <c r="AI636" s="2458"/>
      <c r="AJ636" s="2458"/>
      <c r="AK636" s="2458"/>
      <c r="AL636" s="245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42" t="s">
        <v>509</v>
      </c>
      <c r="I638" s="254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93">
        <f>VLOOKUP($H$638,$AO$605:$AP$607,2,FALSE)</f>
        <v>2</v>
      </c>
      <c r="AK640" s="249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13" t="s">
        <v>2097</v>
      </c>
      <c r="F644" s="2513"/>
      <c r="G644" s="2513"/>
      <c r="H644" s="2513"/>
      <c r="I644" s="2513"/>
      <c r="J644" s="2513"/>
      <c r="K644" s="2513"/>
      <c r="L644" s="2513"/>
      <c r="M644" s="2513"/>
      <c r="N644" s="2513"/>
      <c r="O644" s="2513"/>
      <c r="P644" s="2513"/>
      <c r="Q644" s="2513"/>
      <c r="R644" s="2513"/>
      <c r="S644" s="2513"/>
      <c r="T644" s="2513"/>
      <c r="U644" s="2513"/>
      <c r="V644" s="2513"/>
      <c r="W644" s="2513"/>
      <c r="X644" s="2513"/>
      <c r="Y644" s="2513"/>
      <c r="Z644" s="2513"/>
      <c r="AA644" s="2513"/>
      <c r="AB644" s="2513"/>
      <c r="AC644" s="2513"/>
      <c r="AD644" s="2513"/>
      <c r="AE644" s="536"/>
      <c r="AF644" s="2458" t="s">
        <v>1352</v>
      </c>
      <c r="AG644" s="2458"/>
      <c r="AH644" s="2458"/>
      <c r="AI644" s="2458"/>
      <c r="AJ644" s="2458"/>
      <c r="AK644" s="2458"/>
      <c r="AL644" s="2458"/>
      <c r="AN644" s="597"/>
    </row>
    <row r="645" spans="1:42" s="550" customFormat="1" ht="12.75" customHeight="1">
      <c r="B645" s="536"/>
      <c r="C645" s="536"/>
      <c r="D645" s="663"/>
      <c r="E645" s="2513"/>
      <c r="F645" s="2513"/>
      <c r="G645" s="2513"/>
      <c r="H645" s="2513"/>
      <c r="I645" s="2513"/>
      <c r="J645" s="2513"/>
      <c r="K645" s="2513"/>
      <c r="L645" s="2513"/>
      <c r="M645" s="2513"/>
      <c r="N645" s="2513"/>
      <c r="O645" s="2513"/>
      <c r="P645" s="2513"/>
      <c r="Q645" s="2513"/>
      <c r="R645" s="2513"/>
      <c r="S645" s="2513"/>
      <c r="T645" s="2513"/>
      <c r="U645" s="2513"/>
      <c r="V645" s="2513"/>
      <c r="W645" s="2513"/>
      <c r="X645" s="2513"/>
      <c r="Y645" s="2513"/>
      <c r="Z645" s="2513"/>
      <c r="AA645" s="2513"/>
      <c r="AB645" s="2513"/>
      <c r="AC645" s="2513"/>
      <c r="AD645" s="251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8" t="s">
        <v>1408</v>
      </c>
      <c r="AG647" s="2458"/>
      <c r="AH647" s="2458"/>
      <c r="AI647" s="2458"/>
      <c r="AJ647" s="2458"/>
      <c r="AK647" s="2458"/>
      <c r="AL647" s="2458"/>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42" t="s">
        <v>687</v>
      </c>
      <c r="I650" s="254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93">
        <f>VLOOKUP(H650,AT605:AU607,2,FALSE)</f>
        <v>3</v>
      </c>
      <c r="AK652" s="249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13" t="s">
        <v>1418</v>
      </c>
      <c r="F657" s="2513"/>
      <c r="G657" s="2513"/>
      <c r="H657" s="2513"/>
      <c r="I657" s="2513"/>
      <c r="J657" s="2513"/>
      <c r="K657" s="2513"/>
      <c r="L657" s="2513"/>
      <c r="M657" s="2513"/>
      <c r="N657" s="2513"/>
      <c r="O657" s="2513"/>
      <c r="P657" s="2513"/>
      <c r="Q657" s="2513"/>
      <c r="R657" s="2513"/>
      <c r="S657" s="2513"/>
      <c r="T657" s="2513"/>
      <c r="U657" s="2513"/>
      <c r="V657" s="2513"/>
      <c r="W657" s="2513"/>
      <c r="X657" s="2513"/>
      <c r="Y657" s="2513"/>
      <c r="Z657" s="2513"/>
      <c r="AA657" s="2513"/>
      <c r="AB657" s="2513"/>
      <c r="AC657" s="2513"/>
      <c r="AD657" s="536"/>
      <c r="AE657" s="536"/>
      <c r="AF657" s="2458" t="s">
        <v>1378</v>
      </c>
      <c r="AG657" s="2458"/>
      <c r="AH657" s="2458"/>
      <c r="AI657" s="2458"/>
      <c r="AJ657" s="2458"/>
      <c r="AK657" s="2458"/>
      <c r="AL657" s="2458"/>
      <c r="AN657" s="597"/>
    </row>
    <row r="658" spans="1:42" s="550" customFormat="1" ht="12.75" customHeight="1">
      <c r="B658" s="536"/>
      <c r="C658" s="539"/>
      <c r="D658" s="536"/>
      <c r="E658" s="2513"/>
      <c r="F658" s="2513"/>
      <c r="G658" s="2513"/>
      <c r="H658" s="2513"/>
      <c r="I658" s="2513"/>
      <c r="J658" s="2513"/>
      <c r="K658" s="2513"/>
      <c r="L658" s="2513"/>
      <c r="M658" s="2513"/>
      <c r="N658" s="2513"/>
      <c r="O658" s="2513"/>
      <c r="P658" s="2513"/>
      <c r="Q658" s="2513"/>
      <c r="R658" s="2513"/>
      <c r="S658" s="2513"/>
      <c r="T658" s="2513"/>
      <c r="U658" s="2513"/>
      <c r="V658" s="2513"/>
      <c r="W658" s="2513"/>
      <c r="X658" s="2513"/>
      <c r="Y658" s="2513"/>
      <c r="Z658" s="2513"/>
      <c r="AA658" s="2513"/>
      <c r="AB658" s="2513"/>
      <c r="AC658" s="2513"/>
      <c r="AD658" s="536"/>
      <c r="AE658" s="536"/>
      <c r="AF658" s="536"/>
      <c r="AG658" s="536"/>
      <c r="AH658" s="536"/>
      <c r="AI658" s="536"/>
      <c r="AJ658" s="536"/>
      <c r="AK658" s="536"/>
      <c r="AL658" s="536"/>
      <c r="AN658" s="597"/>
    </row>
    <row r="659" spans="1:42" s="550" customFormat="1" ht="12.75" customHeight="1">
      <c r="B659" s="536"/>
      <c r="C659" s="539"/>
      <c r="D659" s="663"/>
      <c r="E659" s="2513"/>
      <c r="F659" s="2513"/>
      <c r="G659" s="2513"/>
      <c r="H659" s="2513"/>
      <c r="I659" s="2513"/>
      <c r="J659" s="2513"/>
      <c r="K659" s="2513"/>
      <c r="L659" s="2513"/>
      <c r="M659" s="2513"/>
      <c r="N659" s="2513"/>
      <c r="O659" s="2513"/>
      <c r="P659" s="2513"/>
      <c r="Q659" s="2513"/>
      <c r="R659" s="2513"/>
      <c r="S659" s="2513"/>
      <c r="T659" s="2513"/>
      <c r="U659" s="2513"/>
      <c r="V659" s="2513"/>
      <c r="W659" s="2513"/>
      <c r="X659" s="2513"/>
      <c r="Y659" s="2513"/>
      <c r="Z659" s="2513"/>
      <c r="AA659" s="2513"/>
      <c r="AB659" s="2513"/>
      <c r="AC659" s="251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13" t="s">
        <v>1419</v>
      </c>
      <c r="F661" s="2513"/>
      <c r="G661" s="2513"/>
      <c r="H661" s="2513"/>
      <c r="I661" s="2513"/>
      <c r="J661" s="2513"/>
      <c r="K661" s="2513"/>
      <c r="L661" s="2513"/>
      <c r="M661" s="2513"/>
      <c r="N661" s="2513"/>
      <c r="O661" s="2513"/>
      <c r="P661" s="2513"/>
      <c r="Q661" s="2513"/>
      <c r="R661" s="2513"/>
      <c r="S661" s="2513"/>
      <c r="T661" s="2513"/>
      <c r="U661" s="2513"/>
      <c r="V661" s="2513"/>
      <c r="W661" s="2513"/>
      <c r="X661" s="2513"/>
      <c r="Y661" s="2513"/>
      <c r="Z661" s="2513"/>
      <c r="AA661" s="2513"/>
      <c r="AB661" s="2513"/>
      <c r="AC661" s="2513"/>
      <c r="AD661" s="536"/>
      <c r="AE661" s="536"/>
      <c r="AF661" s="2458" t="s">
        <v>1399</v>
      </c>
      <c r="AG661" s="2458"/>
      <c r="AH661" s="2458"/>
      <c r="AI661" s="2458"/>
      <c r="AJ661" s="2458"/>
      <c r="AK661" s="2458"/>
      <c r="AL661" s="2458"/>
      <c r="AN661" s="597"/>
    </row>
    <row r="662" spans="1:42" s="550" customFormat="1" ht="12.75" customHeight="1">
      <c r="B662" s="536"/>
      <c r="C662" s="539"/>
      <c r="D662" s="536"/>
      <c r="E662" s="2513"/>
      <c r="F662" s="2513"/>
      <c r="G662" s="2513"/>
      <c r="H662" s="2513"/>
      <c r="I662" s="2513"/>
      <c r="J662" s="2513"/>
      <c r="K662" s="2513"/>
      <c r="L662" s="2513"/>
      <c r="M662" s="2513"/>
      <c r="N662" s="2513"/>
      <c r="O662" s="2513"/>
      <c r="P662" s="2513"/>
      <c r="Q662" s="2513"/>
      <c r="R662" s="2513"/>
      <c r="S662" s="2513"/>
      <c r="T662" s="2513"/>
      <c r="U662" s="2513"/>
      <c r="V662" s="2513"/>
      <c r="W662" s="2513"/>
      <c r="X662" s="2513"/>
      <c r="Y662" s="2513"/>
      <c r="Z662" s="2513"/>
      <c r="AA662" s="2513"/>
      <c r="AB662" s="2513"/>
      <c r="AC662" s="2513"/>
      <c r="AD662" s="536"/>
      <c r="AE662" s="536"/>
      <c r="AF662" s="536"/>
      <c r="AG662" s="536"/>
      <c r="AH662" s="536"/>
      <c r="AI662" s="536"/>
      <c r="AJ662" s="536"/>
      <c r="AK662" s="536"/>
      <c r="AL662" s="536"/>
      <c r="AN662" s="597"/>
    </row>
    <row r="663" spans="1:42" s="550" customFormat="1" ht="15" customHeight="1">
      <c r="B663" s="536"/>
      <c r="C663" s="539"/>
      <c r="D663" s="663"/>
      <c r="E663" s="2513"/>
      <c r="F663" s="2513"/>
      <c r="G663" s="2513"/>
      <c r="H663" s="2513"/>
      <c r="I663" s="2513"/>
      <c r="J663" s="2513"/>
      <c r="K663" s="2513"/>
      <c r="L663" s="2513"/>
      <c r="M663" s="2513"/>
      <c r="N663" s="2513"/>
      <c r="O663" s="2513"/>
      <c r="P663" s="2513"/>
      <c r="Q663" s="2513"/>
      <c r="R663" s="2513"/>
      <c r="S663" s="2513"/>
      <c r="T663" s="2513"/>
      <c r="U663" s="2513"/>
      <c r="V663" s="2513"/>
      <c r="W663" s="2513"/>
      <c r="X663" s="2513"/>
      <c r="Y663" s="2513"/>
      <c r="Z663" s="2513"/>
      <c r="AA663" s="2513"/>
      <c r="AB663" s="2513"/>
      <c r="AC663" s="251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13" t="s">
        <v>1420</v>
      </c>
      <c r="F665" s="2513"/>
      <c r="G665" s="2513"/>
      <c r="H665" s="2513"/>
      <c r="I665" s="2513"/>
      <c r="J665" s="2513"/>
      <c r="K665" s="2513"/>
      <c r="L665" s="2513"/>
      <c r="M665" s="2513"/>
      <c r="N665" s="2513"/>
      <c r="O665" s="2513"/>
      <c r="P665" s="2513"/>
      <c r="Q665" s="2513"/>
      <c r="R665" s="2513"/>
      <c r="S665" s="2513"/>
      <c r="T665" s="2513"/>
      <c r="U665" s="2513"/>
      <c r="V665" s="2513"/>
      <c r="W665" s="2513"/>
      <c r="X665" s="2513"/>
      <c r="Y665" s="2513"/>
      <c r="Z665" s="2513"/>
      <c r="AA665" s="2513"/>
      <c r="AB665" s="2513"/>
      <c r="AC665" s="2513"/>
      <c r="AD665" s="536"/>
      <c r="AE665" s="536"/>
      <c r="AF665" s="2458" t="s">
        <v>1352</v>
      </c>
      <c r="AG665" s="2458"/>
      <c r="AH665" s="2458"/>
      <c r="AI665" s="2458"/>
      <c r="AJ665" s="2458"/>
      <c r="AK665" s="2458"/>
      <c r="AL665" s="2458"/>
      <c r="AN665" s="597"/>
    </row>
    <row r="666" spans="1:42" s="550" customFormat="1" ht="12.75" customHeight="1">
      <c r="B666" s="536"/>
      <c r="C666" s="931"/>
      <c r="D666" s="536"/>
      <c r="E666" s="2513"/>
      <c r="F666" s="2513"/>
      <c r="G666" s="2513"/>
      <c r="H666" s="2513"/>
      <c r="I666" s="2513"/>
      <c r="J666" s="2513"/>
      <c r="K666" s="2513"/>
      <c r="L666" s="2513"/>
      <c r="M666" s="2513"/>
      <c r="N666" s="2513"/>
      <c r="O666" s="2513"/>
      <c r="P666" s="2513"/>
      <c r="Q666" s="2513"/>
      <c r="R666" s="2513"/>
      <c r="S666" s="2513"/>
      <c r="T666" s="2513"/>
      <c r="U666" s="2513"/>
      <c r="V666" s="2513"/>
      <c r="W666" s="2513"/>
      <c r="X666" s="2513"/>
      <c r="Y666" s="2513"/>
      <c r="Z666" s="2513"/>
      <c r="AA666" s="2513"/>
      <c r="AB666" s="2513"/>
      <c r="AC666" s="2513"/>
      <c r="AD666" s="536"/>
      <c r="AE666" s="2458"/>
      <c r="AF666" s="2458"/>
      <c r="AG666" s="2458"/>
      <c r="AH666" s="2458"/>
      <c r="AI666" s="2458"/>
      <c r="AJ666" s="2458"/>
      <c r="AK666" s="2458"/>
      <c r="AL666" s="594"/>
      <c r="AN666" s="597"/>
      <c r="AO666" s="550" t="s">
        <v>591</v>
      </c>
      <c r="AP666" s="673">
        <v>0</v>
      </c>
    </row>
    <row r="667" spans="1:42" s="550" customFormat="1" ht="12.75" customHeight="1">
      <c r="A667" s="679"/>
      <c r="B667" s="536"/>
      <c r="C667" s="536"/>
      <c r="D667" s="663"/>
      <c r="E667" s="2513"/>
      <c r="F667" s="2513"/>
      <c r="G667" s="2513"/>
      <c r="H667" s="2513"/>
      <c r="I667" s="2513"/>
      <c r="J667" s="2513"/>
      <c r="K667" s="2513"/>
      <c r="L667" s="2513"/>
      <c r="M667" s="2513"/>
      <c r="N667" s="2513"/>
      <c r="O667" s="2513"/>
      <c r="P667" s="2513"/>
      <c r="Q667" s="2513"/>
      <c r="R667" s="2513"/>
      <c r="S667" s="2513"/>
      <c r="T667" s="2513"/>
      <c r="U667" s="2513"/>
      <c r="V667" s="2513"/>
      <c r="W667" s="2513"/>
      <c r="X667" s="2513"/>
      <c r="Y667" s="2513"/>
      <c r="Z667" s="2513"/>
      <c r="AA667" s="2513"/>
      <c r="AB667" s="2513"/>
      <c r="AC667" s="2513"/>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13" t="s">
        <v>1421</v>
      </c>
      <c r="F669" s="2513"/>
      <c r="G669" s="2513"/>
      <c r="H669" s="2513"/>
      <c r="I669" s="2513"/>
      <c r="J669" s="2513"/>
      <c r="K669" s="2513"/>
      <c r="L669" s="2513"/>
      <c r="M669" s="2513"/>
      <c r="N669" s="2513"/>
      <c r="O669" s="2513"/>
      <c r="P669" s="2513"/>
      <c r="Q669" s="2513"/>
      <c r="R669" s="2513"/>
      <c r="S669" s="2513"/>
      <c r="T669" s="2513"/>
      <c r="U669" s="2513"/>
      <c r="V669" s="2513"/>
      <c r="W669" s="2513"/>
      <c r="X669" s="2513"/>
      <c r="Y669" s="2513"/>
      <c r="Z669" s="2513"/>
      <c r="AA669" s="2513"/>
      <c r="AB669" s="2513"/>
      <c r="AC669" s="2513"/>
      <c r="AD669" s="536"/>
      <c r="AE669" s="536"/>
      <c r="AF669" s="2458" t="s">
        <v>1399</v>
      </c>
      <c r="AG669" s="2458"/>
      <c r="AH669" s="2458"/>
      <c r="AI669" s="2458"/>
      <c r="AJ669" s="2458"/>
      <c r="AK669" s="2458"/>
      <c r="AL669" s="2458"/>
      <c r="AN669" s="597"/>
    </row>
    <row r="670" spans="1:42" s="550" customFormat="1" ht="12.75" customHeight="1">
      <c r="A670" s="670"/>
      <c r="B670" s="536"/>
      <c r="C670" s="947"/>
      <c r="D670" s="663"/>
      <c r="E670" s="2513"/>
      <c r="F670" s="2513"/>
      <c r="G670" s="2513"/>
      <c r="H670" s="2513"/>
      <c r="I670" s="2513"/>
      <c r="J670" s="2513"/>
      <c r="K670" s="2513"/>
      <c r="L670" s="2513"/>
      <c r="M670" s="2513"/>
      <c r="N670" s="2513"/>
      <c r="O670" s="2513"/>
      <c r="P670" s="2513"/>
      <c r="Q670" s="2513"/>
      <c r="R670" s="2513"/>
      <c r="S670" s="2513"/>
      <c r="T670" s="2513"/>
      <c r="U670" s="2513"/>
      <c r="V670" s="2513"/>
      <c r="W670" s="2513"/>
      <c r="X670" s="2513"/>
      <c r="Y670" s="2513"/>
      <c r="Z670" s="2513"/>
      <c r="AA670" s="2513"/>
      <c r="AB670" s="2513"/>
      <c r="AC670" s="251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13"/>
      <c r="F671" s="2513"/>
      <c r="G671" s="2513"/>
      <c r="H671" s="2513"/>
      <c r="I671" s="2513"/>
      <c r="J671" s="2513"/>
      <c r="K671" s="2513"/>
      <c r="L671" s="2513"/>
      <c r="M671" s="2513"/>
      <c r="N671" s="2513"/>
      <c r="O671" s="2513"/>
      <c r="P671" s="2513"/>
      <c r="Q671" s="2513"/>
      <c r="R671" s="2513"/>
      <c r="S671" s="2513"/>
      <c r="T671" s="2513"/>
      <c r="U671" s="2513"/>
      <c r="V671" s="2513"/>
      <c r="W671" s="2513"/>
      <c r="X671" s="2513"/>
      <c r="Y671" s="2513"/>
      <c r="Z671" s="2513"/>
      <c r="AA671" s="2513"/>
      <c r="AB671" s="2513"/>
      <c r="AC671" s="251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13" t="s">
        <v>1422</v>
      </c>
      <c r="F673" s="2513"/>
      <c r="G673" s="2513"/>
      <c r="H673" s="2513"/>
      <c r="I673" s="2513"/>
      <c r="J673" s="2513"/>
      <c r="K673" s="2513"/>
      <c r="L673" s="2513"/>
      <c r="M673" s="2513"/>
      <c r="N673" s="2513"/>
      <c r="O673" s="2513"/>
      <c r="P673" s="2513"/>
      <c r="Q673" s="2513"/>
      <c r="R673" s="2513"/>
      <c r="S673" s="2513"/>
      <c r="T673" s="2513"/>
      <c r="U673" s="2513"/>
      <c r="V673" s="2513"/>
      <c r="W673" s="2513"/>
      <c r="X673" s="2513"/>
      <c r="Y673" s="2513"/>
      <c r="Z673" s="2513"/>
      <c r="AA673" s="2513"/>
      <c r="AB673" s="2513"/>
      <c r="AC673" s="2513"/>
      <c r="AD673" s="536"/>
      <c r="AE673" s="536"/>
      <c r="AF673" s="2458" t="s">
        <v>1352</v>
      </c>
      <c r="AG673" s="2458"/>
      <c r="AH673" s="2458"/>
      <c r="AI673" s="2458"/>
      <c r="AJ673" s="2458"/>
      <c r="AK673" s="2458"/>
      <c r="AL673" s="2458"/>
      <c r="AM673" s="596"/>
      <c r="AN673" s="597"/>
    </row>
    <row r="674" spans="1:42" s="550" customFormat="1" ht="12.75" customHeight="1">
      <c r="B674" s="536"/>
      <c r="C674" s="931"/>
      <c r="D674" s="663"/>
      <c r="E674" s="2513"/>
      <c r="F674" s="2513"/>
      <c r="G674" s="2513"/>
      <c r="H674" s="2513"/>
      <c r="I674" s="2513"/>
      <c r="J674" s="2513"/>
      <c r="K674" s="2513"/>
      <c r="L674" s="2513"/>
      <c r="M674" s="2513"/>
      <c r="N674" s="2513"/>
      <c r="O674" s="2513"/>
      <c r="P674" s="2513"/>
      <c r="Q674" s="2513"/>
      <c r="R674" s="2513"/>
      <c r="S674" s="2513"/>
      <c r="T674" s="2513"/>
      <c r="U674" s="2513"/>
      <c r="V674" s="2513"/>
      <c r="W674" s="2513"/>
      <c r="X674" s="2513"/>
      <c r="Y674" s="2513"/>
      <c r="Z674" s="2513"/>
      <c r="AA674" s="2513"/>
      <c r="AB674" s="2513"/>
      <c r="AC674" s="2513"/>
      <c r="AD674" s="536"/>
      <c r="AE674" s="536"/>
      <c r="AF674" s="536"/>
      <c r="AG674" s="536"/>
      <c r="AH674" s="536"/>
      <c r="AI674" s="536"/>
      <c r="AJ674" s="536"/>
      <c r="AK674" s="536"/>
      <c r="AL674" s="536"/>
      <c r="AM674" s="596"/>
      <c r="AN674" s="597"/>
    </row>
    <row r="675" spans="1:42" s="550" customFormat="1" ht="12.75" customHeight="1">
      <c r="B675" s="536"/>
      <c r="C675" s="931"/>
      <c r="D675" s="663"/>
      <c r="E675" s="2513"/>
      <c r="F675" s="2513"/>
      <c r="G675" s="2513"/>
      <c r="H675" s="2513"/>
      <c r="I675" s="2513"/>
      <c r="J675" s="2513"/>
      <c r="K675" s="2513"/>
      <c r="L675" s="2513"/>
      <c r="M675" s="2513"/>
      <c r="N675" s="2513"/>
      <c r="O675" s="2513"/>
      <c r="P675" s="2513"/>
      <c r="Q675" s="2513"/>
      <c r="R675" s="2513"/>
      <c r="S675" s="2513"/>
      <c r="T675" s="2513"/>
      <c r="U675" s="2513"/>
      <c r="V675" s="2513"/>
      <c r="W675" s="2513"/>
      <c r="X675" s="2513"/>
      <c r="Y675" s="2513"/>
      <c r="Z675" s="2513"/>
      <c r="AA675" s="2513"/>
      <c r="AB675" s="2513"/>
      <c r="AC675" s="251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13" t="s">
        <v>1423</v>
      </c>
      <c r="F677" s="2513"/>
      <c r="G677" s="2513"/>
      <c r="H677" s="2513"/>
      <c r="I677" s="2513"/>
      <c r="J677" s="2513"/>
      <c r="K677" s="2513"/>
      <c r="L677" s="2513"/>
      <c r="M677" s="2513"/>
      <c r="N677" s="2513"/>
      <c r="O677" s="2513"/>
      <c r="P677" s="2513"/>
      <c r="Q677" s="2513"/>
      <c r="R677" s="2513"/>
      <c r="S677" s="2513"/>
      <c r="T677" s="2513"/>
      <c r="U677" s="2513"/>
      <c r="V677" s="2513"/>
      <c r="W677" s="2513"/>
      <c r="X677" s="2513"/>
      <c r="Y677" s="2513"/>
      <c r="Z677" s="2513"/>
      <c r="AA677" s="2513"/>
      <c r="AB677" s="2513"/>
      <c r="AC677" s="2513"/>
      <c r="AD677" s="536"/>
      <c r="AE677" s="536"/>
      <c r="AF677" s="2458" t="s">
        <v>1408</v>
      </c>
      <c r="AG677" s="2458"/>
      <c r="AH677" s="2458"/>
      <c r="AI677" s="2458"/>
      <c r="AJ677" s="2458"/>
      <c r="AK677" s="2458"/>
      <c r="AL677" s="2458"/>
      <c r="AM677" s="596"/>
      <c r="AN677" s="597"/>
    </row>
    <row r="678" spans="1:42" s="550" customFormat="1" ht="12.75" customHeight="1">
      <c r="A678" s="679"/>
      <c r="B678" s="536"/>
      <c r="C678" s="931"/>
      <c r="D678" s="663"/>
      <c r="E678" s="2513"/>
      <c r="F678" s="2513"/>
      <c r="G678" s="2513"/>
      <c r="H678" s="2513"/>
      <c r="I678" s="2513"/>
      <c r="J678" s="2513"/>
      <c r="K678" s="2513"/>
      <c r="L678" s="2513"/>
      <c r="M678" s="2513"/>
      <c r="N678" s="2513"/>
      <c r="O678" s="2513"/>
      <c r="P678" s="2513"/>
      <c r="Q678" s="2513"/>
      <c r="R678" s="2513"/>
      <c r="S678" s="2513"/>
      <c r="T678" s="2513"/>
      <c r="U678" s="2513"/>
      <c r="V678" s="2513"/>
      <c r="W678" s="2513"/>
      <c r="X678" s="2513"/>
      <c r="Y678" s="2513"/>
      <c r="Z678" s="2513"/>
      <c r="AA678" s="2513"/>
      <c r="AB678" s="2513"/>
      <c r="AC678" s="251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13"/>
      <c r="F679" s="2513"/>
      <c r="G679" s="2513"/>
      <c r="H679" s="2513"/>
      <c r="I679" s="2513"/>
      <c r="J679" s="2513"/>
      <c r="K679" s="2513"/>
      <c r="L679" s="2513"/>
      <c r="M679" s="2513"/>
      <c r="N679" s="2513"/>
      <c r="O679" s="2513"/>
      <c r="P679" s="2513"/>
      <c r="Q679" s="2513"/>
      <c r="R679" s="2513"/>
      <c r="S679" s="2513"/>
      <c r="T679" s="2513"/>
      <c r="U679" s="2513"/>
      <c r="V679" s="2513"/>
      <c r="W679" s="2513"/>
      <c r="X679" s="2513"/>
      <c r="Y679" s="2513"/>
      <c r="Z679" s="2513"/>
      <c r="AA679" s="2513"/>
      <c r="AB679" s="2513"/>
      <c r="AC679" s="251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13" t="s">
        <v>1424</v>
      </c>
      <c r="F681" s="2513"/>
      <c r="G681" s="2513"/>
      <c r="H681" s="2513"/>
      <c r="I681" s="2513"/>
      <c r="J681" s="2513"/>
      <c r="K681" s="2513"/>
      <c r="L681" s="2513"/>
      <c r="M681" s="2513"/>
      <c r="N681" s="2513"/>
      <c r="O681" s="2513"/>
      <c r="P681" s="2513"/>
      <c r="Q681" s="2513"/>
      <c r="R681" s="2513"/>
      <c r="S681" s="2513"/>
      <c r="T681" s="2513"/>
      <c r="U681" s="2513"/>
      <c r="V681" s="2513"/>
      <c r="W681" s="2513"/>
      <c r="X681" s="2513"/>
      <c r="Y681" s="2513"/>
      <c r="Z681" s="2513"/>
      <c r="AA681" s="2513"/>
      <c r="AB681" s="2513"/>
      <c r="AC681" s="2513"/>
      <c r="AD681" s="536"/>
      <c r="AE681" s="536"/>
      <c r="AF681" s="2458" t="s">
        <v>1425</v>
      </c>
      <c r="AG681" s="2458"/>
      <c r="AH681" s="2458"/>
      <c r="AI681" s="2458"/>
      <c r="AJ681" s="2458"/>
      <c r="AK681" s="2458"/>
      <c r="AL681" s="2458"/>
      <c r="AM681" s="596"/>
      <c r="AN681" s="597"/>
      <c r="AO681" s="611" t="s">
        <v>687</v>
      </c>
      <c r="AP681" s="550">
        <v>3</v>
      </c>
    </row>
    <row r="682" spans="1:42" s="550" customFormat="1" ht="12.75" customHeight="1">
      <c r="A682" s="679"/>
      <c r="B682" s="536"/>
      <c r="C682" s="931"/>
      <c r="D682" s="663"/>
      <c r="E682" s="2513"/>
      <c r="F682" s="2513"/>
      <c r="G682" s="2513"/>
      <c r="H682" s="2513"/>
      <c r="I682" s="2513"/>
      <c r="J682" s="2513"/>
      <c r="K682" s="2513"/>
      <c r="L682" s="2513"/>
      <c r="M682" s="2513"/>
      <c r="N682" s="2513"/>
      <c r="O682" s="2513"/>
      <c r="P682" s="2513"/>
      <c r="Q682" s="2513"/>
      <c r="R682" s="2513"/>
      <c r="S682" s="2513"/>
      <c r="T682" s="2513"/>
      <c r="U682" s="2513"/>
      <c r="V682" s="2513"/>
      <c r="W682" s="2513"/>
      <c r="X682" s="2513"/>
      <c r="Y682" s="2513"/>
      <c r="Z682" s="2513"/>
      <c r="AA682" s="2513"/>
      <c r="AB682" s="2513"/>
      <c r="AC682" s="2513"/>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13"/>
      <c r="F683" s="2513"/>
      <c r="G683" s="2513"/>
      <c r="H683" s="2513"/>
      <c r="I683" s="2513"/>
      <c r="J683" s="2513"/>
      <c r="K683" s="2513"/>
      <c r="L683" s="2513"/>
      <c r="M683" s="2513"/>
      <c r="N683" s="2513"/>
      <c r="O683" s="2513"/>
      <c r="P683" s="2513"/>
      <c r="Q683" s="2513"/>
      <c r="R683" s="2513"/>
      <c r="S683" s="2513"/>
      <c r="T683" s="2513"/>
      <c r="U683" s="2513"/>
      <c r="V683" s="2513"/>
      <c r="W683" s="2513"/>
      <c r="X683" s="2513"/>
      <c r="Y683" s="2513"/>
      <c r="Z683" s="2513"/>
      <c r="AA683" s="2513"/>
      <c r="AB683" s="2513"/>
      <c r="AC683" s="251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42" t="s">
        <v>509</v>
      </c>
      <c r="I685" s="254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93">
        <f>VLOOKUP($H$685,$AO$633:$AP$640,2,FALSE)</f>
        <v>4</v>
      </c>
      <c r="AK687" s="249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44</v>
      </c>
    </row>
    <row r="691" spans="1:51" s="550" customFormat="1" ht="12.75" customHeight="1">
      <c r="A691" s="679"/>
      <c r="B691" s="536"/>
      <c r="C691" s="948"/>
      <c r="D691" s="663" t="s">
        <v>687</v>
      </c>
      <c r="E691" s="2549" t="s">
        <v>2189</v>
      </c>
      <c r="F691" s="2549"/>
      <c r="G691" s="2549"/>
      <c r="H691" s="2549"/>
      <c r="I691" s="2549"/>
      <c r="J691" s="2549"/>
      <c r="K691" s="2549"/>
      <c r="L691" s="2549"/>
      <c r="M691" s="2549"/>
      <c r="N691" s="2549"/>
      <c r="O691" s="2549"/>
      <c r="P691" s="2549"/>
      <c r="Q691" s="2549"/>
      <c r="R691" s="2549"/>
      <c r="S691" s="2549"/>
      <c r="T691" s="2549"/>
      <c r="U691" s="2549"/>
      <c r="V691" s="2549"/>
      <c r="W691" s="2549"/>
      <c r="X691" s="2549"/>
      <c r="Y691" s="2549"/>
      <c r="Z691" s="2549"/>
      <c r="AA691" s="2549"/>
      <c r="AB691" s="2549"/>
      <c r="AC691" s="536"/>
      <c r="AD691" s="536"/>
      <c r="AE691" s="536"/>
      <c r="AF691" s="2458" t="s">
        <v>1352</v>
      </c>
      <c r="AG691" s="2458"/>
      <c r="AH691" s="2458"/>
      <c r="AI691" s="2458"/>
      <c r="AJ691" s="2458"/>
      <c r="AK691" s="2458"/>
      <c r="AL691" s="2458"/>
      <c r="AN691" s="597"/>
      <c r="AW691" s="22" t="s">
        <v>2184</v>
      </c>
      <c r="AX691" s="550">
        <f>Application!DE753</f>
        <v>17</v>
      </c>
    </row>
    <row r="692" spans="1:51" s="550" customFormat="1" ht="12.75" customHeight="1">
      <c r="A692" s="679"/>
      <c r="B692" s="536"/>
      <c r="C692" s="948"/>
      <c r="D692" s="663"/>
      <c r="E692" s="2549"/>
      <c r="F692" s="2549"/>
      <c r="G692" s="2549"/>
      <c r="H692" s="2549"/>
      <c r="I692" s="2549"/>
      <c r="J692" s="2549"/>
      <c r="K692" s="2549"/>
      <c r="L692" s="2549"/>
      <c r="M692" s="2549"/>
      <c r="N692" s="2549"/>
      <c r="O692" s="2549"/>
      <c r="P692" s="2549"/>
      <c r="Q692" s="2549"/>
      <c r="R692" s="2549"/>
      <c r="S692" s="2549"/>
      <c r="T692" s="2549"/>
      <c r="U692" s="2549"/>
      <c r="V692" s="2549"/>
      <c r="W692" s="2549"/>
      <c r="X692" s="2549"/>
      <c r="Y692" s="2549"/>
      <c r="Z692" s="2549"/>
      <c r="AA692" s="2549"/>
      <c r="AB692" s="254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13" t="s">
        <v>2133</v>
      </c>
      <c r="F694" s="2513"/>
      <c r="G694" s="2513"/>
      <c r="H694" s="2513"/>
      <c r="I694" s="2513"/>
      <c r="J694" s="2513"/>
      <c r="K694" s="2513"/>
      <c r="L694" s="2513"/>
      <c r="M694" s="2513"/>
      <c r="N694" s="2513"/>
      <c r="O694" s="2513"/>
      <c r="P694" s="2513"/>
      <c r="Q694" s="2513"/>
      <c r="R694" s="2513"/>
      <c r="S694" s="2513"/>
      <c r="T694" s="2513"/>
      <c r="U694" s="2513"/>
      <c r="V694" s="2513"/>
      <c r="W694" s="2513"/>
      <c r="X694" s="2513"/>
      <c r="Y694" s="2513"/>
      <c r="Z694" s="2513"/>
      <c r="AA694" s="2513"/>
      <c r="AB694" s="2513"/>
      <c r="AC694" s="536"/>
      <c r="AD694" s="536"/>
      <c r="AE694" s="536"/>
      <c r="AF694" s="2458" t="s">
        <v>1352</v>
      </c>
      <c r="AG694" s="2458"/>
      <c r="AH694" s="2458"/>
      <c r="AI694" s="2458"/>
      <c r="AJ694" s="2458"/>
      <c r="AK694" s="2458"/>
      <c r="AL694" s="2458"/>
      <c r="AN694" s="597"/>
      <c r="AW694" s="22" t="s">
        <v>2187</v>
      </c>
      <c r="AX694" s="550">
        <f>AX691+AX692+AX693</f>
        <v>17</v>
      </c>
    </row>
    <row r="695" spans="1:51" s="550" customFormat="1" ht="12.75" customHeight="1">
      <c r="B695" s="536"/>
      <c r="C695" s="940"/>
      <c r="D695" s="663"/>
      <c r="E695" s="2513"/>
      <c r="F695" s="2513"/>
      <c r="G695" s="2513"/>
      <c r="H695" s="2513"/>
      <c r="I695" s="2513"/>
      <c r="J695" s="2513"/>
      <c r="K695" s="2513"/>
      <c r="L695" s="2513"/>
      <c r="M695" s="2513"/>
      <c r="N695" s="2513"/>
      <c r="O695" s="2513"/>
      <c r="P695" s="2513"/>
      <c r="Q695" s="2513"/>
      <c r="R695" s="2513"/>
      <c r="S695" s="2513"/>
      <c r="T695" s="2513"/>
      <c r="U695" s="2513"/>
      <c r="V695" s="2513"/>
      <c r="W695" s="2513"/>
      <c r="X695" s="2513"/>
      <c r="Y695" s="2513"/>
      <c r="Z695" s="2513"/>
      <c r="AA695" s="2513"/>
      <c r="AB695" s="2513"/>
      <c r="AC695" s="536"/>
      <c r="AD695" s="536"/>
      <c r="AE695" s="616"/>
      <c r="AF695" s="536"/>
      <c r="AG695" s="536"/>
      <c r="AH695" s="536"/>
      <c r="AI695" s="536"/>
      <c r="AJ695" s="536"/>
      <c r="AK695" s="536"/>
      <c r="AL695" s="536"/>
      <c r="AN695" s="597"/>
      <c r="AO695" s="2548" t="b">
        <f>IF(Application!D211="Special Needs",IF(AY695&gt;=0.25,TRUE,FALSE),IF(AX695&gt;=0.25,TRUE,FALSE))</f>
        <v>1</v>
      </c>
      <c r="AP695" s="2548"/>
      <c r="AW695" s="22" t="s">
        <v>2188</v>
      </c>
      <c r="AX695" s="550">
        <f>IFERROR(AX694/AX690,0)</f>
        <v>0.38636363636363635</v>
      </c>
      <c r="AY695" s="550">
        <f>IFERROR(AX694/(AX690-AX689),0)</f>
        <v>0.38636363636363635</v>
      </c>
    </row>
    <row r="696" spans="1:51" s="550" customFormat="1" ht="12.75" customHeight="1">
      <c r="B696" s="536"/>
      <c r="C696" s="940"/>
      <c r="E696" s="2513"/>
      <c r="F696" s="2513"/>
      <c r="G696" s="2513"/>
      <c r="H696" s="2513"/>
      <c r="I696" s="2513"/>
      <c r="J696" s="2513"/>
      <c r="K696" s="2513"/>
      <c r="L696" s="2513"/>
      <c r="M696" s="2513"/>
      <c r="N696" s="2513"/>
      <c r="O696" s="2513"/>
      <c r="P696" s="2513"/>
      <c r="Q696" s="2513"/>
      <c r="R696" s="2513"/>
      <c r="S696" s="2513"/>
      <c r="T696" s="2513"/>
      <c r="U696" s="2513"/>
      <c r="V696" s="2513"/>
      <c r="W696" s="2513"/>
      <c r="X696" s="2513"/>
      <c r="Y696" s="2513"/>
      <c r="Z696" s="2513"/>
      <c r="AA696" s="2513"/>
      <c r="AB696" s="2513"/>
      <c r="AC696" s="536"/>
      <c r="AD696" s="536"/>
      <c r="AE696" s="616"/>
      <c r="AF696" s="616"/>
      <c r="AG696" s="616"/>
      <c r="AH696" s="616"/>
      <c r="AI696" s="616"/>
      <c r="AJ696" s="616"/>
      <c r="AK696" s="616"/>
      <c r="AL696" s="616"/>
      <c r="AN696" s="597"/>
      <c r="AW696" s="14"/>
    </row>
    <row r="697" spans="1:51" s="550" customFormat="1" ht="28.5" customHeight="1">
      <c r="B697" s="536"/>
      <c r="C697" s="940"/>
      <c r="D697" s="536"/>
      <c r="E697" s="2513"/>
      <c r="F697" s="2513"/>
      <c r="G697" s="2513"/>
      <c r="H697" s="2513"/>
      <c r="I697" s="2513"/>
      <c r="J697" s="2513"/>
      <c r="K697" s="2513"/>
      <c r="L697" s="2513"/>
      <c r="M697" s="2513"/>
      <c r="N697" s="2513"/>
      <c r="O697" s="2513"/>
      <c r="P697" s="2513"/>
      <c r="Q697" s="2513"/>
      <c r="R697" s="2513"/>
      <c r="S697" s="2513"/>
      <c r="T697" s="2513"/>
      <c r="U697" s="2513"/>
      <c r="V697" s="2513"/>
      <c r="W697" s="2513"/>
      <c r="X697" s="2513"/>
      <c r="Y697" s="2513"/>
      <c r="Z697" s="2513"/>
      <c r="AA697" s="2513"/>
      <c r="AB697" s="2513"/>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13" t="s">
        <v>2134</v>
      </c>
      <c r="F699" s="2513"/>
      <c r="G699" s="2513"/>
      <c r="H699" s="2513"/>
      <c r="I699" s="2513"/>
      <c r="J699" s="2513"/>
      <c r="K699" s="2513"/>
      <c r="L699" s="2513"/>
      <c r="M699" s="2513"/>
      <c r="N699" s="2513"/>
      <c r="O699" s="2513"/>
      <c r="P699" s="2513"/>
      <c r="Q699" s="2513"/>
      <c r="R699" s="2513"/>
      <c r="S699" s="2513"/>
      <c r="T699" s="2513"/>
      <c r="U699" s="2513"/>
      <c r="V699" s="2513"/>
      <c r="W699" s="2513"/>
      <c r="X699" s="2513"/>
      <c r="Y699" s="2513"/>
      <c r="Z699" s="2513"/>
      <c r="AA699" s="2513"/>
      <c r="AB699" s="2513"/>
      <c r="AC699" s="536"/>
      <c r="AD699" s="536"/>
      <c r="AE699" s="536"/>
      <c r="AF699" s="2458" t="s">
        <v>1408</v>
      </c>
      <c r="AG699" s="2458"/>
      <c r="AH699" s="2458"/>
      <c r="AI699" s="2458"/>
      <c r="AJ699" s="2458"/>
      <c r="AK699" s="2458"/>
      <c r="AL699" s="2458"/>
      <c r="AN699" s="597"/>
      <c r="AO699" s="611" t="s">
        <v>509</v>
      </c>
      <c r="AP699" s="550">
        <v>1</v>
      </c>
    </row>
    <row r="700" spans="1:51" s="550" customFormat="1" ht="12" customHeight="1">
      <c r="B700" s="536"/>
      <c r="C700" s="931"/>
      <c r="E700" s="2513"/>
      <c r="F700" s="2513"/>
      <c r="G700" s="2513"/>
      <c r="H700" s="2513"/>
      <c r="I700" s="2513"/>
      <c r="J700" s="2513"/>
      <c r="K700" s="2513"/>
      <c r="L700" s="2513"/>
      <c r="M700" s="2513"/>
      <c r="N700" s="2513"/>
      <c r="O700" s="2513"/>
      <c r="P700" s="2513"/>
      <c r="Q700" s="2513"/>
      <c r="R700" s="2513"/>
      <c r="S700" s="2513"/>
      <c r="T700" s="2513"/>
      <c r="U700" s="2513"/>
      <c r="V700" s="2513"/>
      <c r="W700" s="2513"/>
      <c r="X700" s="2513"/>
      <c r="Y700" s="2513"/>
      <c r="Z700" s="2513"/>
      <c r="AA700" s="2513"/>
      <c r="AB700" s="2513"/>
      <c r="AC700" s="536"/>
      <c r="AD700" s="536"/>
      <c r="AE700" s="616"/>
      <c r="AF700" s="536"/>
      <c r="AG700" s="536"/>
      <c r="AH700" s="536"/>
      <c r="AI700" s="536"/>
      <c r="AJ700" s="536"/>
      <c r="AK700" s="536"/>
      <c r="AL700" s="536"/>
      <c r="AN700" s="597"/>
    </row>
    <row r="701" spans="1:51" s="550" customFormat="1" ht="12" customHeight="1">
      <c r="B701" s="536"/>
      <c r="C701" s="931"/>
      <c r="D701" s="536"/>
      <c r="E701" s="2513"/>
      <c r="F701" s="2513"/>
      <c r="G701" s="2513"/>
      <c r="H701" s="2513"/>
      <c r="I701" s="2513"/>
      <c r="J701" s="2513"/>
      <c r="K701" s="2513"/>
      <c r="L701" s="2513"/>
      <c r="M701" s="2513"/>
      <c r="N701" s="2513"/>
      <c r="O701" s="2513"/>
      <c r="P701" s="2513"/>
      <c r="Q701" s="2513"/>
      <c r="R701" s="2513"/>
      <c r="S701" s="2513"/>
      <c r="T701" s="2513"/>
      <c r="U701" s="2513"/>
      <c r="V701" s="2513"/>
      <c r="W701" s="2513"/>
      <c r="X701" s="2513"/>
      <c r="Y701" s="2513"/>
      <c r="Z701" s="2513"/>
      <c r="AA701" s="2513"/>
      <c r="AB701" s="2513"/>
      <c r="AC701" s="536"/>
      <c r="AD701" s="536"/>
      <c r="AE701" s="616"/>
      <c r="AF701" s="536"/>
      <c r="AG701" s="536"/>
      <c r="AH701" s="536"/>
      <c r="AI701" s="536"/>
      <c r="AJ701" s="536"/>
      <c r="AK701" s="536"/>
      <c r="AL701" s="536"/>
      <c r="AN701" s="597"/>
    </row>
    <row r="702" spans="1:51" s="550" customFormat="1" ht="12" customHeight="1">
      <c r="B702" s="536"/>
      <c r="C702" s="931"/>
      <c r="D702" s="536"/>
      <c r="E702" s="2513"/>
      <c r="F702" s="2513"/>
      <c r="G702" s="2513"/>
      <c r="H702" s="2513"/>
      <c r="I702" s="2513"/>
      <c r="J702" s="2513"/>
      <c r="K702" s="2513"/>
      <c r="L702" s="2513"/>
      <c r="M702" s="2513"/>
      <c r="N702" s="2513"/>
      <c r="O702" s="2513"/>
      <c r="P702" s="2513"/>
      <c r="Q702" s="2513"/>
      <c r="R702" s="2513"/>
      <c r="S702" s="2513"/>
      <c r="T702" s="2513"/>
      <c r="U702" s="2513"/>
      <c r="V702" s="2513"/>
      <c r="W702" s="2513"/>
      <c r="X702" s="2513"/>
      <c r="Y702" s="2513"/>
      <c r="Z702" s="2513"/>
      <c r="AA702" s="2513"/>
      <c r="AB702" s="2513"/>
      <c r="AC702" s="536"/>
      <c r="AD702" s="536"/>
      <c r="AE702" s="616"/>
      <c r="AF702" s="536"/>
      <c r="AG702" s="536"/>
      <c r="AH702" s="536"/>
      <c r="AI702" s="536"/>
      <c r="AJ702" s="536"/>
      <c r="AK702" s="536"/>
      <c r="AL702" s="536"/>
      <c r="AN702" s="597"/>
    </row>
    <row r="703" spans="1:51" s="570" customFormat="1" ht="13" customHeight="1">
      <c r="A703" s="550"/>
      <c r="B703" s="536"/>
      <c r="C703" s="931"/>
      <c r="D703" s="536"/>
      <c r="E703" s="2513"/>
      <c r="F703" s="2513"/>
      <c r="G703" s="2513"/>
      <c r="H703" s="2513"/>
      <c r="I703" s="2513"/>
      <c r="J703" s="2513"/>
      <c r="K703" s="2513"/>
      <c r="L703" s="2513"/>
      <c r="M703" s="2513"/>
      <c r="N703" s="2513"/>
      <c r="O703" s="2513"/>
      <c r="P703" s="2513"/>
      <c r="Q703" s="2513"/>
      <c r="R703" s="2513"/>
      <c r="S703" s="2513"/>
      <c r="T703" s="2513"/>
      <c r="U703" s="2513"/>
      <c r="V703" s="2513"/>
      <c r="W703" s="2513"/>
      <c r="X703" s="2513"/>
      <c r="Y703" s="2513"/>
      <c r="Z703" s="2513"/>
      <c r="AA703" s="2513"/>
      <c r="AB703" s="2513"/>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13" t="s">
        <v>1693</v>
      </c>
      <c r="F705" s="2513"/>
      <c r="G705" s="2513"/>
      <c r="H705" s="2513"/>
      <c r="I705" s="2513"/>
      <c r="J705" s="2513"/>
      <c r="K705" s="2513"/>
      <c r="L705" s="2513"/>
      <c r="M705" s="2513"/>
      <c r="N705" s="2513"/>
      <c r="O705" s="2513"/>
      <c r="P705" s="2513"/>
      <c r="Q705" s="2513"/>
      <c r="R705" s="2513"/>
      <c r="S705" s="2513"/>
      <c r="T705" s="2513"/>
      <c r="U705" s="2513"/>
      <c r="V705" s="2513"/>
      <c r="W705" s="2513"/>
      <c r="X705" s="2513"/>
      <c r="Y705" s="2513"/>
      <c r="Z705" s="2513"/>
      <c r="AA705" s="2513"/>
      <c r="AB705" s="2513"/>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13"/>
      <c r="F706" s="2513"/>
      <c r="G706" s="2513"/>
      <c r="H706" s="2513"/>
      <c r="I706" s="2513"/>
      <c r="J706" s="2513"/>
      <c r="K706" s="2513"/>
      <c r="L706" s="2513"/>
      <c r="M706" s="2513"/>
      <c r="N706" s="2513"/>
      <c r="O706" s="2513"/>
      <c r="P706" s="2513"/>
      <c r="Q706" s="2513"/>
      <c r="R706" s="2513"/>
      <c r="S706" s="2513"/>
      <c r="T706" s="2513"/>
      <c r="U706" s="2513"/>
      <c r="V706" s="2513"/>
      <c r="W706" s="2513"/>
      <c r="X706" s="2513"/>
      <c r="Y706" s="2513"/>
      <c r="Z706" s="2513"/>
      <c r="AA706" s="2513"/>
      <c r="AB706" s="251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13"/>
      <c r="F707" s="2513"/>
      <c r="G707" s="2513"/>
      <c r="H707" s="2513"/>
      <c r="I707" s="2513"/>
      <c r="J707" s="2513"/>
      <c r="K707" s="2513"/>
      <c r="L707" s="2513"/>
      <c r="M707" s="2513"/>
      <c r="N707" s="2513"/>
      <c r="O707" s="2513"/>
      <c r="P707" s="2513"/>
      <c r="Q707" s="2513"/>
      <c r="R707" s="2513"/>
      <c r="S707" s="2513"/>
      <c r="T707" s="2513"/>
      <c r="U707" s="2513"/>
      <c r="V707" s="2513"/>
      <c r="W707" s="2513"/>
      <c r="X707" s="2513"/>
      <c r="Y707" s="2513"/>
      <c r="Z707" s="2513"/>
      <c r="AA707" s="2513"/>
      <c r="AB707" s="251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42" t="s">
        <v>687</v>
      </c>
      <c r="I709" s="254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93">
        <f>VLOOKUP($H$709,$AO$703:$AP$706,2,FALSE)</f>
        <v>3</v>
      </c>
      <c r="AK711" s="249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50" t="s">
        <v>1695</v>
      </c>
      <c r="F715" s="2550"/>
      <c r="G715" s="2550"/>
      <c r="H715" s="2550"/>
      <c r="I715" s="2550"/>
      <c r="J715" s="2550"/>
      <c r="K715" s="2550"/>
      <c r="L715" s="2550"/>
      <c r="M715" s="2550"/>
      <c r="N715" s="2550"/>
      <c r="O715" s="2550"/>
      <c r="P715" s="2550"/>
      <c r="Q715" s="2550"/>
      <c r="R715" s="2550"/>
      <c r="S715" s="2550"/>
      <c r="T715" s="2550"/>
      <c r="U715" s="2550"/>
      <c r="V715" s="2550"/>
      <c r="W715" s="2550"/>
      <c r="X715" s="2550"/>
      <c r="Y715" s="2550"/>
      <c r="Z715" s="2550"/>
      <c r="AA715" s="2550"/>
      <c r="AB715" s="2550"/>
      <c r="AC715" s="536"/>
      <c r="AD715" s="536"/>
      <c r="AE715" s="536"/>
      <c r="AF715" s="2458" t="s">
        <v>1352</v>
      </c>
      <c r="AG715" s="2458"/>
      <c r="AH715" s="2458"/>
      <c r="AI715" s="2458"/>
      <c r="AJ715" s="2458"/>
      <c r="AK715" s="2458"/>
      <c r="AL715" s="2458"/>
      <c r="AM715" s="550"/>
      <c r="AN715" s="684"/>
      <c r="AP715" s="570" t="s">
        <v>1432</v>
      </c>
    </row>
    <row r="716" spans="1:43" s="570" customFormat="1" ht="11.75" customHeight="1">
      <c r="A716" s="550"/>
      <c r="B716" s="536"/>
      <c r="C716" s="933"/>
      <c r="D716" s="663"/>
      <c r="E716" s="2550"/>
      <c r="F716" s="2550"/>
      <c r="G716" s="2550"/>
      <c r="H716" s="2550"/>
      <c r="I716" s="2550"/>
      <c r="J716" s="2550"/>
      <c r="K716" s="2550"/>
      <c r="L716" s="2550"/>
      <c r="M716" s="2550"/>
      <c r="N716" s="2550"/>
      <c r="O716" s="2550"/>
      <c r="P716" s="2550"/>
      <c r="Q716" s="2550"/>
      <c r="R716" s="2550"/>
      <c r="S716" s="2550"/>
      <c r="T716" s="2550"/>
      <c r="U716" s="2550"/>
      <c r="V716" s="2550"/>
      <c r="W716" s="2550"/>
      <c r="X716" s="2550"/>
      <c r="Y716" s="2550"/>
      <c r="Z716" s="2550"/>
      <c r="AA716" s="2550"/>
      <c r="AB716" s="2550"/>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50"/>
      <c r="F717" s="2550"/>
      <c r="G717" s="2550"/>
      <c r="H717" s="2550"/>
      <c r="I717" s="2550"/>
      <c r="J717" s="2550"/>
      <c r="K717" s="2550"/>
      <c r="L717" s="2550"/>
      <c r="M717" s="2550"/>
      <c r="N717" s="2550"/>
      <c r="O717" s="2550"/>
      <c r="P717" s="2550"/>
      <c r="Q717" s="2550"/>
      <c r="R717" s="2550"/>
      <c r="S717" s="2550"/>
      <c r="T717" s="2550"/>
      <c r="U717" s="2550"/>
      <c r="V717" s="2550"/>
      <c r="W717" s="2550"/>
      <c r="X717" s="2550"/>
      <c r="Y717" s="2550"/>
      <c r="Z717" s="2550"/>
      <c r="AA717" s="2550"/>
      <c r="AB717" s="2550"/>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51" t="s">
        <v>1435</v>
      </c>
      <c r="F719" s="2551"/>
      <c r="G719" s="2551"/>
      <c r="H719" s="2551"/>
      <c r="I719" s="2551"/>
      <c r="J719" s="2551"/>
      <c r="K719" s="2551"/>
      <c r="L719" s="2551"/>
      <c r="M719" s="2551"/>
      <c r="N719" s="2551"/>
      <c r="O719" s="2551"/>
      <c r="P719" s="2551"/>
      <c r="Q719" s="2551"/>
      <c r="R719" s="2551"/>
      <c r="S719" s="2551"/>
      <c r="T719" s="2551"/>
      <c r="U719" s="2551"/>
      <c r="V719" s="2551"/>
      <c r="W719" s="2551"/>
      <c r="X719" s="2551"/>
      <c r="Y719" s="2551"/>
      <c r="Z719" s="2551"/>
      <c r="AA719" s="2551"/>
      <c r="AB719" s="2551"/>
      <c r="AC719" s="536"/>
      <c r="AD719" s="536"/>
      <c r="AE719" s="536"/>
      <c r="AF719" s="2458" t="s">
        <v>1408</v>
      </c>
      <c r="AG719" s="2458"/>
      <c r="AH719" s="2458"/>
      <c r="AI719" s="2458"/>
      <c r="AJ719" s="2458"/>
      <c r="AK719" s="2458"/>
      <c r="AL719" s="2458"/>
      <c r="AM719" s="550"/>
      <c r="AN719" s="685"/>
    </row>
    <row r="720" spans="1:43" s="570" customFormat="1" ht="12.75" customHeight="1">
      <c r="A720" s="550"/>
      <c r="B720" s="536"/>
      <c r="C720" s="933"/>
      <c r="D720" s="536"/>
      <c r="E720" s="2551"/>
      <c r="F720" s="2551"/>
      <c r="G720" s="2551"/>
      <c r="H720" s="2551"/>
      <c r="I720" s="2551"/>
      <c r="J720" s="2551"/>
      <c r="K720" s="2551"/>
      <c r="L720" s="2551"/>
      <c r="M720" s="2551"/>
      <c r="N720" s="2551"/>
      <c r="O720" s="2551"/>
      <c r="P720" s="2551"/>
      <c r="Q720" s="2551"/>
      <c r="R720" s="2551"/>
      <c r="S720" s="2551"/>
      <c r="T720" s="2551"/>
      <c r="U720" s="2551"/>
      <c r="V720" s="2551"/>
      <c r="W720" s="2551"/>
      <c r="X720" s="2551"/>
      <c r="Y720" s="2551"/>
      <c r="Z720" s="2551"/>
      <c r="AA720" s="2551"/>
      <c r="AB720" s="2551"/>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51"/>
      <c r="F721" s="2551"/>
      <c r="G721" s="2551"/>
      <c r="H721" s="2551"/>
      <c r="I721" s="2551"/>
      <c r="J721" s="2551"/>
      <c r="K721" s="2551"/>
      <c r="L721" s="2551"/>
      <c r="M721" s="2551"/>
      <c r="N721" s="2551"/>
      <c r="O721" s="2551"/>
      <c r="P721" s="2551"/>
      <c r="Q721" s="2551"/>
      <c r="R721" s="2551"/>
      <c r="S721" s="2551"/>
      <c r="T721" s="2551"/>
      <c r="U721" s="2551"/>
      <c r="V721" s="2551"/>
      <c r="W721" s="2551"/>
      <c r="X721" s="2551"/>
      <c r="Y721" s="2551"/>
      <c r="Z721" s="2551"/>
      <c r="AA721" s="2551"/>
      <c r="AB721" s="2551"/>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42" t="s">
        <v>591</v>
      </c>
      <c r="I723" s="254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93">
        <f>VLOOKUP($H$723,$AP$720:$AQ$722,2,FALSE)</f>
        <v>0</v>
      </c>
      <c r="AK725" s="2495"/>
      <c r="AL725" s="595"/>
      <c r="AM725" s="550"/>
      <c r="AN725" s="684"/>
      <c r="AP725" s="2493"/>
      <c r="AQ725" s="249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513" t="s">
        <v>1696</v>
      </c>
      <c r="F729" s="2513"/>
      <c r="G729" s="2513"/>
      <c r="H729" s="2513"/>
      <c r="I729" s="2513"/>
      <c r="J729" s="2513"/>
      <c r="K729" s="2513"/>
      <c r="L729" s="2513"/>
      <c r="M729" s="2513"/>
      <c r="N729" s="2513"/>
      <c r="O729" s="2513"/>
      <c r="P729" s="2513"/>
      <c r="Q729" s="2513"/>
      <c r="R729" s="2513"/>
      <c r="S729" s="2513"/>
      <c r="T729" s="2513"/>
      <c r="U729" s="2513"/>
      <c r="V729" s="2513"/>
      <c r="W729" s="2513"/>
      <c r="X729" s="2513"/>
      <c r="Y729" s="2513"/>
      <c r="Z729" s="2513"/>
      <c r="AA729" s="2513"/>
      <c r="AB729" s="2513"/>
      <c r="AC729" s="536"/>
      <c r="AD729" s="536"/>
      <c r="AE729" s="536"/>
      <c r="AF729" s="2458" t="s">
        <v>1352</v>
      </c>
      <c r="AG729" s="2458"/>
      <c r="AH729" s="2458"/>
      <c r="AI729" s="2458"/>
      <c r="AJ729" s="2458"/>
      <c r="AK729" s="2458"/>
      <c r="AL729" s="2458"/>
      <c r="AM729" s="550"/>
      <c r="AN729" s="684"/>
      <c r="AT729" s="14"/>
      <c r="AU729" s="14"/>
      <c r="AV729" s="14"/>
      <c r="AW729" s="14"/>
      <c r="AX729" s="14"/>
      <c r="AY729" s="14"/>
      <c r="AZ729" s="14"/>
    </row>
    <row r="730" spans="1:81" s="570" customFormat="1" ht="13">
      <c r="A730" s="550"/>
      <c r="B730" s="536"/>
      <c r="C730" s="933"/>
      <c r="D730" s="663"/>
      <c r="E730" s="2513"/>
      <c r="F730" s="2513"/>
      <c r="G730" s="2513"/>
      <c r="H730" s="2513"/>
      <c r="I730" s="2513"/>
      <c r="J730" s="2513"/>
      <c r="K730" s="2513"/>
      <c r="L730" s="2513"/>
      <c r="M730" s="2513"/>
      <c r="N730" s="2513"/>
      <c r="O730" s="2513"/>
      <c r="P730" s="2513"/>
      <c r="Q730" s="2513"/>
      <c r="R730" s="2513"/>
      <c r="S730" s="2513"/>
      <c r="T730" s="2513"/>
      <c r="U730" s="2513"/>
      <c r="V730" s="2513"/>
      <c r="W730" s="2513"/>
      <c r="X730" s="2513"/>
      <c r="Y730" s="2513"/>
      <c r="Z730" s="2513"/>
      <c r="AA730" s="2513"/>
      <c r="AB730" s="251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13" t="s">
        <v>1439</v>
      </c>
      <c r="F732" s="2513"/>
      <c r="G732" s="2513"/>
      <c r="H732" s="2513"/>
      <c r="I732" s="2513"/>
      <c r="J732" s="2513"/>
      <c r="K732" s="2513"/>
      <c r="L732" s="2513"/>
      <c r="M732" s="2513"/>
      <c r="N732" s="2513"/>
      <c r="O732" s="2513"/>
      <c r="P732" s="2513"/>
      <c r="Q732" s="2513"/>
      <c r="R732" s="2513"/>
      <c r="S732" s="2513"/>
      <c r="T732" s="2513"/>
      <c r="U732" s="2513"/>
      <c r="V732" s="2513"/>
      <c r="W732" s="2513"/>
      <c r="X732" s="2513"/>
      <c r="Y732" s="2513"/>
      <c r="Z732" s="2513"/>
      <c r="AA732" s="2513"/>
      <c r="AB732" s="2513"/>
      <c r="AC732" s="536"/>
      <c r="AD732" s="536"/>
      <c r="AE732" s="536"/>
      <c r="AF732" s="2458" t="s">
        <v>1408</v>
      </c>
      <c r="AG732" s="2458"/>
      <c r="AH732" s="2458"/>
      <c r="AI732" s="2458"/>
      <c r="AJ732" s="2458"/>
      <c r="AK732" s="2458"/>
      <c r="AL732" s="2458"/>
      <c r="AM732" s="550"/>
      <c r="AN732" s="684"/>
      <c r="AT732" s="14"/>
      <c r="AU732" s="14"/>
      <c r="AV732" s="14"/>
      <c r="AW732" s="14"/>
      <c r="AX732" s="14"/>
      <c r="AY732" s="14"/>
      <c r="AZ732" s="14"/>
    </row>
    <row r="733" spans="1:81" s="570" customFormat="1" ht="13">
      <c r="A733" s="550"/>
      <c r="B733" s="536"/>
      <c r="C733" s="933"/>
      <c r="D733" s="536"/>
      <c r="E733" s="2513"/>
      <c r="F733" s="2513"/>
      <c r="G733" s="2513"/>
      <c r="H733" s="2513"/>
      <c r="I733" s="2513"/>
      <c r="J733" s="2513"/>
      <c r="K733" s="2513"/>
      <c r="L733" s="2513"/>
      <c r="M733" s="2513"/>
      <c r="N733" s="2513"/>
      <c r="O733" s="2513"/>
      <c r="P733" s="2513"/>
      <c r="Q733" s="2513"/>
      <c r="R733" s="2513"/>
      <c r="S733" s="2513"/>
      <c r="T733" s="2513"/>
      <c r="U733" s="2513"/>
      <c r="V733" s="2513"/>
      <c r="W733" s="2513"/>
      <c r="X733" s="2513"/>
      <c r="Y733" s="2513"/>
      <c r="Z733" s="2513"/>
      <c r="AA733" s="2513"/>
      <c r="AB733" s="251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42" t="s">
        <v>591</v>
      </c>
      <c r="I735" s="254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93">
        <f>VLOOKUP($H$735,$AO$666:$AP$668,2,FALSE)</f>
        <v>0</v>
      </c>
      <c r="AK737" s="249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513" t="s">
        <v>1442</v>
      </c>
      <c r="F741" s="2513"/>
      <c r="G741" s="2513"/>
      <c r="H741" s="2513"/>
      <c r="I741" s="2513"/>
      <c r="J741" s="2513"/>
      <c r="K741" s="2513"/>
      <c r="L741" s="2513"/>
      <c r="M741" s="2513"/>
      <c r="N741" s="2513"/>
      <c r="O741" s="2513"/>
      <c r="P741" s="2513"/>
      <c r="Q741" s="2513"/>
      <c r="R741" s="2513"/>
      <c r="S741" s="2513"/>
      <c r="T741" s="2513"/>
      <c r="U741" s="2513"/>
      <c r="V741" s="2513"/>
      <c r="W741" s="2513"/>
      <c r="X741" s="2513"/>
      <c r="Y741" s="2513"/>
      <c r="Z741" s="2513"/>
      <c r="AA741" s="2513"/>
      <c r="AB741" s="2513"/>
      <c r="AC741" s="536"/>
      <c r="AD741" s="536"/>
      <c r="AE741" s="536"/>
      <c r="AF741" s="2458" t="s">
        <v>1352</v>
      </c>
      <c r="AG741" s="2458"/>
      <c r="AH741" s="2458"/>
      <c r="AI741" s="2458"/>
      <c r="AJ741" s="2458"/>
      <c r="AK741" s="2458"/>
      <c r="AL741" s="2458"/>
      <c r="AM741" s="550"/>
      <c r="AN741" s="684"/>
      <c r="AT741" s="14"/>
      <c r="AU741" s="14"/>
      <c r="AV741" s="14"/>
      <c r="AW741" s="14"/>
      <c r="AX741" s="14"/>
      <c r="AY741" s="14"/>
      <c r="AZ741" s="14"/>
    </row>
    <row r="742" spans="1:81" s="570" customFormat="1" ht="13">
      <c r="A742" s="550"/>
      <c r="B742" s="536"/>
      <c r="C742" s="931"/>
      <c r="D742" s="663"/>
      <c r="E742" s="2513"/>
      <c r="F742" s="2513"/>
      <c r="G742" s="2513"/>
      <c r="H742" s="2513"/>
      <c r="I742" s="2513"/>
      <c r="J742" s="2513"/>
      <c r="K742" s="2513"/>
      <c r="L742" s="2513"/>
      <c r="M742" s="2513"/>
      <c r="N742" s="2513"/>
      <c r="O742" s="2513"/>
      <c r="P742" s="2513"/>
      <c r="Q742" s="2513"/>
      <c r="R742" s="2513"/>
      <c r="S742" s="2513"/>
      <c r="T742" s="2513"/>
      <c r="U742" s="2513"/>
      <c r="V742" s="2513"/>
      <c r="W742" s="2513"/>
      <c r="X742" s="2513"/>
      <c r="Y742" s="2513"/>
      <c r="Z742" s="2513"/>
      <c r="AA742" s="2513"/>
      <c r="AB742" s="251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13"/>
      <c r="F743" s="2513"/>
      <c r="G743" s="2513"/>
      <c r="H743" s="2513"/>
      <c r="I743" s="2513"/>
      <c r="J743" s="2513"/>
      <c r="K743" s="2513"/>
      <c r="L743" s="2513"/>
      <c r="M743" s="2513"/>
      <c r="N743" s="2513"/>
      <c r="O743" s="2513"/>
      <c r="P743" s="2513"/>
      <c r="Q743" s="2513"/>
      <c r="R743" s="2513"/>
      <c r="S743" s="2513"/>
      <c r="T743" s="2513"/>
      <c r="U743" s="2513"/>
      <c r="V743" s="2513"/>
      <c r="W743" s="2513"/>
      <c r="X743" s="2513"/>
      <c r="Y743" s="2513"/>
      <c r="Z743" s="2513"/>
      <c r="AA743" s="2513"/>
      <c r="AB743" s="251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13"/>
      <c r="F744" s="2513"/>
      <c r="G744" s="2513"/>
      <c r="H744" s="2513"/>
      <c r="I744" s="2513"/>
      <c r="J744" s="2513"/>
      <c r="K744" s="2513"/>
      <c r="L744" s="2513"/>
      <c r="M744" s="2513"/>
      <c r="N744" s="2513"/>
      <c r="O744" s="2513"/>
      <c r="P744" s="2513"/>
      <c r="Q744" s="2513"/>
      <c r="R744" s="2513"/>
      <c r="S744" s="2513"/>
      <c r="T744" s="2513"/>
      <c r="U744" s="2513"/>
      <c r="V744" s="2513"/>
      <c r="W744" s="2513"/>
      <c r="X744" s="2513"/>
      <c r="Y744" s="2513"/>
      <c r="Z744" s="2513"/>
      <c r="AA744" s="2513"/>
      <c r="AB744" s="251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513" t="s">
        <v>1443</v>
      </c>
      <c r="F746" s="2513"/>
      <c r="G746" s="2513"/>
      <c r="H746" s="2513"/>
      <c r="I746" s="2513"/>
      <c r="J746" s="2513"/>
      <c r="K746" s="2513"/>
      <c r="L746" s="2513"/>
      <c r="M746" s="2513"/>
      <c r="N746" s="2513"/>
      <c r="O746" s="2513"/>
      <c r="P746" s="2513"/>
      <c r="Q746" s="2513"/>
      <c r="R746" s="2513"/>
      <c r="S746" s="2513"/>
      <c r="T746" s="2513"/>
      <c r="U746" s="2513"/>
      <c r="V746" s="2513"/>
      <c r="W746" s="2513"/>
      <c r="X746" s="2513"/>
      <c r="Y746" s="2513"/>
      <c r="Z746" s="2513"/>
      <c r="AA746" s="2513"/>
      <c r="AB746" s="575"/>
      <c r="AC746" s="536"/>
      <c r="AD746" s="536"/>
      <c r="AE746" s="536"/>
      <c r="AF746" s="2458" t="s">
        <v>1408</v>
      </c>
      <c r="AG746" s="2458"/>
      <c r="AH746" s="2458"/>
      <c r="AI746" s="2458"/>
      <c r="AJ746" s="2458"/>
      <c r="AK746" s="2458"/>
      <c r="AL746" s="2458"/>
      <c r="AM746" s="550"/>
      <c r="AN746" s="684"/>
      <c r="AO746" s="30"/>
      <c r="AP746" s="14"/>
    </row>
    <row r="747" spans="1:81" s="570" customFormat="1" ht="13">
      <c r="A747" s="550"/>
      <c r="B747" s="536"/>
      <c r="C747" s="931"/>
      <c r="D747" s="663"/>
      <c r="E747" s="2513"/>
      <c r="F747" s="2513"/>
      <c r="G747" s="2513"/>
      <c r="H747" s="2513"/>
      <c r="I747" s="2513"/>
      <c r="J747" s="2513"/>
      <c r="K747" s="2513"/>
      <c r="L747" s="2513"/>
      <c r="M747" s="2513"/>
      <c r="N747" s="2513"/>
      <c r="O747" s="2513"/>
      <c r="P747" s="2513"/>
      <c r="Q747" s="2513"/>
      <c r="R747" s="2513"/>
      <c r="S747" s="2513"/>
      <c r="T747" s="2513"/>
      <c r="U747" s="2513"/>
      <c r="V747" s="2513"/>
      <c r="W747" s="2513"/>
      <c r="X747" s="2513"/>
      <c r="Y747" s="2513"/>
      <c r="Z747" s="2513"/>
      <c r="AA747" s="2513"/>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13"/>
      <c r="F748" s="2513"/>
      <c r="G748" s="2513"/>
      <c r="H748" s="2513"/>
      <c r="I748" s="2513"/>
      <c r="J748" s="2513"/>
      <c r="K748" s="2513"/>
      <c r="L748" s="2513"/>
      <c r="M748" s="2513"/>
      <c r="N748" s="2513"/>
      <c r="O748" s="2513"/>
      <c r="P748" s="2513"/>
      <c r="Q748" s="2513"/>
      <c r="R748" s="2513"/>
      <c r="S748" s="2513"/>
      <c r="T748" s="2513"/>
      <c r="U748" s="2513"/>
      <c r="V748" s="2513"/>
      <c r="W748" s="2513"/>
      <c r="X748" s="2513"/>
      <c r="Y748" s="2513"/>
      <c r="Z748" s="2513"/>
      <c r="AA748" s="2513"/>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13"/>
      <c r="F749" s="2513"/>
      <c r="G749" s="2513"/>
      <c r="H749" s="2513"/>
      <c r="I749" s="2513"/>
      <c r="J749" s="2513"/>
      <c r="K749" s="2513"/>
      <c r="L749" s="2513"/>
      <c r="M749" s="2513"/>
      <c r="N749" s="2513"/>
      <c r="O749" s="2513"/>
      <c r="P749" s="2513"/>
      <c r="Q749" s="2513"/>
      <c r="R749" s="2513"/>
      <c r="S749" s="2513"/>
      <c r="T749" s="2513"/>
      <c r="U749" s="2513"/>
      <c r="V749" s="2513"/>
      <c r="W749" s="2513"/>
      <c r="X749" s="2513"/>
      <c r="Y749" s="2513"/>
      <c r="Z749" s="2513"/>
      <c r="AA749" s="2513"/>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42" t="s">
        <v>687</v>
      </c>
      <c r="I751" s="254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93">
        <f>VLOOKUP($H$751,$AO$680:$AP$682,2,FALSE)</f>
        <v>3</v>
      </c>
      <c r="AK753" s="249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513" t="s">
        <v>1445</v>
      </c>
      <c r="F757" s="2513"/>
      <c r="G757" s="2513"/>
      <c r="H757" s="2513"/>
      <c r="I757" s="2513"/>
      <c r="J757" s="2513"/>
      <c r="K757" s="2513"/>
      <c r="L757" s="2513"/>
      <c r="M757" s="2513"/>
      <c r="N757" s="2513"/>
      <c r="O757" s="2513"/>
      <c r="P757" s="2513"/>
      <c r="Q757" s="2513"/>
      <c r="R757" s="2513"/>
      <c r="S757" s="2513"/>
      <c r="T757" s="2513"/>
      <c r="U757" s="2513"/>
      <c r="V757" s="2513"/>
      <c r="W757" s="2513"/>
      <c r="X757" s="2513"/>
      <c r="Y757" s="2513"/>
      <c r="Z757" s="2513"/>
      <c r="AA757" s="2513"/>
      <c r="AB757" s="2513"/>
      <c r="AC757" s="536"/>
      <c r="AD757" s="536"/>
      <c r="AE757" s="536"/>
      <c r="AF757" s="2458" t="s">
        <v>1408</v>
      </c>
      <c r="AG757" s="2458"/>
      <c r="AH757" s="2458"/>
      <c r="AI757" s="2458"/>
      <c r="AJ757" s="2458"/>
      <c r="AK757" s="2458"/>
      <c r="AL757" s="245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13"/>
      <c r="F758" s="2513"/>
      <c r="G758" s="2513"/>
      <c r="H758" s="2513"/>
      <c r="I758" s="2513"/>
      <c r="J758" s="2513"/>
      <c r="K758" s="2513"/>
      <c r="L758" s="2513"/>
      <c r="M758" s="2513"/>
      <c r="N758" s="2513"/>
      <c r="O758" s="2513"/>
      <c r="P758" s="2513"/>
      <c r="Q758" s="2513"/>
      <c r="R758" s="2513"/>
      <c r="S758" s="2513"/>
      <c r="T758" s="2513"/>
      <c r="U758" s="2513"/>
      <c r="V758" s="2513"/>
      <c r="W758" s="2513"/>
      <c r="X758" s="2513"/>
      <c r="Y758" s="2513"/>
      <c r="Z758" s="2513"/>
      <c r="AA758" s="2513"/>
      <c r="AB758" s="251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513" t="s">
        <v>1446</v>
      </c>
      <c r="F760" s="2513"/>
      <c r="G760" s="2513"/>
      <c r="H760" s="2513"/>
      <c r="I760" s="2513"/>
      <c r="J760" s="2513"/>
      <c r="K760" s="2513"/>
      <c r="L760" s="2513"/>
      <c r="M760" s="2513"/>
      <c r="N760" s="2513"/>
      <c r="O760" s="2513"/>
      <c r="P760" s="2513"/>
      <c r="Q760" s="2513"/>
      <c r="R760" s="2513"/>
      <c r="S760" s="2513"/>
      <c r="T760" s="2513"/>
      <c r="U760" s="2513"/>
      <c r="V760" s="2513"/>
      <c r="W760" s="2513"/>
      <c r="X760" s="2513"/>
      <c r="Y760" s="2513"/>
      <c r="Z760" s="2513"/>
      <c r="AA760" s="2513"/>
      <c r="AB760" s="2513"/>
      <c r="AC760" s="536"/>
      <c r="AD760" s="536"/>
      <c r="AE760" s="536"/>
      <c r="AF760" s="2458" t="s">
        <v>1425</v>
      </c>
      <c r="AG760" s="2458"/>
      <c r="AH760" s="2458"/>
      <c r="AI760" s="2458"/>
      <c r="AJ760" s="2458"/>
      <c r="AK760" s="2458"/>
      <c r="AL760" s="245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13"/>
      <c r="F761" s="2513"/>
      <c r="G761" s="2513"/>
      <c r="H761" s="2513"/>
      <c r="I761" s="2513"/>
      <c r="J761" s="2513"/>
      <c r="K761" s="2513"/>
      <c r="L761" s="2513"/>
      <c r="M761" s="2513"/>
      <c r="N761" s="2513"/>
      <c r="O761" s="2513"/>
      <c r="P761" s="2513"/>
      <c r="Q761" s="2513"/>
      <c r="R761" s="2513"/>
      <c r="S761" s="2513"/>
      <c r="T761" s="2513"/>
      <c r="U761" s="2513"/>
      <c r="V761" s="2513"/>
      <c r="W761" s="2513"/>
      <c r="X761" s="2513"/>
      <c r="Y761" s="2513"/>
      <c r="Z761" s="2513"/>
      <c r="AA761" s="2513"/>
      <c r="AB761" s="251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42" t="s">
        <v>687</v>
      </c>
      <c r="I763" s="254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93">
        <f>VLOOKUP($H$763,$AO$697:$AP$699,2,FALSE)</f>
        <v>2</v>
      </c>
      <c r="AK765" s="249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513" t="s">
        <v>1692</v>
      </c>
      <c r="F769" s="2513"/>
      <c r="G769" s="2513"/>
      <c r="H769" s="2513"/>
      <c r="I769" s="2513"/>
      <c r="J769" s="2513"/>
      <c r="K769" s="2513"/>
      <c r="L769" s="2513"/>
      <c r="M769" s="2513"/>
      <c r="N769" s="2513"/>
      <c r="O769" s="2513"/>
      <c r="P769" s="2513"/>
      <c r="Q769" s="2513"/>
      <c r="R769" s="2513"/>
      <c r="S769" s="2513"/>
      <c r="T769" s="2513"/>
      <c r="U769" s="2513"/>
      <c r="V769" s="2513"/>
      <c r="W769" s="2513"/>
      <c r="X769" s="2513"/>
      <c r="Y769" s="2513"/>
      <c r="Z769" s="2513"/>
      <c r="AA769" s="2513"/>
      <c r="AB769" s="2513"/>
      <c r="AC769" s="2513"/>
      <c r="AD769" s="2513"/>
      <c r="AE769" s="536"/>
      <c r="AF769" s="2458" t="s">
        <v>1408</v>
      </c>
      <c r="AG769" s="2458"/>
      <c r="AH769" s="2458"/>
      <c r="AI769" s="2458"/>
      <c r="AJ769" s="2458"/>
      <c r="AK769" s="2458"/>
      <c r="AL769" s="2458"/>
      <c r="AM769" s="613"/>
      <c r="AN769" s="684"/>
      <c r="AO769" s="550" t="s">
        <v>591</v>
      </c>
      <c r="AP769" s="673">
        <v>0</v>
      </c>
    </row>
    <row r="770" spans="1:81" s="570" customFormat="1" ht="13.75" customHeight="1">
      <c r="A770" s="550"/>
      <c r="B770" s="616"/>
      <c r="C770" s="940"/>
      <c r="D770" s="663"/>
      <c r="E770" s="2513"/>
      <c r="F770" s="2513"/>
      <c r="G770" s="2513"/>
      <c r="H770" s="2513"/>
      <c r="I770" s="2513"/>
      <c r="J770" s="2513"/>
      <c r="K770" s="2513"/>
      <c r="L770" s="2513"/>
      <c r="M770" s="2513"/>
      <c r="N770" s="2513"/>
      <c r="O770" s="2513"/>
      <c r="P770" s="2513"/>
      <c r="Q770" s="2513"/>
      <c r="R770" s="2513"/>
      <c r="S770" s="2513"/>
      <c r="T770" s="2513"/>
      <c r="U770" s="2513"/>
      <c r="V770" s="2513"/>
      <c r="W770" s="2513"/>
      <c r="X770" s="2513"/>
      <c r="Y770" s="2513"/>
      <c r="Z770" s="2513"/>
      <c r="AA770" s="2513"/>
      <c r="AB770" s="2513"/>
      <c r="AC770" s="2513"/>
      <c r="AD770" s="2513"/>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513"/>
      <c r="F771" s="2513"/>
      <c r="G771" s="2513"/>
      <c r="H771" s="2513"/>
      <c r="I771" s="2513"/>
      <c r="J771" s="2513"/>
      <c r="K771" s="2513"/>
      <c r="L771" s="2513"/>
      <c r="M771" s="2513"/>
      <c r="N771" s="2513"/>
      <c r="O771" s="2513"/>
      <c r="P771" s="2513"/>
      <c r="Q771" s="2513"/>
      <c r="R771" s="2513"/>
      <c r="S771" s="2513"/>
      <c r="T771" s="2513"/>
      <c r="U771" s="2513"/>
      <c r="V771" s="2513"/>
      <c r="W771" s="2513"/>
      <c r="X771" s="2513"/>
      <c r="Y771" s="2513"/>
      <c r="Z771" s="2513"/>
      <c r="AA771" s="2513"/>
      <c r="AB771" s="2513"/>
      <c r="AC771" s="2513"/>
      <c r="AD771" s="2513"/>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513"/>
      <c r="F772" s="2513"/>
      <c r="G772" s="2513"/>
      <c r="H772" s="2513"/>
      <c r="I772" s="2513"/>
      <c r="J772" s="2513"/>
      <c r="K772" s="2513"/>
      <c r="L772" s="2513"/>
      <c r="M772" s="2513"/>
      <c r="N772" s="2513"/>
      <c r="O772" s="2513"/>
      <c r="P772" s="2513"/>
      <c r="Q772" s="2513"/>
      <c r="R772" s="2513"/>
      <c r="S772" s="2513"/>
      <c r="T772" s="2513"/>
      <c r="U772" s="2513"/>
      <c r="V772" s="2513"/>
      <c r="W772" s="2513"/>
      <c r="X772" s="2513"/>
      <c r="Y772" s="2513"/>
      <c r="Z772" s="2513"/>
      <c r="AA772" s="2513"/>
      <c r="AB772" s="2513"/>
      <c r="AC772" s="2513"/>
      <c r="AD772" s="251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52" t="s">
        <v>1697</v>
      </c>
      <c r="F774" s="2552"/>
      <c r="G774" s="2552"/>
      <c r="H774" s="2552"/>
      <c r="I774" s="2552"/>
      <c r="J774" s="2552"/>
      <c r="K774" s="2552"/>
      <c r="L774" s="2552"/>
      <c r="M774" s="2552"/>
      <c r="N774" s="2552"/>
      <c r="O774" s="2552"/>
      <c r="P774" s="2552"/>
      <c r="Q774" s="2552"/>
      <c r="R774" s="2552"/>
      <c r="S774" s="2552"/>
      <c r="T774" s="2552"/>
      <c r="U774" s="2552"/>
      <c r="V774" s="2552"/>
      <c r="W774" s="2552"/>
      <c r="X774" s="2552"/>
      <c r="Y774" s="2552"/>
      <c r="Z774" s="2552"/>
      <c r="AA774" s="2552"/>
      <c r="AB774" s="2552"/>
      <c r="AC774" s="2552"/>
      <c r="AD774" s="2552"/>
      <c r="AE774" s="536"/>
      <c r="AF774" s="2458" t="s">
        <v>1352</v>
      </c>
      <c r="AG774" s="2458"/>
      <c r="AH774" s="2458"/>
      <c r="AI774" s="2458"/>
      <c r="AJ774" s="2458"/>
      <c r="AK774" s="2458"/>
      <c r="AL774" s="2458"/>
      <c r="AM774" s="613"/>
      <c r="AN774" s="597"/>
    </row>
    <row r="775" spans="1:81" s="550" customFormat="1" ht="12.75" customHeight="1">
      <c r="B775" s="616"/>
      <c r="C775" s="940"/>
      <c r="D775" s="663"/>
      <c r="E775" s="2552"/>
      <c r="F775" s="2552"/>
      <c r="G775" s="2552"/>
      <c r="H775" s="2552"/>
      <c r="I775" s="2552"/>
      <c r="J775" s="2552"/>
      <c r="K775" s="2552"/>
      <c r="L775" s="2552"/>
      <c r="M775" s="2552"/>
      <c r="N775" s="2552"/>
      <c r="O775" s="2552"/>
      <c r="P775" s="2552"/>
      <c r="Q775" s="2552"/>
      <c r="R775" s="2552"/>
      <c r="S775" s="2552"/>
      <c r="T775" s="2552"/>
      <c r="U775" s="2552"/>
      <c r="V775" s="2552"/>
      <c r="W775" s="2552"/>
      <c r="X775" s="2552"/>
      <c r="Y775" s="2552"/>
      <c r="Z775" s="2552"/>
      <c r="AA775" s="2552"/>
      <c r="AB775" s="2552"/>
      <c r="AC775" s="2552"/>
      <c r="AD775" s="2552"/>
      <c r="AE775" s="594"/>
      <c r="AF775" s="594"/>
      <c r="AG775" s="594"/>
      <c r="AH775" s="594"/>
      <c r="AI775" s="594"/>
      <c r="AJ775" s="594"/>
      <c r="AK775" s="594"/>
      <c r="AL775" s="594"/>
      <c r="AM775" s="613"/>
      <c r="AN775" s="597"/>
    </row>
    <row r="776" spans="1:81" s="550" customFormat="1" ht="12.75" customHeight="1">
      <c r="B776" s="616"/>
      <c r="C776" s="940"/>
      <c r="D776" s="663"/>
      <c r="E776" s="2552"/>
      <c r="F776" s="2552"/>
      <c r="G776" s="2552"/>
      <c r="H776" s="2552"/>
      <c r="I776" s="2552"/>
      <c r="J776" s="2552"/>
      <c r="K776" s="2552"/>
      <c r="L776" s="2552"/>
      <c r="M776" s="2552"/>
      <c r="N776" s="2552"/>
      <c r="O776" s="2552"/>
      <c r="P776" s="2552"/>
      <c r="Q776" s="2552"/>
      <c r="R776" s="2552"/>
      <c r="S776" s="2552"/>
      <c r="T776" s="2552"/>
      <c r="U776" s="2552"/>
      <c r="V776" s="2552"/>
      <c r="W776" s="2552"/>
      <c r="X776" s="2552"/>
      <c r="Y776" s="2552"/>
      <c r="Z776" s="2552"/>
      <c r="AA776" s="2552"/>
      <c r="AB776" s="2552"/>
      <c r="AC776" s="2552"/>
      <c r="AD776" s="2552"/>
      <c r="AE776" s="594"/>
      <c r="AF776" s="594"/>
      <c r="AG776" s="594"/>
      <c r="AH776" s="594"/>
      <c r="AI776" s="594"/>
      <c r="AJ776" s="594"/>
      <c r="AK776" s="594"/>
      <c r="AL776" s="594"/>
      <c r="AM776" s="613"/>
      <c r="AN776" s="597"/>
    </row>
    <row r="777" spans="1:81" s="550" customFormat="1" ht="12.75" customHeight="1">
      <c r="B777" s="616"/>
      <c r="C777" s="940"/>
      <c r="D777" s="663"/>
      <c r="E777" s="2552"/>
      <c r="F777" s="2552"/>
      <c r="G777" s="2552"/>
      <c r="H777" s="2552"/>
      <c r="I777" s="2552"/>
      <c r="J777" s="2552"/>
      <c r="K777" s="2552"/>
      <c r="L777" s="2552"/>
      <c r="M777" s="2552"/>
      <c r="N777" s="2552"/>
      <c r="O777" s="2552"/>
      <c r="P777" s="2552"/>
      <c r="Q777" s="2552"/>
      <c r="R777" s="2552"/>
      <c r="S777" s="2552"/>
      <c r="T777" s="2552"/>
      <c r="U777" s="2552"/>
      <c r="V777" s="2552"/>
      <c r="W777" s="2552"/>
      <c r="X777" s="2552"/>
      <c r="Y777" s="2552"/>
      <c r="Z777" s="2552"/>
      <c r="AA777" s="2552"/>
      <c r="AB777" s="2552"/>
      <c r="AC777" s="2552"/>
      <c r="AD777" s="255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42" t="s">
        <v>591</v>
      </c>
      <c r="I779" s="254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93">
        <f>VLOOKUP($H$779,$AO$769:$AP$771,2,FALSE)</f>
        <v>0</v>
      </c>
      <c r="AK781" s="2495"/>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513" t="s">
        <v>2032</v>
      </c>
      <c r="F785" s="2513"/>
      <c r="G785" s="2513"/>
      <c r="H785" s="2513"/>
      <c r="I785" s="2513"/>
      <c r="J785" s="2513"/>
      <c r="K785" s="2513"/>
      <c r="L785" s="2513"/>
      <c r="M785" s="2513"/>
      <c r="N785" s="2513"/>
      <c r="O785" s="2513"/>
      <c r="P785" s="2513"/>
      <c r="Q785" s="2513"/>
      <c r="R785" s="2513"/>
      <c r="S785" s="2513"/>
      <c r="T785" s="2513"/>
      <c r="U785" s="2513"/>
      <c r="V785" s="2513"/>
      <c r="W785" s="2513"/>
      <c r="X785" s="2513"/>
      <c r="Y785" s="2513"/>
      <c r="Z785" s="2513"/>
      <c r="AA785" s="2513"/>
      <c r="AB785" s="2513"/>
      <c r="AC785" s="2513"/>
      <c r="AD785" s="2513"/>
      <c r="AE785" s="536"/>
      <c r="AF785" s="2458" t="s">
        <v>1352</v>
      </c>
      <c r="AG785" s="2458"/>
      <c r="AH785" s="2458"/>
      <c r="AI785" s="2458"/>
      <c r="AJ785" s="2458"/>
      <c r="AK785" s="2458"/>
      <c r="AL785" s="2458"/>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513"/>
      <c r="F786" s="2513"/>
      <c r="G786" s="2513"/>
      <c r="H786" s="2513"/>
      <c r="I786" s="2513"/>
      <c r="J786" s="2513"/>
      <c r="K786" s="2513"/>
      <c r="L786" s="2513"/>
      <c r="M786" s="2513"/>
      <c r="N786" s="2513"/>
      <c r="O786" s="2513"/>
      <c r="P786" s="2513"/>
      <c r="Q786" s="2513"/>
      <c r="R786" s="2513"/>
      <c r="S786" s="2513"/>
      <c r="T786" s="2513"/>
      <c r="U786" s="2513"/>
      <c r="V786" s="2513"/>
      <c r="W786" s="2513"/>
      <c r="X786" s="2513"/>
      <c r="Y786" s="2513"/>
      <c r="Z786" s="2513"/>
      <c r="AA786" s="2513"/>
      <c r="AB786" s="2513"/>
      <c r="AC786" s="2513"/>
      <c r="AD786" s="251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13"/>
      <c r="F787" s="2513"/>
      <c r="G787" s="2513"/>
      <c r="H787" s="2513"/>
      <c r="I787" s="2513"/>
      <c r="J787" s="2513"/>
      <c r="K787" s="2513"/>
      <c r="L787" s="2513"/>
      <c r="M787" s="2513"/>
      <c r="N787" s="2513"/>
      <c r="O787" s="2513"/>
      <c r="P787" s="2513"/>
      <c r="Q787" s="2513"/>
      <c r="R787" s="2513"/>
      <c r="S787" s="2513"/>
      <c r="T787" s="2513"/>
      <c r="U787" s="2513"/>
      <c r="V787" s="2513"/>
      <c r="W787" s="2513"/>
      <c r="X787" s="2513"/>
      <c r="Y787" s="2513"/>
      <c r="Z787" s="2513"/>
      <c r="AA787" s="2513"/>
      <c r="AB787" s="2513"/>
      <c r="AC787" s="2513"/>
      <c r="AD787" s="251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13"/>
      <c r="F788" s="2513"/>
      <c r="G788" s="2513"/>
      <c r="H788" s="2513"/>
      <c r="I788" s="2513"/>
      <c r="J788" s="2513"/>
      <c r="K788" s="2513"/>
      <c r="L788" s="2513"/>
      <c r="M788" s="2513"/>
      <c r="N788" s="2513"/>
      <c r="O788" s="2513"/>
      <c r="P788" s="2513"/>
      <c r="Q788" s="2513"/>
      <c r="R788" s="2513"/>
      <c r="S788" s="2513"/>
      <c r="T788" s="2513"/>
      <c r="U788" s="2513"/>
      <c r="V788" s="2513"/>
      <c r="W788" s="2513"/>
      <c r="X788" s="2513"/>
      <c r="Y788" s="2513"/>
      <c r="Z788" s="2513"/>
      <c r="AA788" s="2513"/>
      <c r="AB788" s="2513"/>
      <c r="AC788" s="2513"/>
      <c r="AD788" s="251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42" t="s">
        <v>545</v>
      </c>
      <c r="I790" s="254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93">
        <f>VLOOKUP($H$790,$AO$784:$AP$785,2,FALSE)</f>
        <v>3</v>
      </c>
      <c r="AK792" s="249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93">
        <f>IF(($AJ$621+$AJ$640+$AJ$652+$AJ$687+$AJ$711+$AJ$725+$AJ$737+$AJ$753+$AJ$765+$AJ$781+AJ792)&gt;10,10,($AJ$621+$AJ$640+$AJ$652+$AJ$687+$AJ$711+$AJ$725+$AJ$737+$AJ$753+$AJ$765+$AJ$781+AJ792))</f>
        <v>10</v>
      </c>
      <c r="AL794" s="2494"/>
      <c r="AM794" s="249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86" t="s">
        <v>1568</v>
      </c>
      <c r="B797" s="2587"/>
      <c r="C797" s="2587"/>
      <c r="D797" s="2587"/>
      <c r="E797" s="2587"/>
      <c r="F797" s="2587"/>
      <c r="G797" s="2587"/>
      <c r="H797" s="2587"/>
      <c r="I797" s="2587"/>
      <c r="J797" s="2587"/>
      <c r="K797" s="2587"/>
      <c r="L797" s="2587"/>
      <c r="M797" s="2587"/>
      <c r="N797" s="2587"/>
      <c r="O797" s="2587"/>
      <c r="P797" s="2587"/>
      <c r="Q797" s="2587"/>
      <c r="R797" s="2587"/>
      <c r="S797" s="2587"/>
      <c r="T797" s="2587"/>
      <c r="U797" s="2587"/>
      <c r="V797" s="2587"/>
      <c r="W797" s="2587"/>
      <c r="X797" s="2587"/>
      <c r="Y797" s="2587"/>
      <c r="Z797" s="2587"/>
      <c r="AA797" s="2587"/>
      <c r="AB797" s="2587"/>
      <c r="AC797" s="2587"/>
      <c r="AD797" s="2587"/>
      <c r="AE797" s="2587"/>
      <c r="AF797" s="2587"/>
      <c r="AG797" s="2587"/>
      <c r="AH797" s="2587"/>
      <c r="AI797" s="2587"/>
      <c r="AJ797" s="2587"/>
      <c r="AK797" s="2587"/>
      <c r="AL797" s="2587"/>
      <c r="AM797" s="2587"/>
    </row>
    <row r="798" spans="1:81">
      <c r="A798" s="2588"/>
      <c r="B798" s="2588"/>
      <c r="C798" s="2588"/>
      <c r="D798" s="2588"/>
      <c r="E798" s="2588"/>
      <c r="F798" s="2588"/>
      <c r="G798" s="2588"/>
      <c r="H798" s="2588"/>
      <c r="I798" s="2588"/>
      <c r="J798" s="2588"/>
      <c r="K798" s="2588"/>
      <c r="L798" s="2588"/>
      <c r="M798" s="2588"/>
      <c r="N798" s="2588"/>
      <c r="O798" s="2588"/>
      <c r="P798" s="2588"/>
      <c r="Q798" s="2588"/>
      <c r="R798" s="2588"/>
      <c r="S798" s="2588"/>
      <c r="T798" s="2588"/>
      <c r="U798" s="2588"/>
      <c r="V798" s="2588"/>
      <c r="W798" s="2588"/>
      <c r="X798" s="2588"/>
      <c r="Y798" s="2588"/>
      <c r="Z798" s="2588"/>
      <c r="AA798" s="2588"/>
      <c r="AB798" s="2588"/>
      <c r="AC798" s="2588"/>
      <c r="AD798" s="2588"/>
      <c r="AE798" s="2588"/>
      <c r="AF798" s="2588"/>
      <c r="AG798" s="2588"/>
      <c r="AH798" s="2588"/>
      <c r="AI798" s="2588"/>
      <c r="AJ798" s="2588"/>
      <c r="AK798" s="2588"/>
      <c r="AL798" s="2588"/>
      <c r="AM798" s="2588"/>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34"/>
      <c r="B800" s="2534"/>
      <c r="C800" s="2534"/>
      <c r="D800" s="2534"/>
      <c r="E800" s="2534"/>
      <c r="F800" s="2534"/>
      <c r="G800" s="2534"/>
      <c r="H800" s="2534"/>
      <c r="I800" s="2534"/>
      <c r="J800" s="2534"/>
      <c r="K800" s="2534"/>
      <c r="L800" s="2534"/>
      <c r="M800" s="2534"/>
      <c r="N800" s="2534"/>
      <c r="O800" s="2534"/>
      <c r="P800" s="2534"/>
      <c r="Q800" s="2534"/>
      <c r="R800" s="2534"/>
      <c r="S800" s="2534"/>
      <c r="T800" s="2534"/>
      <c r="U800" s="2534"/>
      <c r="V800" s="2534"/>
      <c r="W800" s="2534"/>
      <c r="X800" s="2534"/>
      <c r="Y800" s="2534"/>
      <c r="Z800" s="2534"/>
      <c r="AA800" s="2534"/>
      <c r="AB800" s="2534"/>
      <c r="AC800" s="2534"/>
      <c r="AD800" s="2534"/>
      <c r="AE800" s="2534"/>
      <c r="AF800" s="2534"/>
      <c r="AG800" s="2534"/>
      <c r="AH800" s="2534"/>
      <c r="AI800" s="2534"/>
      <c r="AJ800" s="2534"/>
      <c r="AK800" s="2534"/>
      <c r="AL800" s="2534"/>
      <c r="AM800" s="2534"/>
      <c r="AP800" s="816"/>
      <c r="AQ800" s="816"/>
    </row>
    <row r="801" spans="1:81" ht="13">
      <c r="A801" s="2534"/>
      <c r="B801" s="2534"/>
      <c r="C801" s="2534"/>
      <c r="D801" s="2534"/>
      <c r="E801" s="2534"/>
      <c r="F801" s="2534"/>
      <c r="G801" s="2534"/>
      <c r="H801" s="2534"/>
      <c r="I801" s="2534"/>
      <c r="J801" s="2534"/>
      <c r="K801" s="2534"/>
      <c r="L801" s="2534"/>
      <c r="M801" s="2534"/>
      <c r="N801" s="2534"/>
      <c r="O801" s="2534"/>
      <c r="P801" s="2534"/>
      <c r="Q801" s="2534"/>
      <c r="R801" s="2534"/>
      <c r="S801" s="2534"/>
      <c r="T801" s="2534"/>
      <c r="U801" s="2534"/>
      <c r="V801" s="2534"/>
      <c r="W801" s="2534"/>
      <c r="X801" s="2534"/>
      <c r="Y801" s="2534"/>
      <c r="Z801" s="2534"/>
      <c r="AA801" s="2534"/>
      <c r="AB801" s="2534"/>
      <c r="AC801" s="2534"/>
      <c r="AD801" s="2534"/>
      <c r="AE801" s="2534"/>
      <c r="AF801" s="2534"/>
      <c r="AG801" s="2534"/>
      <c r="AH801" s="2534"/>
      <c r="AI801" s="2534"/>
      <c r="AJ801" s="2534"/>
      <c r="AK801" s="2534"/>
      <c r="AL801" s="2534"/>
      <c r="AM801" s="2534"/>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89" t="s">
        <v>1569</v>
      </c>
      <c r="U802" s="2590"/>
      <c r="V802" s="2590"/>
      <c r="W802" s="2590"/>
      <c r="X802" s="2590"/>
      <c r="Y802" s="2591"/>
      <c r="Z802" s="2589" t="s">
        <v>1570</v>
      </c>
      <c r="AA802" s="2590"/>
      <c r="AB802" s="2590"/>
      <c r="AC802" s="2590"/>
      <c r="AD802" s="2590"/>
      <c r="AE802" s="2591"/>
      <c r="AF802" s="2589" t="s">
        <v>1571</v>
      </c>
      <c r="AG802" s="2590"/>
      <c r="AH802" s="2590"/>
      <c r="AI802" s="2590"/>
      <c r="AJ802" s="2590"/>
      <c r="AK802" s="2591"/>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92"/>
      <c r="U803" s="2593"/>
      <c r="V803" s="2593"/>
      <c r="W803" s="2593"/>
      <c r="X803" s="2593"/>
      <c r="Y803" s="2594"/>
      <c r="Z803" s="2592"/>
      <c r="AA803" s="2593"/>
      <c r="AB803" s="2593"/>
      <c r="AC803" s="2593"/>
      <c r="AD803" s="2593"/>
      <c r="AE803" s="2594"/>
      <c r="AF803" s="2592"/>
      <c r="AG803" s="2593"/>
      <c r="AH803" s="2593"/>
      <c r="AI803" s="2593"/>
      <c r="AJ803" s="2593"/>
      <c r="AK803" s="2594"/>
      <c r="AL803" s="818"/>
      <c r="AM803" s="596"/>
      <c r="AO803" s="816"/>
      <c r="AP803" s="816"/>
      <c r="AQ803" s="816"/>
    </row>
    <row r="804" spans="1:81" ht="13">
      <c r="A804" s="819" t="s">
        <v>757</v>
      </c>
      <c r="B804" s="2569" t="s">
        <v>1304</v>
      </c>
      <c r="C804" s="2569"/>
      <c r="D804" s="2569"/>
      <c r="E804" s="2569"/>
      <c r="F804" s="2569"/>
      <c r="G804" s="2569"/>
      <c r="H804" s="2569"/>
      <c r="I804" s="2569"/>
      <c r="J804" s="2569"/>
      <c r="K804" s="2569"/>
      <c r="L804" s="2569"/>
      <c r="M804" s="2569"/>
      <c r="N804" s="2569"/>
      <c r="O804" s="2569"/>
      <c r="P804" s="2569"/>
      <c r="Q804" s="2569"/>
      <c r="R804" s="2569"/>
      <c r="S804" s="2570"/>
      <c r="T804" s="2571">
        <f>AK62</f>
        <v>0</v>
      </c>
      <c r="U804" s="2572"/>
      <c r="V804" s="2572"/>
      <c r="W804" s="2572"/>
      <c r="X804" s="2572"/>
      <c r="Y804" s="2573"/>
      <c r="Z804" s="2574">
        <v>20</v>
      </c>
      <c r="AA804" s="2572"/>
      <c r="AB804" s="2572"/>
      <c r="AC804" s="2572"/>
      <c r="AD804" s="2572"/>
      <c r="AE804" s="2573"/>
      <c r="AF804" s="2555">
        <f>IF(T804&gt;Z804,Z804,T804)</f>
        <v>0</v>
      </c>
      <c r="AG804" s="2555"/>
      <c r="AH804" s="2555"/>
      <c r="AI804" s="2555"/>
      <c r="AJ804" s="2555"/>
      <c r="AK804" s="2555"/>
      <c r="AL804" s="818"/>
      <c r="AM804" s="596"/>
      <c r="AO804" s="816"/>
      <c r="AP804" s="816"/>
      <c r="AQ804" s="816"/>
    </row>
    <row r="805" spans="1:81" ht="13">
      <c r="A805" s="819" t="s">
        <v>1541</v>
      </c>
      <c r="B805" s="2569" t="s">
        <v>1313</v>
      </c>
      <c r="C805" s="2569"/>
      <c r="D805" s="2569"/>
      <c r="E805" s="2569"/>
      <c r="F805" s="2569"/>
      <c r="G805" s="2569"/>
      <c r="H805" s="2569"/>
      <c r="I805" s="2569"/>
      <c r="J805" s="2569"/>
      <c r="K805" s="2569"/>
      <c r="L805" s="2569"/>
      <c r="M805" s="2569"/>
      <c r="N805" s="2569"/>
      <c r="O805" s="2569"/>
      <c r="P805" s="2569"/>
      <c r="Q805" s="2569"/>
      <c r="R805" s="2569"/>
      <c r="S805" s="2570"/>
      <c r="T805" s="2571">
        <f>AK84</f>
        <v>10</v>
      </c>
      <c r="U805" s="2572"/>
      <c r="V805" s="2572"/>
      <c r="W805" s="2572"/>
      <c r="X805" s="2572"/>
      <c r="Y805" s="2573"/>
      <c r="Z805" s="2574">
        <v>10</v>
      </c>
      <c r="AA805" s="2572"/>
      <c r="AB805" s="2572"/>
      <c r="AC805" s="2572"/>
      <c r="AD805" s="2572"/>
      <c r="AE805" s="2573"/>
      <c r="AF805" s="2555">
        <f>IF(T805&gt;Z805,Z805,T805)</f>
        <v>10</v>
      </c>
      <c r="AG805" s="2555"/>
      <c r="AH805" s="2555"/>
      <c r="AI805" s="2555"/>
      <c r="AJ805" s="2555"/>
      <c r="AK805" s="2555"/>
      <c r="AL805" s="818"/>
      <c r="AM805" s="596"/>
      <c r="AO805" s="816"/>
      <c r="AP805" s="816"/>
      <c r="AQ805" s="816"/>
    </row>
    <row r="806" spans="1:81" ht="13">
      <c r="A806" s="819" t="s">
        <v>1550</v>
      </c>
      <c r="B806" s="2569" t="s">
        <v>1323</v>
      </c>
      <c r="C806" s="2569"/>
      <c r="D806" s="2569"/>
      <c r="E806" s="2569"/>
      <c r="F806" s="2569"/>
      <c r="G806" s="2569"/>
      <c r="H806" s="2569"/>
      <c r="I806" s="2569"/>
      <c r="J806" s="2569"/>
      <c r="K806" s="2569"/>
      <c r="L806" s="2569"/>
      <c r="M806" s="2569"/>
      <c r="N806" s="2569"/>
      <c r="O806" s="2569"/>
      <c r="P806" s="2569"/>
      <c r="Q806" s="2569"/>
      <c r="R806" s="2569"/>
      <c r="S806" s="2570"/>
      <c r="T806" s="2571">
        <f ca="1">AK109</f>
        <v>20</v>
      </c>
      <c r="U806" s="2572"/>
      <c r="V806" s="2572"/>
      <c r="W806" s="2572"/>
      <c r="X806" s="2572"/>
      <c r="Y806" s="2573"/>
      <c r="Z806" s="2574">
        <v>20</v>
      </c>
      <c r="AA806" s="2572"/>
      <c r="AB806" s="2572"/>
      <c r="AC806" s="2572"/>
      <c r="AD806" s="2572"/>
      <c r="AE806" s="2573"/>
      <c r="AF806" s="2555">
        <f ca="1">IF(T806&gt;Z806,Z806,T806)</f>
        <v>20</v>
      </c>
      <c r="AG806" s="2555"/>
      <c r="AH806" s="2555"/>
      <c r="AI806" s="2555"/>
      <c r="AJ806" s="2555"/>
      <c r="AK806" s="2555"/>
      <c r="AL806" s="818"/>
      <c r="AM806" s="596"/>
      <c r="AO806" s="816"/>
      <c r="AP806" s="816"/>
      <c r="AQ806" s="816"/>
    </row>
    <row r="807" spans="1:81" ht="13">
      <c r="A807" s="819" t="s">
        <v>1572</v>
      </c>
      <c r="B807" s="2569" t="s">
        <v>1333</v>
      </c>
      <c r="C807" s="2569"/>
      <c r="D807" s="2569"/>
      <c r="E807" s="2569"/>
      <c r="F807" s="2569"/>
      <c r="G807" s="2569"/>
      <c r="H807" s="2569"/>
      <c r="I807" s="2569"/>
      <c r="J807" s="2569"/>
      <c r="K807" s="2569"/>
      <c r="L807" s="2569"/>
      <c r="M807" s="2569"/>
      <c r="N807" s="2569"/>
      <c r="O807" s="2569"/>
      <c r="P807" s="2569"/>
      <c r="Q807" s="2569"/>
      <c r="R807" s="2569"/>
      <c r="S807" s="2570"/>
      <c r="T807" s="2571">
        <f>AK143</f>
        <v>10</v>
      </c>
      <c r="U807" s="2572"/>
      <c r="V807" s="2572"/>
      <c r="W807" s="2572"/>
      <c r="X807" s="2572"/>
      <c r="Y807" s="2573"/>
      <c r="Z807" s="2574">
        <v>10</v>
      </c>
      <c r="AA807" s="2572"/>
      <c r="AB807" s="2572"/>
      <c r="AC807" s="2572"/>
      <c r="AD807" s="2572"/>
      <c r="AE807" s="2573"/>
      <c r="AF807" s="2555">
        <f>IF(T807&gt;Z807,Z807,T807)</f>
        <v>10</v>
      </c>
      <c r="AG807" s="2555"/>
      <c r="AH807" s="2555"/>
      <c r="AI807" s="2555"/>
      <c r="AJ807" s="2555"/>
      <c r="AK807" s="2555"/>
      <c r="AL807" s="818"/>
      <c r="AM807" s="596"/>
      <c r="AO807" s="816"/>
      <c r="AP807" s="816"/>
      <c r="AQ807" s="816"/>
    </row>
    <row r="808" spans="1:81" ht="13">
      <c r="A808" s="820" t="s">
        <v>1573</v>
      </c>
      <c r="B808" s="2569" t="s">
        <v>1574</v>
      </c>
      <c r="C808" s="2569"/>
      <c r="D808" s="2569"/>
      <c r="E808" s="2569"/>
      <c r="F808" s="2569"/>
      <c r="G808" s="2569"/>
      <c r="H808" s="2569"/>
      <c r="I808" s="2569"/>
      <c r="J808" s="2569"/>
      <c r="K808" s="2569"/>
      <c r="L808" s="2569"/>
      <c r="M808" s="2569"/>
      <c r="N808" s="2569"/>
      <c r="O808" s="2569"/>
      <c r="P808" s="2569"/>
      <c r="Q808" s="2569"/>
      <c r="R808" s="2569"/>
      <c r="S808" s="2570"/>
      <c r="T808" s="2595">
        <f>SUM(T809:Y810)</f>
        <v>10</v>
      </c>
      <c r="U808" s="2595"/>
      <c r="V808" s="2595"/>
      <c r="W808" s="2595"/>
      <c r="X808" s="2595"/>
      <c r="Y808" s="2595"/>
      <c r="Z808" s="2555">
        <v>10</v>
      </c>
      <c r="AA808" s="2555"/>
      <c r="AB808" s="2555"/>
      <c r="AC808" s="2555"/>
      <c r="AD808" s="2555"/>
      <c r="AE808" s="2555"/>
      <c r="AF808" s="2555">
        <f>IF(T808&gt;Z808,Z808,T808)</f>
        <v>10</v>
      </c>
      <c r="AG808" s="2555"/>
      <c r="AH808" s="2555"/>
      <c r="AI808" s="2555"/>
      <c r="AJ808" s="2555"/>
      <c r="AK808" s="2555"/>
      <c r="AL808" s="818"/>
      <c r="AM808" s="596"/>
    </row>
    <row r="809" spans="1:81" ht="13">
      <c r="A809" s="535"/>
      <c r="B809" s="601"/>
      <c r="C809" s="2596" t="s">
        <v>1575</v>
      </c>
      <c r="D809" s="2596"/>
      <c r="E809" s="2596"/>
      <c r="F809" s="2596"/>
      <c r="G809" s="2596"/>
      <c r="H809" s="2596"/>
      <c r="I809" s="2596"/>
      <c r="J809" s="2596"/>
      <c r="K809" s="2596"/>
      <c r="L809" s="2596"/>
      <c r="M809" s="2596"/>
      <c r="N809" s="2596"/>
      <c r="O809" s="2596"/>
      <c r="P809" s="2596"/>
      <c r="Q809" s="2596"/>
      <c r="R809" s="2596"/>
      <c r="S809" s="2597"/>
      <c r="T809" s="2488">
        <f>AJ166</f>
        <v>7</v>
      </c>
      <c r="U809" s="2488"/>
      <c r="V809" s="2488"/>
      <c r="W809" s="2488"/>
      <c r="X809" s="2488"/>
      <c r="Y809" s="2488"/>
      <c r="Z809" s="2489">
        <v>7</v>
      </c>
      <c r="AA809" s="2489"/>
      <c r="AB809" s="2489"/>
      <c r="AC809" s="2489"/>
      <c r="AD809" s="2489"/>
      <c r="AE809" s="2489"/>
      <c r="AF809" s="2598"/>
      <c r="AG809" s="2598"/>
      <c r="AH809" s="2598"/>
      <c r="AI809" s="2598"/>
      <c r="AJ809" s="2598"/>
      <c r="AK809" s="2598"/>
      <c r="AL809" s="818"/>
      <c r="AM809" s="596"/>
    </row>
    <row r="810" spans="1:81" ht="13">
      <c r="A810" s="600"/>
      <c r="B810" s="601"/>
      <c r="C810" s="2596" t="s">
        <v>1576</v>
      </c>
      <c r="D810" s="2596"/>
      <c r="E810" s="2596"/>
      <c r="F810" s="2596"/>
      <c r="G810" s="2596"/>
      <c r="H810" s="2596"/>
      <c r="I810" s="2596"/>
      <c r="J810" s="2596"/>
      <c r="K810" s="2596"/>
      <c r="L810" s="2596"/>
      <c r="M810" s="2596"/>
      <c r="N810" s="2596"/>
      <c r="O810" s="2596"/>
      <c r="P810" s="2596"/>
      <c r="Q810" s="2596"/>
      <c r="R810" s="2596"/>
      <c r="S810" s="2597"/>
      <c r="T810" s="2488">
        <f>AJ180</f>
        <v>3</v>
      </c>
      <c r="U810" s="2488"/>
      <c r="V810" s="2488"/>
      <c r="W810" s="2488"/>
      <c r="X810" s="2488"/>
      <c r="Y810" s="2488"/>
      <c r="Z810" s="2489">
        <v>3</v>
      </c>
      <c r="AA810" s="2489"/>
      <c r="AB810" s="2489"/>
      <c r="AC810" s="2489"/>
      <c r="AD810" s="2489"/>
      <c r="AE810" s="2489"/>
      <c r="AF810" s="2598"/>
      <c r="AG810" s="2598"/>
      <c r="AH810" s="2598"/>
      <c r="AI810" s="2598"/>
      <c r="AJ810" s="2598"/>
      <c r="AK810" s="2598"/>
      <c r="AL810" s="818"/>
      <c r="AM810" s="596"/>
      <c r="AO810" s="550"/>
    </row>
    <row r="811" spans="1:81" ht="13">
      <c r="A811" s="820" t="s">
        <v>1361</v>
      </c>
      <c r="B811" s="2569" t="s">
        <v>1577</v>
      </c>
      <c r="C811" s="2569"/>
      <c r="D811" s="2569"/>
      <c r="E811" s="2569"/>
      <c r="F811" s="2569"/>
      <c r="G811" s="2569"/>
      <c r="H811" s="2569"/>
      <c r="I811" s="2569"/>
      <c r="J811" s="2569"/>
      <c r="K811" s="2569"/>
      <c r="L811" s="2569"/>
      <c r="M811" s="2569"/>
      <c r="N811" s="2569"/>
      <c r="O811" s="2569"/>
      <c r="P811" s="2569"/>
      <c r="Q811" s="2569"/>
      <c r="R811" s="2569"/>
      <c r="S811" s="2570"/>
      <c r="T811" s="2595">
        <f>AK191</f>
        <v>10</v>
      </c>
      <c r="U811" s="2595"/>
      <c r="V811" s="2595"/>
      <c r="W811" s="2595"/>
      <c r="X811" s="2595"/>
      <c r="Y811" s="2595"/>
      <c r="Z811" s="2555">
        <v>10</v>
      </c>
      <c r="AA811" s="2555"/>
      <c r="AB811" s="2555"/>
      <c r="AC811" s="2555"/>
      <c r="AD811" s="2555"/>
      <c r="AE811" s="2555"/>
      <c r="AF811" s="2555">
        <f>IF(T811&gt;Z811,Z811,T811)</f>
        <v>10</v>
      </c>
      <c r="AG811" s="2555"/>
      <c r="AH811" s="2555"/>
      <c r="AI811" s="2555"/>
      <c r="AJ811" s="2555"/>
      <c r="AK811" s="2555"/>
      <c r="AL811" s="818"/>
      <c r="AM811" s="596"/>
    </row>
    <row r="812" spans="1:81" ht="13">
      <c r="A812" s="819" t="s">
        <v>1370</v>
      </c>
      <c r="B812" s="2569" t="s">
        <v>1371</v>
      </c>
      <c r="C812" s="2569"/>
      <c r="D812" s="2569"/>
      <c r="E812" s="2569"/>
      <c r="F812" s="2569"/>
      <c r="G812" s="2569"/>
      <c r="H812" s="2569"/>
      <c r="I812" s="2569"/>
      <c r="J812" s="2569"/>
      <c r="K812" s="2569"/>
      <c r="L812" s="2569"/>
      <c r="M812" s="2569"/>
      <c r="N812" s="2569"/>
      <c r="O812" s="2569"/>
      <c r="P812" s="2569"/>
      <c r="Q812" s="2569"/>
      <c r="R812" s="2569"/>
      <c r="S812" s="2570"/>
      <c r="T812" s="2595">
        <f>AK273</f>
        <v>8</v>
      </c>
      <c r="U812" s="2595"/>
      <c r="V812" s="2595"/>
      <c r="W812" s="2595"/>
      <c r="X812" s="2595"/>
      <c r="Y812" s="2595"/>
      <c r="Z812" s="2574">
        <v>8</v>
      </c>
      <c r="AA812" s="2572"/>
      <c r="AB812" s="2572"/>
      <c r="AC812" s="2572"/>
      <c r="AD812" s="2572"/>
      <c r="AE812" s="2573"/>
      <c r="AF812" s="2555">
        <f>IF(T812&gt;Z812,Z812,T812)</f>
        <v>8</v>
      </c>
      <c r="AG812" s="2555"/>
      <c r="AH812" s="2555"/>
      <c r="AI812" s="2555"/>
      <c r="AJ812" s="2555"/>
      <c r="AK812" s="2555"/>
      <c r="AL812" s="818"/>
      <c r="AM812" s="596"/>
    </row>
    <row r="813" spans="1:81" s="534" customFormat="1" ht="13" hidden="1">
      <c r="A813" s="820" t="s">
        <v>589</v>
      </c>
      <c r="B813" s="2569" t="s">
        <v>1578</v>
      </c>
      <c r="C813" s="2569"/>
      <c r="D813" s="2569"/>
      <c r="E813" s="2569"/>
      <c r="F813" s="2569"/>
      <c r="G813" s="2569"/>
      <c r="H813" s="2569"/>
      <c r="I813" s="2569"/>
      <c r="J813" s="2569"/>
      <c r="K813" s="2569"/>
      <c r="L813" s="2569"/>
      <c r="M813" s="2569"/>
      <c r="N813" s="2569"/>
      <c r="O813" s="2569"/>
      <c r="P813" s="2569"/>
      <c r="Q813" s="2569"/>
      <c r="R813" s="2569"/>
      <c r="S813" s="2570"/>
      <c r="T813" s="2595">
        <f>IF(AK535&gt;5,5,AK535)</f>
        <v>0</v>
      </c>
      <c r="U813" s="2595"/>
      <c r="V813" s="2595"/>
      <c r="W813" s="2595"/>
      <c r="X813" s="2595"/>
      <c r="Y813" s="2595"/>
      <c r="Z813" s="2555">
        <v>5</v>
      </c>
      <c r="AA813" s="2555"/>
      <c r="AB813" s="2555"/>
      <c r="AC813" s="2555"/>
      <c r="AD813" s="2555"/>
      <c r="AE813" s="2555"/>
      <c r="AF813" s="2555">
        <f>IF(T813&gt;Z813,5,T813)</f>
        <v>0</v>
      </c>
      <c r="AG813" s="2555"/>
      <c r="AH813" s="2555"/>
      <c r="AI813" s="2555"/>
      <c r="AJ813" s="2555"/>
      <c r="AK813" s="255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69" t="s">
        <v>1579</v>
      </c>
      <c r="C814" s="2569"/>
      <c r="D814" s="2569"/>
      <c r="E814" s="2569"/>
      <c r="F814" s="2569"/>
      <c r="G814" s="2569"/>
      <c r="H814" s="2569"/>
      <c r="I814" s="2569"/>
      <c r="J814" s="2569"/>
      <c r="K814" s="2569"/>
      <c r="L814" s="2569"/>
      <c r="M814" s="2569"/>
      <c r="N814" s="2569"/>
      <c r="O814" s="2569"/>
      <c r="P814" s="2569"/>
      <c r="Q814" s="2569"/>
      <c r="R814" s="2569"/>
      <c r="S814" s="2570"/>
      <c r="T814" s="2595">
        <f>AK285</f>
        <v>10</v>
      </c>
      <c r="U814" s="2595"/>
      <c r="V814" s="2595"/>
      <c r="W814" s="2595"/>
      <c r="X814" s="2595"/>
      <c r="Y814" s="2595"/>
      <c r="Z814" s="2555">
        <v>10</v>
      </c>
      <c r="AA814" s="2555"/>
      <c r="AB814" s="2555"/>
      <c r="AC814" s="2555"/>
      <c r="AD814" s="2555"/>
      <c r="AE814" s="2555"/>
      <c r="AF814" s="2601">
        <f>IF(T814&gt;Z814,Z814,T814)</f>
        <v>10</v>
      </c>
      <c r="AG814" s="2602"/>
      <c r="AH814" s="2602"/>
      <c r="AI814" s="2602"/>
      <c r="AJ814" s="2602"/>
      <c r="AK814" s="260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69" t="s">
        <v>1381</v>
      </c>
      <c r="C815" s="2569"/>
      <c r="D815" s="2569"/>
      <c r="E815" s="2569"/>
      <c r="F815" s="2569"/>
      <c r="G815" s="2569"/>
      <c r="H815" s="2569"/>
      <c r="I815" s="2569"/>
      <c r="J815" s="2569"/>
      <c r="K815" s="2569"/>
      <c r="L815" s="2569"/>
      <c r="M815" s="2569"/>
      <c r="N815" s="2569"/>
      <c r="O815" s="2569"/>
      <c r="P815" s="2569"/>
      <c r="Q815" s="2569"/>
      <c r="R815" s="2569"/>
      <c r="S815" s="2570"/>
      <c r="T815" s="2595">
        <f>AK338</f>
        <v>10</v>
      </c>
      <c r="U815" s="2595"/>
      <c r="V815" s="2595"/>
      <c r="W815" s="2595"/>
      <c r="X815" s="2595"/>
      <c r="Y815" s="2595"/>
      <c r="Z815" s="2601">
        <v>10</v>
      </c>
      <c r="AA815" s="2602"/>
      <c r="AB815" s="2602"/>
      <c r="AC815" s="2602"/>
      <c r="AD815" s="2602"/>
      <c r="AE815" s="2603"/>
      <c r="AF815" s="2601">
        <f>IF(T815&gt;Z815,Z815,T815)</f>
        <v>10</v>
      </c>
      <c r="AG815" s="2602"/>
      <c r="AH815" s="2602"/>
      <c r="AI815" s="2602"/>
      <c r="AJ815" s="2602"/>
      <c r="AK815" s="260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8">
        <f>AK338</f>
        <v>10</v>
      </c>
      <c r="U816" s="2488"/>
      <c r="V816" s="2488"/>
      <c r="W816" s="2488"/>
      <c r="X816" s="2488"/>
      <c r="Y816" s="2488"/>
      <c r="Z816" s="2493">
        <v>20</v>
      </c>
      <c r="AA816" s="2494"/>
      <c r="AB816" s="2494"/>
      <c r="AC816" s="2494"/>
      <c r="AD816" s="2494"/>
      <c r="AE816" s="2495"/>
      <c r="AF816" s="2598"/>
      <c r="AG816" s="2598"/>
      <c r="AH816" s="2598"/>
      <c r="AI816" s="2598"/>
      <c r="AJ816" s="2598"/>
      <c r="AK816" s="259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69" t="s">
        <v>845</v>
      </c>
      <c r="C817" s="2569"/>
      <c r="D817" s="2569"/>
      <c r="E817" s="2569"/>
      <c r="F817" s="2569"/>
      <c r="G817" s="2569"/>
      <c r="H817" s="2569"/>
      <c r="I817" s="2569"/>
      <c r="J817" s="2569"/>
      <c r="K817" s="2569"/>
      <c r="L817" s="2569"/>
      <c r="M817" s="2569"/>
      <c r="N817" s="2569"/>
      <c r="O817" s="2569"/>
      <c r="P817" s="2569"/>
      <c r="Q817" s="2569"/>
      <c r="R817" s="2569"/>
      <c r="S817" s="2570"/>
      <c r="T817" s="2595">
        <f>AK469</f>
        <v>10</v>
      </c>
      <c r="U817" s="2595"/>
      <c r="V817" s="2595"/>
      <c r="W817" s="2595"/>
      <c r="X817" s="2595"/>
      <c r="Y817" s="2595"/>
      <c r="Z817" s="2601">
        <v>10</v>
      </c>
      <c r="AA817" s="2602"/>
      <c r="AB817" s="2602"/>
      <c r="AC817" s="2602"/>
      <c r="AD817" s="2602"/>
      <c r="AE817" s="2603"/>
      <c r="AF817" s="2555">
        <f>IF(T817&gt;Z817,Z817,T817)</f>
        <v>10</v>
      </c>
      <c r="AG817" s="2555"/>
      <c r="AH817" s="2555"/>
      <c r="AI817" s="2555"/>
      <c r="AJ817" s="2555"/>
      <c r="AK817" s="255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69" t="s">
        <v>1559</v>
      </c>
      <c r="C818" s="2569"/>
      <c r="D818" s="2569"/>
      <c r="E818" s="2569"/>
      <c r="F818" s="2569"/>
      <c r="G818" s="2569"/>
      <c r="H818" s="2569"/>
      <c r="I818" s="2569"/>
      <c r="J818" s="2569"/>
      <c r="K818" s="2569"/>
      <c r="L818" s="2569"/>
      <c r="M818" s="2569"/>
      <c r="N818" s="2569"/>
      <c r="O818" s="2569"/>
      <c r="P818" s="2569"/>
      <c r="Q818" s="2569"/>
      <c r="R818" s="2569"/>
      <c r="S818" s="2570"/>
      <c r="T818" s="2595">
        <f>AK559</f>
        <v>12</v>
      </c>
      <c r="U818" s="2595"/>
      <c r="V818" s="2595"/>
      <c r="W818" s="2595"/>
      <c r="X818" s="2595"/>
      <c r="Y818" s="2595"/>
      <c r="Z818" s="2601">
        <v>12</v>
      </c>
      <c r="AA818" s="2602"/>
      <c r="AB818" s="2602"/>
      <c r="AC818" s="2602"/>
      <c r="AD818" s="2602"/>
      <c r="AE818" s="2603"/>
      <c r="AF818" s="2555">
        <f>IF(T818&gt;Z818,Z818,T818)</f>
        <v>12</v>
      </c>
      <c r="AG818" s="2555"/>
      <c r="AH818" s="2555"/>
      <c r="AI818" s="2555"/>
      <c r="AJ818" s="2555"/>
      <c r="AK818" s="255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69" t="s">
        <v>1581</v>
      </c>
      <c r="C819" s="2569"/>
      <c r="D819" s="2569"/>
      <c r="E819" s="2569"/>
      <c r="F819" s="2569"/>
      <c r="G819" s="2569"/>
      <c r="H819" s="2569"/>
      <c r="I819" s="2569"/>
      <c r="J819" s="2569"/>
      <c r="K819" s="2569"/>
      <c r="L819" s="2569"/>
      <c r="M819" s="2569"/>
      <c r="N819" s="2569"/>
      <c r="O819" s="2569"/>
      <c r="P819" s="2569"/>
      <c r="Q819" s="2569"/>
      <c r="R819" s="2569"/>
      <c r="S819" s="2570"/>
      <c r="T819" s="2595">
        <f>AK794</f>
        <v>10</v>
      </c>
      <c r="U819" s="2595"/>
      <c r="V819" s="2595"/>
      <c r="W819" s="2595"/>
      <c r="X819" s="2595"/>
      <c r="Y819" s="2595"/>
      <c r="Z819" s="2601">
        <v>10</v>
      </c>
      <c r="AA819" s="2602"/>
      <c r="AB819" s="2602"/>
      <c r="AC819" s="2602"/>
      <c r="AD819" s="2602"/>
      <c r="AE819" s="2603"/>
      <c r="AF819" s="2555">
        <f>IF(T819&gt;Z819,Z819,T819)</f>
        <v>10</v>
      </c>
      <c r="AG819" s="2555"/>
      <c r="AH819" s="2555"/>
      <c r="AI819" s="2555"/>
      <c r="AJ819" s="2555"/>
      <c r="AK819" s="255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99" t="s">
        <v>1582</v>
      </c>
      <c r="B820" s="2569"/>
      <c r="C820" s="2569"/>
      <c r="D820" s="2569"/>
      <c r="E820" s="2569"/>
      <c r="F820" s="2569"/>
      <c r="G820" s="2569"/>
      <c r="H820" s="2569"/>
      <c r="I820" s="2569"/>
      <c r="J820" s="2569"/>
      <c r="K820" s="2569"/>
      <c r="L820" s="2569"/>
      <c r="M820" s="2569"/>
      <c r="N820" s="2569"/>
      <c r="O820" s="2569"/>
      <c r="P820" s="2569"/>
      <c r="Q820" s="2569"/>
      <c r="R820" s="2569"/>
      <c r="S820" s="2570"/>
      <c r="T820" s="2600"/>
      <c r="U820" s="2600"/>
      <c r="V820" s="2600"/>
      <c r="W820" s="2600"/>
      <c r="X820" s="2600"/>
      <c r="Y820" s="2600"/>
      <c r="Z820" s="2489" t="s">
        <v>1583</v>
      </c>
      <c r="AA820" s="2489"/>
      <c r="AB820" s="2489"/>
      <c r="AC820" s="2489"/>
      <c r="AD820" s="2489"/>
      <c r="AE820" s="2489"/>
      <c r="AF820" s="2601">
        <f>IF(T820&gt;0,T820,0)</f>
        <v>0</v>
      </c>
      <c r="AG820" s="2602"/>
      <c r="AH820" s="2602"/>
      <c r="AI820" s="2602"/>
      <c r="AJ820" s="2602"/>
      <c r="AK820" s="260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604" t="s">
        <v>1584</v>
      </c>
      <c r="B821" s="2605"/>
      <c r="C821" s="2605"/>
      <c r="D821" s="2605"/>
      <c r="E821" s="2605"/>
      <c r="F821" s="2605"/>
      <c r="G821" s="2605"/>
      <c r="H821" s="2605"/>
      <c r="I821" s="2605"/>
      <c r="J821" s="2605"/>
      <c r="K821" s="2605"/>
      <c r="L821" s="2605"/>
      <c r="M821" s="2605"/>
      <c r="N821" s="2605"/>
      <c r="O821" s="2605"/>
      <c r="P821" s="2605"/>
      <c r="Q821" s="2605"/>
      <c r="R821" s="2605"/>
      <c r="S821" s="2605"/>
      <c r="T821" s="2605"/>
      <c r="U821" s="2605"/>
      <c r="V821" s="2605"/>
      <c r="W821" s="2605"/>
      <c r="X821" s="2605"/>
      <c r="Y821" s="2605"/>
      <c r="Z821" s="2605"/>
      <c r="AA821" s="2605"/>
      <c r="AB821" s="2605"/>
      <c r="AC821" s="2605"/>
      <c r="AD821" s="2605"/>
      <c r="AE821" s="2606"/>
      <c r="AF821" s="2610">
        <f ca="1">SUM(AF804:AK819)-AF820</f>
        <v>120</v>
      </c>
      <c r="AG821" s="2611"/>
      <c r="AH821" s="2611"/>
      <c r="AI821" s="2611"/>
      <c r="AJ821" s="2611"/>
      <c r="AK821" s="261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607"/>
      <c r="B822" s="2608"/>
      <c r="C822" s="2608"/>
      <c r="D822" s="2608"/>
      <c r="E822" s="2608"/>
      <c r="F822" s="2608"/>
      <c r="G822" s="2608"/>
      <c r="H822" s="2608"/>
      <c r="I822" s="2608"/>
      <c r="J822" s="2608"/>
      <c r="K822" s="2608"/>
      <c r="L822" s="2608"/>
      <c r="M822" s="2608"/>
      <c r="N822" s="2608"/>
      <c r="O822" s="2608"/>
      <c r="P822" s="2608"/>
      <c r="Q822" s="2608"/>
      <c r="R822" s="2608"/>
      <c r="S822" s="2608"/>
      <c r="T822" s="2608"/>
      <c r="U822" s="2608"/>
      <c r="V822" s="2608"/>
      <c r="W822" s="2608"/>
      <c r="X822" s="2608"/>
      <c r="Y822" s="2608"/>
      <c r="Z822" s="2608"/>
      <c r="AA822" s="2608"/>
      <c r="AB822" s="2608"/>
      <c r="AC822" s="2608"/>
      <c r="AD822" s="2608"/>
      <c r="AE822" s="2609"/>
      <c r="AF822" s="2613"/>
      <c r="AG822" s="2614"/>
      <c r="AH822" s="2614"/>
      <c r="AI822" s="2614"/>
      <c r="AJ822" s="2614"/>
      <c r="AK822" s="261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2025-08-29T14:32:54Z</cp:lastPrinted>
  <dcterms:created xsi:type="dcterms:W3CDTF">2007-12-27T18:26:28Z</dcterms:created>
  <dcterms:modified xsi:type="dcterms:W3CDTF">2025-09-05T18:29:57Z</dcterms:modified>
</cp:coreProperties>
</file>