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5/9.9 - CA 4% 3rd Round 2025/Santa Maria/"/>
    </mc:Choice>
  </mc:AlternateContent>
  <xr:revisionPtr revIDLastSave="1" documentId="13_ncr:1_{9D3E21B8-BDAB-435B-B40B-734D692AA105}" xr6:coauthVersionLast="47" xr6:coauthVersionMax="47" xr10:uidLastSave="{2045659F-06C1-412B-B3A8-72F362F246EB}"/>
  <bookViews>
    <workbookView xWindow="51480" yWindow="-120" windowWidth="51840" windowHeight="211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Basis &amp; Credits" sheetId="15" r:id="rId7"/>
    <sheet name="CalHFA Addendum" sheetId="23"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7">Application!$CB$159:$CH$159</definedName>
    <definedName name="bedrooms">Application!$CB$159:$CH$159</definedName>
    <definedName name="HudFmrs" localSheetId="7">Application!$BX$656:$CB$713</definedName>
    <definedName name="HudFmrs">Application!$CJ$160:$CN$217</definedName>
    <definedName name="ListofSources" localSheetId="7">Application!$BN$511:$BN$536</definedName>
    <definedName name="ListofSources">Application!$BN$512:$BN$537</definedName>
    <definedName name="_xlnm.Print_Area" localSheetId="11">'15 Year Pro Forma'!$A$1:$AH$77</definedName>
    <definedName name="_xlnm.Print_Area" localSheetId="3">Application!$A$1:$AT$125</definedName>
    <definedName name="_xlnm.Print_Area" localSheetId="2">'Application Checklist'!$A$1:$I$1130</definedName>
    <definedName name="_xlnm.Print_Area" localSheetId="6">'Basis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7">Application!$CB$159:$CH$217</definedName>
    <definedName name="TC_Rent">Application!$CB$159:$CH$217</definedName>
    <definedName name="TcacRents" localSheetId="7">Application!$BQ$656:$BV$713</definedName>
    <definedName name="TcacRents">Application!$CC$160:$CH$217</definedName>
    <definedName name="UnitSizes" localSheetId="7">Application!$BA$595:$BA$600</definedName>
    <definedName name="UnitSizes">Application!$AZ$702:$AZ$707</definedName>
    <definedName name="Z_48A1B9AA_9520_4513_968D_1FB22989E0AF_.wvu.Cols" localSheetId="6"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6"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6"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8" i="3" l="1"/>
  <c r="O723" i="3"/>
  <c r="O720" i="3"/>
  <c r="AA918" i="3"/>
  <c r="AG442" i="3"/>
  <c r="C60" i="7" l="1"/>
  <c r="C45" i="4"/>
  <c r="AA919" i="3" l="1"/>
  <c r="AC886" i="3"/>
  <c r="T773" i="3"/>
  <c r="E85" i="4" l="1"/>
  <c r="G99" i="4"/>
  <c r="E99" i="4" s="1"/>
  <c r="F30" i="4"/>
  <c r="E30" i="4" s="1"/>
  <c r="E103" i="4"/>
  <c r="E102" i="4"/>
  <c r="E101" i="4"/>
  <c r="E100" i="4"/>
  <c r="E95" i="4"/>
  <c r="E94" i="4"/>
  <c r="E93" i="4"/>
  <c r="E92" i="4"/>
  <c r="E91" i="4"/>
  <c r="E90" i="4"/>
  <c r="E89" i="4"/>
  <c r="E88" i="4"/>
  <c r="E87" i="4"/>
  <c r="E86"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E4" i="4"/>
  <c r="Q628"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T45" i="21"/>
  <c r="S45" i="21"/>
  <c r="S47" i="2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S66" i="4" s="1"/>
  <c r="E66" i="13" s="1"/>
  <c r="F66" i="13" s="1"/>
  <c r="R67" i="4"/>
  <c r="S67" i="4" s="1"/>
  <c r="E67" i="13" s="1"/>
  <c r="F67" i="13" s="1"/>
  <c r="R68" i="4"/>
  <c r="S68"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8" i="13"/>
  <c r="F68" i="13" s="1"/>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9" i="13"/>
  <c r="F49" i="13" s="1"/>
  <c r="E45" i="13"/>
  <c r="F45" i="13" s="1"/>
  <c r="E29" i="13"/>
  <c r="F29" i="13" s="1"/>
  <c r="E27" i="13"/>
  <c r="E25" i="13"/>
  <c r="E23" i="13"/>
  <c r="E22" i="13"/>
  <c r="E21" i="13"/>
  <c r="E20" i="13"/>
  <c r="E19" i="13"/>
  <c r="E18" i="13"/>
  <c r="E17" i="13"/>
  <c r="E15" i="13"/>
  <c r="E14" i="13"/>
  <c r="E13" i="13"/>
  <c r="E10" i="13"/>
  <c r="B99" i="13"/>
  <c r="C99" i="13" s="1"/>
  <c r="C104" i="13" s="1"/>
  <c r="B95" i="13"/>
  <c r="B94" i="13"/>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E99" i="13" s="1"/>
  <c r="F99" i="13" s="1"/>
  <c r="F104" i="13" s="1"/>
  <c r="R95" i="4"/>
  <c r="S95" i="4" s="1"/>
  <c r="E95" i="13" s="1"/>
  <c r="R94" i="4"/>
  <c r="S94" i="4" s="1"/>
  <c r="E94" i="13" s="1"/>
  <c r="R93" i="4"/>
  <c r="S93" i="4" s="1"/>
  <c r="E93" i="13"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E85" i="13" s="1"/>
  <c r="F85" i="13"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E46" i="13" s="1"/>
  <c r="F46" i="13" s="1"/>
  <c r="R45" i="4"/>
  <c r="R43" i="4"/>
  <c r="S43" i="4" s="1"/>
  <c r="E43" i="13" s="1"/>
  <c r="F43" i="13" s="1"/>
  <c r="R41" i="4"/>
  <c r="S41" i="4" s="1"/>
  <c r="E41" i="13" s="1"/>
  <c r="F41" i="13"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D35" i="11" l="1"/>
  <c r="C81" i="13"/>
  <c r="C42" i="13"/>
  <c r="F70" i="13"/>
  <c r="C96" i="13"/>
  <c r="C38" i="13"/>
  <c r="F42" i="13"/>
  <c r="C62" i="13"/>
  <c r="C70" i="13"/>
  <c r="F81" i="13"/>
  <c r="C77" i="13"/>
  <c r="C54" i="13"/>
  <c r="S104" i="4"/>
  <c r="BA1058" i="3" s="1"/>
  <c r="F54" i="13"/>
  <c r="F96" i="13"/>
  <c r="S38" i="4"/>
  <c r="E38" i="13" s="1"/>
  <c r="S96" i="4"/>
  <c r="E96" i="13" s="1"/>
  <c r="E30" i="13"/>
  <c r="F30" i="13" s="1"/>
  <c r="F38" i="13" s="1"/>
  <c r="S81" i="4"/>
  <c r="E81" i="13" s="1"/>
  <c r="S70" i="4"/>
  <c r="E70" i="13" s="1"/>
  <c r="S54" i="4"/>
  <c r="E54" i="13" s="1"/>
  <c r="S42" i="4"/>
  <c r="E42" i="13" s="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AM557" i="3" s="1"/>
  <c r="AM566" i="3" s="1"/>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F97" i="13" s="1"/>
  <c r="F105" i="13" s="1"/>
  <c r="F107" i="13" s="1"/>
  <c r="E104" i="13"/>
  <c r="C63" i="13"/>
  <c r="C97" i="13" s="1"/>
  <c r="C105" i="13" s="1"/>
  <c r="D105" i="11"/>
  <c r="S63" i="4"/>
  <c r="S97" i="4"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AB55" i="15" s="1"/>
  <c r="T805" i="20"/>
  <c r="AF805" i="20" s="1"/>
  <c r="BE72" i="3" s="1"/>
  <c r="N185" i="23"/>
  <c r="BE22" i="3"/>
  <c r="S107" i="4"/>
  <c r="E105" i="13"/>
  <c r="BA1056" i="3"/>
  <c r="AZ1051" i="3"/>
  <c r="H105" i="13"/>
  <c r="T107" i="4"/>
  <c r="H107" i="13" s="1"/>
  <c r="Q58" i="7"/>
  <c r="S53" i="7"/>
  <c r="AG270" i="20"/>
  <c r="AK273" i="20" s="1"/>
  <c r="T812" i="20" s="1"/>
  <c r="AF812" i="20" s="1"/>
  <c r="BE77" i="3" s="1"/>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1029" i="3"/>
  <c r="AJ1036" i="3"/>
  <c r="I15" i="21" s="1"/>
  <c r="AD11" i="15"/>
  <c r="AD23" i="15" s="1"/>
  <c r="AD26" i="15" s="1"/>
  <c r="AD28" i="15" s="1"/>
  <c r="AI11" i="15"/>
  <c r="AI23" i="15" s="1"/>
  <c r="AI26" i="15" s="1"/>
  <c r="AI28" i="15" s="1"/>
  <c r="BE44" i="3"/>
  <c r="F457" i="3"/>
  <c r="AC456"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Y64" i="15"/>
  <c r="Y68" i="15" s="1"/>
  <c r="Y69" i="15" s="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Y60" i="7" s="1"/>
  <c r="W60" i="7"/>
  <c r="W47" i="7"/>
  <c r="W48" i="7"/>
  <c r="AE5" i="7" l="1"/>
  <c r="AG4" i="7"/>
  <c r="AA45" i="7"/>
  <c r="AA60" i="7" s="1"/>
  <c r="AA66" i="7" s="1"/>
  <c r="AA49" i="7"/>
  <c r="U70" i="7"/>
  <c r="U72" i="7" s="1"/>
  <c r="W67" i="7"/>
  <c r="W62" i="7"/>
  <c r="Y62" i="7" s="1"/>
  <c r="Y66" i="7" s="1"/>
  <c r="W66" i="7"/>
  <c r="Y47" i="7"/>
  <c r="Y48" i="7"/>
  <c r="AE6" i="7"/>
  <c r="AC7" i="7"/>
  <c r="AC11" i="7" s="1"/>
  <c r="AC37" i="7" s="1"/>
  <c r="AG5" i="7" l="1"/>
  <c r="W70" i="7"/>
  <c r="W72" i="7" s="1"/>
  <c r="AA47" i="7"/>
  <c r="AA48" i="7"/>
  <c r="AC45" i="7"/>
  <c r="AC60" i="7" s="1"/>
  <c r="AC66" i="7" s="1"/>
  <c r="AC49" i="7"/>
  <c r="AE7" i="7"/>
  <c r="AE11" i="7" s="1"/>
  <c r="AE37" i="7" s="1"/>
  <c r="AG6" i="7"/>
  <c r="Y67" i="7"/>
  <c r="Y70" i="7" l="1"/>
  <c r="Y72" i="7" s="1"/>
  <c r="AG7" i="7"/>
  <c r="AG11" i="7" s="1"/>
  <c r="AG37" i="7" s="1"/>
  <c r="AE49" i="7"/>
  <c r="AE45" i="7"/>
  <c r="AE60" i="7" s="1"/>
  <c r="AE66" i="7" s="1"/>
  <c r="AC48" i="7"/>
  <c r="AC47" i="7"/>
  <c r="AA67" i="7"/>
  <c r="AA70" i="7" l="1"/>
  <c r="AA72" i="7" s="1"/>
  <c r="AC67" i="7"/>
  <c r="AE47" i="7"/>
  <c r="AE48" i="7"/>
  <c r="AG49" i="7"/>
  <c r="AG45" i="7"/>
  <c r="AG60" i="7" s="1"/>
  <c r="AG66" i="7" s="1"/>
  <c r="AG48" i="7" l="1"/>
  <c r="AG47" i="7"/>
  <c r="AE67" i="7"/>
  <c r="AC70" i="7"/>
  <c r="AC72" i="7" s="1"/>
  <c r="AE70" i="7" l="1"/>
  <c r="AE72" i="7" s="1"/>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0F87437-11E1-44C8-9106-B2522ECEB1C7}">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<sst xmlns="http://schemas.openxmlformats.org/spreadsheetml/2006/main" count="4970" uniqueCount="2730">
  <si>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</si>
  <si>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</si>
  <si>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</si>
  <si>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</si>
  <si>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</si>
  <si>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</si>
  <si>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</si>
  <si>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</si>
  <si>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</si>
  <si>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</si>
  <si>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</si>
  <si>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</si>
  <si>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</si>
  <si>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</si>
  <si>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</si>
  <si>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</si>
  <si>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</si>
  <si>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</si>
  <si>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</si>
  <si>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</si>
  <si>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</si>
  <si>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</si>
  <si>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</si>
  <si>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</si>
  <si>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</si>
  <si>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</si>
  <si>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</si>
  <si>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</si>
  <si>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</si>
  <si>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</si>
  <si>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</si>
  <si>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</si>
  <si>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</si>
  <si>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</si>
  <si>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</si>
  <si>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</si>
  <si>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</si>
  <si>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</si>
  <si>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</si>
  <si>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</si>
  <si>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</si>
  <si>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</si>
  <si>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</si>
  <si>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</si>
  <si>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</si>
  <si>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</si>
  <si>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</si>
  <si>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</si>
  <si>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</si>
  <si>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</si>
  <si>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</si>
  <si>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</si>
  <si>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</si>
  <si>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</si>
  <si>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</si>
  <si>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</si>
  <si>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</si>
  <si>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</si>
  <si>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</si>
  <si>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</si>
  <si>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</si>
  <si>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</si>
  <si>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</si>
  <si>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</si>
  <si>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</si>
  <si>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</si>
  <si>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</si>
  <si>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</si>
  <si>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</si>
  <si>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</si>
  <si>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</si>
  <si>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</si>
  <si>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</si>
  <si>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</si>
  <si>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</si>
  <si>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</si>
  <si>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</si>
  <si>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</si>
  <si>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</si>
  <si>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</si>
  <si>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</si>
  <si>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</si>
  <si>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</si>
  <si>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</si>
  <si>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</si>
  <si>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</si>
  <si>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</si>
  <si>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</si>
  <si>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</si>
  <si>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</si>
  <si>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</si>
  <si>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</si>
  <si>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</si>
  <si>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</si>
  <si>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</si>
  <si>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</si>
  <si>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</si>
  <si>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</si>
  <si>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</si>
  <si>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</si>
  <si>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</si>
  <si>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</si>
  <si>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</si>
  <si>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</si>
  <si>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</si>
  <si>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</si>
  <si>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</si>
  <si>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</si>
  <si>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</si>
  <si>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</si>
  <si>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</si>
  <si>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</si>
  <si>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</si>
  <si>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</si>
  <si>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</si>
  <si>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</si>
  <si>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</si>
  <si>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</si>
  <si>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</si>
  <si>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</si>
  <si>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</si>
  <si>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</si>
  <si>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</si>
  <si>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</si>
  <si>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</si>
  <si>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</si>
  <si>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</si>
  <si>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</si>
  <si>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</si>
  <si>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</si>
  <si>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</si>
  <si>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</si>
  <si>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</si>
  <si>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</si>
  <si>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</si>
  <si>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</si>
  <si>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</si>
  <si>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</si>
  <si>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</si>
  <si>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</si>
  <si>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</si>
  <si>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</si>
  <si>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</si>
  <si>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</si>
  <si>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</si>
  <si>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</si>
  <si>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</si>
  <si>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</si>
  <si>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</si>
  <si>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</si>
  <si>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</si>
  <si>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</si>
  <si>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</si>
  <si>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</si>
  <si>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</si>
  <si>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</si>
  <si>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</si>
  <si>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</si>
  <si>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</si>
  <si>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</si>
  <si>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</si>
  <si>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</si>
  <si>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</si>
  <si>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</si>
  <si>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</si>
  <si>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</si>
  <si>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</si>
  <si>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</si>
  <si>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</si>
  <si>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</si>
  <si>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</si>
  <si>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</si>
  <si>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</si>
  <si>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</si>
  <si>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</si>
  <si>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</si>
  <si>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</si>
  <si>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</si>
  <si>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</si>
  <si>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</si>
  <si>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</si>
  <si>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</si>
  <si>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</si>
  <si>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</si>
  <si>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</si>
  <si>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</si>
  <si>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</si>
  <si>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</si>
  <si>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</si>
  <si>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</si>
  <si>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</si>
  <si>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</si>
  <si>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</si>
  <si>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</si>
  <si>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</si>
  <si>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</si>
  <si>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</si>
  <si>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</si>
  <si>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</si>
  <si>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</si>
  <si>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</si>
  <si>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</si>
  <si>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</si>
  <si>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</si>
  <si>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</si>
  <si>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</si>
  <si>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</si>
  <si>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</si>
  <si>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</si>
  <si>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</si>
  <si>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</si>
  <si>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</si>
  <si>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</si>
  <si>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</si>
  <si>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</si>
  <si>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</si>
  <si>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</si>
  <si>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</si>
  <si>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</si>
  <si>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</si>
  <si>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</si>
  <si>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</si>
  <si>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</si>
  <si>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</si>
  <si>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</si>
  <si>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</si>
  <si>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</si>
  <si>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</si>
  <si>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</si>
  <si>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</si>
  <si>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</si>
  <si>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</si>
  <si>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</si>
  <si>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</si>
  <si>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</si>
  <si>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</si>
  <si>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</si>
  <si>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</si>
  <si>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</si>
  <si>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</si>
  <si>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</si>
  <si>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</si>
  <si>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</si>
  <si>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</si>
  <si>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</si>
  <si>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</si>
  <si>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</si>
  <si>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</si>
  <si>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</si>
  <si>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</si>
  <si>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</si>
  <si>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</si>
  <si>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</si>
  <si>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</si>
  <si>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</si>
  <si>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</si>
  <si>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</si>
  <si>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</si>
  <si>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</si>
  <si>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</si>
  <si>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</si>
  <si>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</si>
  <si>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</si>
  <si>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</si>
  <si>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</si>
  <si>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</si>
  <si>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</si>
  <si>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</si>
  <si>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</si>
  <si>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</si>
  <si>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</si>
  <si>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</si>
  <si>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</si>
  <si>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</si>
  <si>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</si>
  <si>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</si>
  <si>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</si>
  <si>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</si>
  <si>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</si>
  <si>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</si>
  <si>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</si>
  <si>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</si>
  <si>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</si>
  <si>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</si>
  <si>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</si>
  <si>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</si>
  <si>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</si>
  <si>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</si>
  <si>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</si>
  <si>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</si>
  <si>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</si>
  <si>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</si>
  <si>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</si>
  <si>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</si>
  <si>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</si>
  <si>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</si>
  <si>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</si>
  <si>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</si>
  <si>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</si>
  <si>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</si>
  <si>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</si>
  <si>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</si>
  <si>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</si>
  <si>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</si>
  <si>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</si>
  <si>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</si>
  <si>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</si>
  <si>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</si>
  <si>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</si>
  <si>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</si>
  <si>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</si>
  <si>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</si>
  <si>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</si>
  <si>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</si>
  <si>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</si>
  <si>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</si>
  <si>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</si>
  <si>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</si>
  <si>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</si>
  <si>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</si>
  <si>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</si>
  <si>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</si>
  <si>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</si>
  <si>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</si>
  <si>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</si>
  <si>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</si>
  <si>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</si>
  <si>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</si>
  <si>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</si>
  <si>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</si>
  <si>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</si>
  <si>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</si>
  <si>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</si>
  <si>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</si>
  <si>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</si>
  <si>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</si>
  <si>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</si>
  <si>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</si>
  <si>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</si>
  <si>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</si>
  <si>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</si>
  <si>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</si>
  <si>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</si>
  <si>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</si>
  <si>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</si>
  <si>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</si>
  <si>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</si>
  <si>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</si>
  <si>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</si>
  <si>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</si>
  <si>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</si>
  <si>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</si>
  <si>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</si>
  <si>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</si>
  <si>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</si>
  <si>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</si>
  <si>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</si>
  <si>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</si>
  <si>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</si>
  <si>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</si>
  <si>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</si>
  <si>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</si>
  <si>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</si>
  <si>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</si>
  <si>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</si>
  <si>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</si>
  <si>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</si>
  <si>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</si>
  <si>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</si>
  <si>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</si>
  <si>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</si>
  <si>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</si>
  <si>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</si>
  <si>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</si>
  <si>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</si>
  <si>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</si>
  <si>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</si>
  <si>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</si>
  <si>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</si>
  <si>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</si>
  <si>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</si>
  <si>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</si>
  <si>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</si>
  <si>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</si>
  <si>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</si>
  <si>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</si>
  <si>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</si>
  <si>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</si>
  <si>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</si>
  <si>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</si>
  <si>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</si>
  <si>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</si>
  <si>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</si>
  <si>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</si>
  <si>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</si>
  <si>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</si>
  <si>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</si>
  <si>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</si>
  <si>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</si>
  <si>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</si>
  <si>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</si>
  <si>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</si>
  <si>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</si>
  <si>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</si>
  <si>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</si>
  <si>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</si>
  <si>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</si>
  <si>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</si>
  <si>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</si>
  <si>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</si>
  <si>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</si>
  <si>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</si>
  <si>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</si>
  <si>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</si>
  <si>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</si>
  <si>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</si>
  <si>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</si>
  <si>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</si>
  <si>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</si>
  <si>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</si>
  <si>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</si>
  <si>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</si>
  <si>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</si>
  <si>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</si>
  <si>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</si>
  <si>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</si>
  <si>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</si>
  <si>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</si>
  <si>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</si>
  <si>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</si>
  <si>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</si>
  <si>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</si>
  <si>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</si>
  <si>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</si>
  <si>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</si>
  <si>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</si>
  <si>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</si>
  <si>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</si>
  <si>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</si>
  <si>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</si>
  <si>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</si>
  <si>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</si>
  <si>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</si>
  <si>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</si>
  <si>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</si>
  <si>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</si>
  <si>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</si>
  <si>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</si>
  <si>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</si>
  <si>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</si>
  <si>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</si>
  <si>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</si>
  <si>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</si>
  <si>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</si>
  <si>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</si>
  <si>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</si>
  <si>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</si>
  <si>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</si>
  <si>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</si>
  <si>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</si>
  <si>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</si>
  <si>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</si>
  <si>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</si>
  <si>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</si>
  <si>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</si>
  <si>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</si>
  <si>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</si>
  <si>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</si>
  <si>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</si>
  <si>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</si>
  <si>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</si>
  <si>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</si>
  <si>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</si>
  <si>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</si>
  <si>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</si>
  <si>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</si>
  <si>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</si>
  <si>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</si>
  <si>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</si>
  <si>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</si>
  <si>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</si>
  <si>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</si>
  <si>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</si>
  <si>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</si>
  <si>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</si>
  <si>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</si>
  <si>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</si>
  <si>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</si>
  <si>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</si>
  <si>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</si>
  <si>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</si>
  <si>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</si>
  <si>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</si>
  <si>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</si>
  <si>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</si>
  <si>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</si>
  <si>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</si>
  <si>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</si>
  <si>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</si>
  <si>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</si>
  <si>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</si>
  <si>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</si>
  <si>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</si>
  <si>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</si>
  <si>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</si>
  <si>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</si>
  <si>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</si>
  <si>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</si>
  <si>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</si>
  <si>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</si>
  <si>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</si>
  <si>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</si>
  <si>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</si>
  <si>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</si>
  <si>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</si>
  <si>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</si>
  <si>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</si>
  <si>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</si>
  <si>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</si>
  <si>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</si>
  <si>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</si>
  <si>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</si>
  <si>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</si>
  <si>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</si>
  <si>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</si>
  <si>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</si>
  <si>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</si>
  <si>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</si>
  <si>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</si>
  <si>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</si>
  <si>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</si>
  <si>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</si>
  <si>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</si>
  <si>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</si>
  <si>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</si>
  <si>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</si>
  <si>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</si>
  <si>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</si>
  <si>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</si>
  <si>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</si>
  <si>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</si>
  <si>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</si>
  <si>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</si>
  <si>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</si>
  <si>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</si>
  <si>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</si>
  <si>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</si>
  <si>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</si>
  <si>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</si>
  <si>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</si>
  <si>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</si>
  <si>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</si>
  <si>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</si>
  <si>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</si>
  <si>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</si>
  <si>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</si>
  <si>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</si>
  <si>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</si>
  <si>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</si>
  <si>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</si>
  <si>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</si>
  <si>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</si>
  <si>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</si>
  <si>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</si>
  <si>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</si>
  <si>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</si>
  <si>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</si>
  <si>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</si>
  <si>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</si>
  <si>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</si>
  <si>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</si>
  <si>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</si>
  <si>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</si>
  <si>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</si>
  <si>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</si>
  <si>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</si>
  <si>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</si>
  <si>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</si>
  <si>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</si>
  <si>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</si>
  <si>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</si>
  <si>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</si>
  <si>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</si>
  <si>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</si>
  <si>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</si>
  <si>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</si>
  <si>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</si>
  <si>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</si>
  <si>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</si>
  <si>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</si>
  <si>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</si>
  <si>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</si>
  <si>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</si>
  <si>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</si>
  <si>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</si>
  <si>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</si>
  <si>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</si>
  <si>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</si>
  <si>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</si>
  <si>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</si>
  <si>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</si>
  <si>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</si>
  <si>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</si>
  <si>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</si>
  <si>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</si>
  <si>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</si>
  <si>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</si>
  <si>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</si>
  <si>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</si>
  <si>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</si>
  <si>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</si>
  <si>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</si>
  <si>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</si>
  <si>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</si>
  <si>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</si>
  <si>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</si>
  <si>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</si>
  <si>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</si>
  <si>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</si>
  <si>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</si>
  <si>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</si>
  <si>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</si>
  <si>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</si>
  <si>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</si>
  <si>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</si>
  <si>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</si>
  <si>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</si>
  <si>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</si>
  <si>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</si>
  <si>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</si>
  <si>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</si>
  <si>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</si>
  <si>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</si>
  <si>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</si>
  <si>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</si>
  <si>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</si>
  <si>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</si>
  <si>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</si>
  <si>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</si>
  <si>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</si>
  <si>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</si>
  <si>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</si>
  <si>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</si>
  <si>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</si>
  <si>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</si>
  <si>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</si>
  <si>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</si>
  <si>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</si>
  <si>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</si>
  <si>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</si>
  <si>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</si>
  <si>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</si>
  <si>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</si>
  <si>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</si>
  <si>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</si>
  <si>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</si>
  <si>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</si>
  <si>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</si>
  <si>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</si>
  <si>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</si>
  <si>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</si>
  <si>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</si>
  <si>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</si>
  <si>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</si>
  <si>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</si>
  <si>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</si>
  <si>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</si>
  <si>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</si>
  <si>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</si>
  <si>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</si>
  <si>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</si>
  <si>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</si>
  <si>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</si>
  <si>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</si>
  <si>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</si>
  <si>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</si>
  <si>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</si>
  <si>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</si>
  <si>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</si>
  <si>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</si>
  <si>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</si>
  <si>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</si>
  <si>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</si>
  <si>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</si>
  <si>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</si>
  <si>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</si>
  <si>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</si>
  <si>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</si>
  <si>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</si>
  <si>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</si>
  <si>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</si>
  <si>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</si>
  <si>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</si>
  <si>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</si>
  <si>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</si>
  <si>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</si>
  <si>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</si>
  <si>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</si>
  <si>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</si>
  <si>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</si>
  <si>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</si>
  <si>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</si>
  <si>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</si>
  <si>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</si>
  <si>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</si>
  <si>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</si>
  <si>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</si>
  <si>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</si>
  <si>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</si>
  <si>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</si>
  <si>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</si>
  <si>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</si>
  <si>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</si>
  <si>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</si>
  <si>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</si>
  <si>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</si>
  <si>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</si>
  <si>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</si>
  <si>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</si>
  <si>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</si>
  <si>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</si>
  <si>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</si>
  <si>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</si>
  <si>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</si>
  <si>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</si>
  <si>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</si>
  <si>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</si>
  <si>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</si>
  <si>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</si>
  <si>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</si>
  <si>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</si>
  <si>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</si>
  <si>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</si>
  <si>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</si>
  <si>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</si>
  <si>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</si>
  <si>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</si>
  <si>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</si>
  <si>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</si>
  <si>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</si>
  <si>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</si>
  <si>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</si>
  <si>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</si>
  <si>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</si>
  <si>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</si>
  <si>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</si>
  <si>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</si>
  <si>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</si>
  <si>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</si>
  <si>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</si>
  <si>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</si>
  <si>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</si>
  <si>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</si>
  <si>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</si>
  <si>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</si>
  <si>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</si>
  <si>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</si>
  <si>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</si>
  <si>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</si>
  <si>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</si>
  <si>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</si>
  <si>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</si>
  <si>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</si>
  <si>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</si>
  <si>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</si>
  <si>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</si>
  <si>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</si>
  <si>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</si>
  <si>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</si>
  <si>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</si>
  <si>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</si>
  <si>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</si>
  <si>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</si>
  <si>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</si>
  <si>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</si>
  <si>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</si>
  <si>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</si>
  <si>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</si>
  <si>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</si>
  <si>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</si>
  <si>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</si>
  <si>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</si>
  <si>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</si>
  <si>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</si>
  <si>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</si>
  <si>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</si>
  <si>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</si>
  <si>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</si>
  <si>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</si>
  <si>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</si>
  <si>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</si>
  <si>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</si>
  <si>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</si>
  <si>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</si>
  <si>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</si>
  <si>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</si>
  <si>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</si>
  <si>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</si>
  <si>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</si>
  <si>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</si>
  <si>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</si>
  <si>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</si>
  <si>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</si>
  <si>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</si>
  <si>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</si>
  <si>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</si>
  <si>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</si>
  <si>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</si>
  <si>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</si>
  <si>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</si>
  <si>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</si>
  <si>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</si>
  <si>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</si>
  <si>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</si>
  <si>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</si>
  <si>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</si>
  <si>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</si>
  <si>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</si>
  <si>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</si>
  <si>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</si>
  <si>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</si>
  <si>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</si>
  <si>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</si>
  <si>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</si>
  <si>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</si>
  <si>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</si>
  <si>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</si>
  <si>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</si>
  <si>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</si>
  <si>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</si>
  <si>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</si>
  <si>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</si>
  <si>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</si>
  <si>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</si>
  <si>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</si>
  <si>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</si>
  <si>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</si>
  <si>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</si>
  <si>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</si>
  <si>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</si>
  <si>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</si>
  <si>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</si>
  <si>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</si>
  <si>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</si>
  <si>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</si>
  <si>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</si>
  <si>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</si>
  <si>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</si>
  <si>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</si>
  <si>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</si>
  <si>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</si>
  <si>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</si>
  <si>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</si>
  <si>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</si>
  <si>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</si>
  <si>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</si>
  <si>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</si>
  <si>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</si>
  <si>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</si>
  <si>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</si>
  <si>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</si>
  <si>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</si>
  <si>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</si>
  <si>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</si>
  <si>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</si>
  <si>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</si>
  <si>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</si>
  <si>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</si>
  <si>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</si>
  <si>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</si>
  <si>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</si>
  <si>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</si>
  <si>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</si>
  <si>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</si>
  <si>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</si>
  <si>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</si>
  <si>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</si>
  <si>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</si>
  <si>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</si>
  <si>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</si>
  <si>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</si>
  <si>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</si>
  <si>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</si>
  <si>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</si>
  <si>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</si>
  <si>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</si>
  <si>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</si>
  <si>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</si>
  <si>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</si>
  <si>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</si>
  <si>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</si>
  <si>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</si>
  <si>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</si>
  <si>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</si>
  <si>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</si>
  <si>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</si>
  <si>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</si>
  <si>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</si>
  <si>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</si>
  <si>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</si>
  <si>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</si>
  <si>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</si>
  <si>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</si>
  <si>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</si>
  <si>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</si>
  <si>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</si>
  <si>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</si>
  <si>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</si>
  <si>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</si>
  <si>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</si>
  <si>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</si>
  <si>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</si>
  <si>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</si>
  <si>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</si>
  <si>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</si>
  <si>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</si>
  <si>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</si>
  <si>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</si>
  <si>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</si>
  <si>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</si>
  <si>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</si>
  <si>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</si>
  <si>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</si>
  <si>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</si>
  <si>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</si>
  <si>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</si>
  <si>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</si>
  <si>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</si>
  <si>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</si>
  <si>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</si>
  <si>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</si>
  <si>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</si>
  <si>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</si>
  <si>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</si>
  <si>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</si>
  <si>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</si>
  <si>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</si>
  <si>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</si>
  <si>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</si>
  <si>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</si>
  <si>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</si>
  <si>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</si>
  <si>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</si>
  <si>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</si>
  <si>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</si>
  <si>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</si>
  <si>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</si>
  <si>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</si>
  <si>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</si>
  <si>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</si>
  <si>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</si>
  <si>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</si>
  <si>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</si>
  <si>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</si>
  <si>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</si>
  <si>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</si>
  <si>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</si>
  <si>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</si>
  <si>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</si>
  <si>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</si>
  <si>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</si>
  <si>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</si>
  <si>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</si>
  <si>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</si>
  <si>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</si>
  <si>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</si>
  <si>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</si>
  <si>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</si>
  <si>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</si>
  <si>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</si>
  <si>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</si>
  <si>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</si>
  <si>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</si>
  <si>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</si>
  <si>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</si>
  <si>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</si>
  <si>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</si>
  <si>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</si>
  <si>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</si>
  <si>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</si>
  <si>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</si>
  <si>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</si>
  <si>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</si>
  <si>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</si>
  <si>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</si>
  <si>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</si>
  <si>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</si>
  <si>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</si>
  <si>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</si>
  <si>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</si>
  <si>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</si>
  <si>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</si>
  <si>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</si>
  <si>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</si>
  <si>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</si>
  <si>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</si>
  <si>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</si>
  <si>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</si>
  <si>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</si>
  <si>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</si>
  <si>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</si>
  <si>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</si>
  <si>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</si>
  <si>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</si>
  <si>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</si>
  <si>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</si>
  <si>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</si>
  <si>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</si>
  <si>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</si>
  <si>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</si>
  <si>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</si>
  <si>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</si>
  <si>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</si>
  <si>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</si>
  <si>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</si>
  <si>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</si>
  <si>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</si>
  <si>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</si>
  <si>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</si>
  <si>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</si>
  <si>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</si>
  <si>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</si>
  <si>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</si>
  <si>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</si>
  <si>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</si>
  <si>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</si>
  <si>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</si>
  <si>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</si>
  <si>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</si>
  <si>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</si>
  <si>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</si>
  <si>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</si>
  <si>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</si>
  <si>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</si>
  <si>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</si>
  <si>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</si>
  <si>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</si>
  <si>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</si>
  <si>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</si>
  <si>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</si>
  <si>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</si>
  <si>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</si>
  <si>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</si>
  <si>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</si>
  <si>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</si>
  <si>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</si>
  <si>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</si>
  <si>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</si>
  <si>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</si>
  <si>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</si>
  <si>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</si>
  <si>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</si>
  <si>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</si>
  <si>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</si>
  <si>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</si>
  <si>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</si>
  <si>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</si>
  <si>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</si>
  <si>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</si>
  <si>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</si>
  <si>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</si>
  <si>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</si>
  <si>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</si>
  <si>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</si>
  <si>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</si>
  <si>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</si>
  <si>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</si>
  <si>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</si>
  <si>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</si>
  <si>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</si>
  <si>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</si>
  <si>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</si>
  <si>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</si>
  <si>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</si>
  <si>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</si>
  <si>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</si>
  <si>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</si>
  <si>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</si>
  <si>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</si>
  <si>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</si>
  <si>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</si>
  <si>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</si>
  <si>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</si>
  <si>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</si>
  <si>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</si>
  <si>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</si>
  <si>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</si>
  <si>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</si>
  <si>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</si>
  <si>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</si>
  <si>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</si>
  <si>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</si>
  <si>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</si>
  <si>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</si>
  <si>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</si>
  <si>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</si>
  <si>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</si>
  <si>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</si>
  <si>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</si>
  <si>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</si>
  <si>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</si>
  <si>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</si>
  <si>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</si>
  <si>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</si>
  <si>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</si>
  <si>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</si>
  <si>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</si>
  <si>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</si>
  <si>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</si>
  <si>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</si>
  <si>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</si>
  <si>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</si>
  <si>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</si>
  <si>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</si>
  <si>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</si>
  <si>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</si>
  <si>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</si>
  <si>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</si>
  <si>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</si>
  <si>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</si>
  <si>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</si>
  <si>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</si>
  <si>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</si>
  <si>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</si>
  <si>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</si>
  <si>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</si>
  <si>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</si>
  <si>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</si>
  <si>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</si>
  <si>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</si>
  <si>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</si>
  <si>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</si>
  <si>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</si>
  <si>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</si>
  <si>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</si>
  <si>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</si>
  <si>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</si>
  <si>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</si>
  <si>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</si>
  <si>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</si>
  <si>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</si>
  <si>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</si>
  <si>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</si>
  <si>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</si>
  <si>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</si>
  <si>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</si>
  <si>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</si>
  <si>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</si>
  <si>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</si>
  <si>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</si>
  <si>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</si>
  <si>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</si>
  <si>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</si>
  <si>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</si>
  <si>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</si>
  <si>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</si>
  <si>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</si>
  <si>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</si>
  <si>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</si>
  <si>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</si>
  <si>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</si>
  <si>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</si>
  <si>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</si>
  <si>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</si>
  <si>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</si>
  <si>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</si>
  <si>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</si>
  <si>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</si>
  <si>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</si>
  <si>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</si>
  <si>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</si>
  <si>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</si>
  <si>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</si>
  <si>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</si>
  <si>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</si>
  <si>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</si>
  <si>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</si>
  <si>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</si>
  <si>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</si>
  <si>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</si>
  <si>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</si>
  <si>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</si>
  <si>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</si>
  <si>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</si>
  <si>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</si>
  <si>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</si>
  <si>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</si>
  <si>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</si>
  <si>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</si>
  <si>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</si>
  <si>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</si>
  <si>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</si>
  <si>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</si>
  <si>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</si>
  <si>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</si>
  <si>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</si>
  <si>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</si>
  <si>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</si>
  <si>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</si>
  <si>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</si>
  <si>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</si>
  <si>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</si>
  <si>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</si>
  <si>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</si>
  <si>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</si>
  <si>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</si>
  <si>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</si>
  <si>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</si>
  <si>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</si>
  <si>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</si>
  <si>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</si>
  <si>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</si>
  <si>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</si>
  <si>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</si>
  <si>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</si>
  <si>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</si>
  <si>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</si>
  <si>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</si>
  <si>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</si>
  <si>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</si>
  <si>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</si>
  <si>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</si>
  <si>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</si>
  <si>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</si>
  <si>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</si>
  <si>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</si>
  <si>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</si>
  <si>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</si>
  <si>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</si>
  <si>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</si>
  <si>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</si>
  <si>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</si>
  <si>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</si>
  <si>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</si>
  <si>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</si>
  <si>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</si>
  <si>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</si>
  <si>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</si>
  <si>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</si>
  <si>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</si>
  <si>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</si>
  <si>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</si>
  <si>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</si>
  <si>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</si>
  <si>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</si>
  <si>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</si>
  <si>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</si>
  <si>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</si>
  <si>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</si>
  <si>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</si>
  <si>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</si>
  <si>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</si>
  <si>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</si>
  <si>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</si>
  <si>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</si>
  <si>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</si>
  <si>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</si>
  <si>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</si>
  <si>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</si>
  <si>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</si>
  <si>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</si>
  <si>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</si>
  <si>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</si>
  <si>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</si>
  <si>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</si>
  <si>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</si>
  <si>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</si>
  <si>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</si>
  <si>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</si>
  <si>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</si>
  <si>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</si>
  <si>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</si>
  <si>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</si>
  <si>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</si>
  <si>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</si>
  <si>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</si>
  <si>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</si>
  <si>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</si>
  <si>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</si>
  <si>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</si>
  <si>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</si>
  <si>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</si>
  <si>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</si>
  <si>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</si>
  <si>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</si>
  <si>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</si>
  <si>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</si>
  <si>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</si>
  <si>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</si>
  <si>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</si>
  <si>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</si>
  <si>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</si>
  <si>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</si>
  <si>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</si>
  <si>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</si>
  <si>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</si>
  <si>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</si>
  <si>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</si>
  <si>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</si>
  <si>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</si>
  <si>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</si>
  <si>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</si>
  <si>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</si>
  <si>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</si>
  <si>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</si>
  <si>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</si>
  <si>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</si>
  <si>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</si>
  <si>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</si>
  <si>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</si>
  <si>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</si>
  <si>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</si>
  <si>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</si>
  <si>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</si>
  <si>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</si>
  <si>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</si>
  <si>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</si>
  <si>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</si>
  <si>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</si>
  <si>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</si>
  <si>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</si>
  <si>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</si>
  <si>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</si>
  <si>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</si>
  <si>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</si>
  <si>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</si>
  <si>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</si>
  <si>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</si>
  <si>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</si>
  <si>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</si>
  <si>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</si>
  <si>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</si>
  <si>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</si>
  <si>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</si>
  <si>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</si>
  <si>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</si>
  <si>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</si>
  <si>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</si>
  <si>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</si>
  <si>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</si>
  <si>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</si>
  <si>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</si>
  <si>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</si>
  <si>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</si>
  <si>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</si>
  <si>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</si>
  <si>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</si>
  <si>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</si>
  <si>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</si>
  <si>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</si>
  <si>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</si>
  <si>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</si>
  <si>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</si>
  <si>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</si>
  <si>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</si>
  <si>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</si>
  <si>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</si>
  <si>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</si>
  <si>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</si>
  <si>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</si>
  <si>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</si>
  <si>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</si>
  <si>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</si>
  <si>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</si>
  <si>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</si>
  <si>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</si>
  <si>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</si>
  <si>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</si>
  <si>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</si>
  <si>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</si>
  <si>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</si>
  <si>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</si>
  <si>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</si>
  <si>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</si>
  <si>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</si>
  <si>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</si>
  <si>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</si>
  <si>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</si>
  <si>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</si>
  <si>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</si>
  <si>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</si>
  <si>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</si>
  <si>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</si>
  <si>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</si>
  <si>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</si>
  <si>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</si>
  <si>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</si>
  <si>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</si>
  <si>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</si>
  <si>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</si>
  <si>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</si>
  <si>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</si>
  <si>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</si>
  <si>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</si>
  <si>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</si>
  <si>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</si>
  <si>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</si>
  <si>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</si>
  <si>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</si>
  <si>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</si>
  <si>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</si>
  <si>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</si>
  <si>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</si>
  <si>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</si>
  <si>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</si>
  <si>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</si>
  <si>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</si>
  <si>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</si>
  <si>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</si>
  <si>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</si>
  <si>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</si>
  <si>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</si>
  <si>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</si>
  <si>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</si>
  <si>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</si>
  <si>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</si>
  <si>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</si>
  <si>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</si>
  <si>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</si>
  <si>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</si>
  <si>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</si>
  <si>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</si>
  <si>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</si>
  <si>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</si>
  <si>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</si>
  <si>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</si>
  <si>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</si>
  <si>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</si>
  <si>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</si>
  <si>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</si>
  <si>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</si>
  <si>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</si>
  <si>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</si>
  <si>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</si>
  <si>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</si>
  <si>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</si>
  <si>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</si>
  <si>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</si>
  <si>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</si>
  <si>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</si>
  <si>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</si>
  <si>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</si>
  <si>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</si>
  <si>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</si>
  <si>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</si>
  <si>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</si>
  <si>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</si>
  <si>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</si>
  <si>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</si>
  <si>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</si>
  <si>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</si>
  <si>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</si>
  <si>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</si>
  <si>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</si>
  <si>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</si>
  <si>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</si>
  <si>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</si>
  <si>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</si>
  <si>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</si>
  <si>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</si>
  <si>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</si>
  <si>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</si>
  <si>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</si>
  <si>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</si>
  <si>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</si>
  <si>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</si>
  <si>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</si>
  <si>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</si>
  <si>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</si>
  <si>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</si>
  <si>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</si>
  <si>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</si>
  <si>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</si>
  <si>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</si>
  <si>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</si>
  <si>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</si>
  <si>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</si>
  <si>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</si>
  <si>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</si>
  <si>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</si>
  <si>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</si>
  <si>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</si>
  <si>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</si>
  <si>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</si>
  <si>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</si>
  <si>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</si>
  <si>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</si>
  <si>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</si>
  <si>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</si>
  <si>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</si>
  <si>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</si>
  <si>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</si>
  <si>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</si>
  <si>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</si>
  <si>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</si>
  <si>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</si>
  <si>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</si>
  <si>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</si>
  <si>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</si>
  <si>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</si>
  <si>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</si>
  <si>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</si>
  <si>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</si>
  <si>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</si>
  <si>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</si>
  <si>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</si>
  <si>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</si>
  <si>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</si>
  <si>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</si>
  <si>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</si>
  <si>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</si>
  <si>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</si>
  <si>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</si>
  <si>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</si>
  <si>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</si>
  <si>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</si>
  <si>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</si>
  <si>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</si>
  <si>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</si>
  <si>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</si>
  <si>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</si>
  <si>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</si>
  <si>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</si>
  <si>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</si>
  <si>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</si>
  <si>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</si>
  <si>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</si>
  <si>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</si>
  <si>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</si>
  <si>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</si>
  <si>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</si>
  <si>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</si>
  <si>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</si>
  <si>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</si>
  <si>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</si>
  <si>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</si>
  <si>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</si>
  <si>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</si>
  <si>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</si>
  <si>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</si>
  <si>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</si>
  <si>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</si>
  <si>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</si>
  <si>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</si>
  <si>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</si>
  <si>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</si>
  <si>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</si>
  <si>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</si>
  <si>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</si>
  <si>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</si>
  <si>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</si>
  <si>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</si>
  <si>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</si>
  <si>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</si>
  <si>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</si>
  <si>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</si>
  <si>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</si>
  <si>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</si>
  <si>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</si>
  <si>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</si>
  <si>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</si>
  <si>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</si>
  <si>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</si>
  <si>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</si>
  <si>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</si>
  <si>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</si>
  <si>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</si>
  <si>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</si>
  <si>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</si>
  <si>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</si>
  <si>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</si>
  <si>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</si>
  <si>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</si>
  <si>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</si>
  <si>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</si>
  <si>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</si>
  <si>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</si>
  <si>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</si>
  <si>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</si>
  <si>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</si>
  <si>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</si>
  <si>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</si>
  <si>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</si>
  <si>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</si>
  <si>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</si>
  <si>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</si>
  <si>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</si>
  <si>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</si>
  <si>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</si>
  <si>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</si>
  <si>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</si>
  <si>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</si>
  <si>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</si>
  <si>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</si>
  <si>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</si>
  <si>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</si>
  <si>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</si>
  <si>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</si>
  <si>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</si>
  <si>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</si>
  <si>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</si>
  <si>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</si>
  <si>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</si>
  <si>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</si>
  <si>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</si>
  <si>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</si>
  <si>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</si>
  <si>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</si>
  <si>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</si>
  <si>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</si>
  <si>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</si>
  <si>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</si>
  <si>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</si>
  <si>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</si>
  <si>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</si>
  <si>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</si>
  <si>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</si>
  <si>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</si>
  <si>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</si>
  <si>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</si>
  <si>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</si>
  <si>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</si>
  <si>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</si>
  <si>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</si>
  <si>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</si>
  <si>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</si>
  <si>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</si>
  <si>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</si>
  <si>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</si>
  <si>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</si>
  <si>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</si>
  <si>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</si>
  <si>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</si>
  <si>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</si>
  <si>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</si>
  <si>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</si>
  <si>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</si>
  <si>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</si>
  <si>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</si>
  <si>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</si>
  <si>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</si>
  <si>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</si>
  <si>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</si>
  <si>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</si>
  <si>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</si>
  <si>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</si>
  <si>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</si>
  <si>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</si>
  <si>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</si>
  <si>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</si>
  <si>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</si>
  <si>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</si>
  <si>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</si>
  <si>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</si>
  <si>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</si>
  <si>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</si>
  <si>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</si>
  <si>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</si>
  <si>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</si>
  <si>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</si>
  <si>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</si>
  <si>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</si>
  <si>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</si>
  <si>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</si>
  <si>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</si>
  <si>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</si>
  <si>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</si>
  <si>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</si>
  <si>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</si>
  <si>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</si>
  <si>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</si>
  <si>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</si>
  <si>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</si>
  <si>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</si>
  <si>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</si>
  <si>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</si>
  <si>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</si>
  <si>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</si>
  <si>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</si>
  <si>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</si>
  <si>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</si>
  <si>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</si>
  <si>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</si>
  <si>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</si>
  <si>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</si>
  <si>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</si>
  <si>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</si>
  <si>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</si>
  <si>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</si>
  <si>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</si>
  <si>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</si>
  <si>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</si>
  <si>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</si>
  <si>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</si>
  <si>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</si>
  <si>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</si>
  <si>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</si>
  <si>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</si>
  <si>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</si>
  <si>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</si>
  <si>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</si>
  <si>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</si>
  <si>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</si>
  <si>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</si>
  <si>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</si>
  <si>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</si>
  <si>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</si>
  <si>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</si>
  <si>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</si>
  <si>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</si>
  <si>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</si>
  <si>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</si>
  <si>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</si>
  <si>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</si>
  <si>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</si>
  <si>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</si>
  <si>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</si>
  <si>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</si>
  <si>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</si>
  <si>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</si>
  <si>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</si>
  <si>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</si>
  <si>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</si>
  <si>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</si>
  <si>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</si>
  <si>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</si>
  <si>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</si>
  <si>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</si>
  <si>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</si>
  <si>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</si>
  <si>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</si>
  <si>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</si>
  <si>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</si>
  <si>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</si>
  <si>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</si>
  <si>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</si>
  <si>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</si>
  <si>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</si>
  <si>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</si>
  <si>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</si>
  <si>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</si>
  <si>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</si>
  <si>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</si>
  <si>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</si>
  <si>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</si>
  <si>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</si>
  <si>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</si>
  <si>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</si>
  <si>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</si>
  <si>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</si>
  <si>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</si>
  <si>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</si>
  <si>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</si>
  <si>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</si>
  <si>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</si>
  <si>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</si>
  <si>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</si>
  <si>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</si>
  <si>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</si>
  <si>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</si>
  <si>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</si>
  <si>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</si>
  <si>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</si>
  <si>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</si>
  <si>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</si>
  <si>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</si>
  <si>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</si>
  <si>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</si>
  <si>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</si>
  <si>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</si>
  <si>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</si>
  <si>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</si>
  <si>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</si>
  <si>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</si>
  <si>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</si>
  <si>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</si>
  <si>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</si>
  <si>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</si>
  <si>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</si>
  <si>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</si>
  <si>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</si>
  <si>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</si>
  <si>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</si>
  <si>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</si>
  <si>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</si>
  <si>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</si>
  <si>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</si>
  <si>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</si>
  <si>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</si>
  <si>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</si>
  <si>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</si>
  <si>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</si>
  <si>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</si>
  <si>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</si>
  <si>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</si>
  <si>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</si>
  <si>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</si>
  <si>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</si>
  <si>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</si>
  <si>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</si>
  <si>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</si>
  <si>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</si>
  <si>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</si>
  <si>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</si>
  <si>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</si>
  <si>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</si>
  <si>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</si>
  <si>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</si>
  <si>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</si>
  <si>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</si>
  <si>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</si>
  <si>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</si>
  <si>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</si>
  <si>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</si>
  <si>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</si>
  <si>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</si>
  <si>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</si>
  <si>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</si>
  <si>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</si>
  <si>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</si>
  <si>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</si>
  <si>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</si>
  <si>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</si>
  <si>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</si>
  <si>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</si>
  <si>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</si>
  <si>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</si>
  <si>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</si>
  <si>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</si>
  <si>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</si>
  <si>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</si>
  <si>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</si>
  <si>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</si>
  <si>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</si>
  <si>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</si>
  <si>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</si>
  <si>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</si>
  <si>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</si>
  <si>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</si>
  <si>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</si>
  <si>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</si>
  <si>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</si>
  <si>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</si>
  <si>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</si>
  <si>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</si>
  <si>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</si>
  <si>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</si>
  <si>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</si>
  <si>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</si>
  <si>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</si>
  <si>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</si>
  <si>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</si>
  <si>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</si>
  <si>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</si>
  <si>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</si>
  <si>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</si>
  <si>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</si>
  <si>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</si>
  <si>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</si>
  <si>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</si>
  <si>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</si>
  <si>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</si>
  <si>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</si>
  <si>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</si>
  <si>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</si>
  <si>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</si>
  <si>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</si>
  <si>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</si>
  <si>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</si>
  <si>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</si>
  <si>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</si>
  <si>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</si>
  <si>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</si>
  <si>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</si>
  <si>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</si>
  <si>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</si>
  <si>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</si>
  <si>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</si>
  <si>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</si>
  <si>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</si>
  <si>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</si>
  <si>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</si>
  <si>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</si>
  <si>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</si>
  <si>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</si>
  <si>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</si>
  <si>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</si>
  <si>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</si>
  <si>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</si>
  <si>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</si>
  <si>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</si>
  <si>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</si>
  <si>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</si>
  <si>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</si>
  <si>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</si>
  <si>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</si>
  <si>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</si>
  <si>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</si>
  <si>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</si>
  <si>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</si>
  <si>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</si>
  <si>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</si>
  <si>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</si>
  <si>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</si>
  <si>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</si>
  <si>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</si>
  <si>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</si>
  <si>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</si>
  <si>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</si>
  <si>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</si>
  <si>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</si>
  <si>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</si>
  <si>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</si>
  <si>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</si>
  <si>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</si>
  <si>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</si>
  <si>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</si>
  <si>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</si>
  <si>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</si>
  <si>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</si>
  <si>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</si>
  <si>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</si>
  <si>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</si>
  <si>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</si>
  <si>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</si>
  <si>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</si>
  <si>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</si>
  <si>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</si>
  <si>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</si>
  <si>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</si>
  <si>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</si>
  <si>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</si>
  <si>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</si>
  <si>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</si>
  <si>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</si>
  <si>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</si>
  <si>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</si>
  <si>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</si>
  <si>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</si>
  <si>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</si>
  <si>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</si>
  <si>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</si>
  <si>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</si>
  <si>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</si>
  <si>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</si>
  <si>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</si>
  <si>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</si>
  <si>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</si>
  <si>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</si>
  <si>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</si>
  <si>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</si>
  <si>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</si>
  <si>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</si>
  <si>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</si>
  <si>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</si>
  <si>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</si>
  <si>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</si>
  <si>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</si>
  <si>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</si>
  <si>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</si>
  <si>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</si>
  <si>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</si>
  <si>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</si>
  <si>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</si>
  <si>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</si>
  <si>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</si>
  <si>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</si>
  <si>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</si>
  <si>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</si>
  <si>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</si>
  <si>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</si>
  <si>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</si>
  <si>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</si>
  <si>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</si>
  <si>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</si>
  <si>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</si>
  <si>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</si>
  <si>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</si>
  <si>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</si>
  <si>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</si>
  <si>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</si>
  <si>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</si>
  <si>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</si>
  <si>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</si>
  <si>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</si>
  <si>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</si>
  <si>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</si>
  <si>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</si>
  <si>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</si>
  <si>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</si>
  <si>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</si>
  <si>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</si>
  <si>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</si>
  <si>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</si>
  <si>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</si>
  <si>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</si>
  <si>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</si>
  <si>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</si>
  <si>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</si>
  <si>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</si>
  <si>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</si>
  <si>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</si>
  <si>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</si>
  <si>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</si>
  <si>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</si>
  <si>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</si>
  <si>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</si>
  <si>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</si>
  <si>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</si>
  <si>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</si>
  <si>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</si>
  <si>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</si>
  <si>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</si>
  <si>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</si>
  <si>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</si>
  <si>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</si>
  <si>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</si>
  <si>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</si>
  <si>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</si>
  <si>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</si>
  <si>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</si>
  <si>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</si>
  <si>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</si>
  <si>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</si>
  <si>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</si>
  <si>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</si>
  <si>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</si>
  <si>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</si>
  <si>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</si>
  <si>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</si>
  <si>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</si>
  <si>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</si>
  <si>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</si>
  <si>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</si>
  <si>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</si>
  <si>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</si>
  <si>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</si>
  <si>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</si>
  <si>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</si>
  <si>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</si>
  <si>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</si>
  <si>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</si>
  <si>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</si>
  <si>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</si>
  <si>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</si>
  <si>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</si>
  <si>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</si>
  <si>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</si>
  <si>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</si>
  <si>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</si>
  <si>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</si>
  <si>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</si>
  <si>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</si>
  <si>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</si>
  <si>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</si>
  <si>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</si>
  <si>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</si>
  <si>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</si>
  <si>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</si>
  <si>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</si>
  <si>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</si>
  <si>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</si>
  <si>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</si>
  <si>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</si>
  <si>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</si>
  <si>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</si>
  <si>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</si>
  <si>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</si>
  <si>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</si>
  <si>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</si>
  <si>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</si>
  <si>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</si>
  <si>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</si>
  <si>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</si>
  <si>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</si>
  <si>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</si>
  <si>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</si>
  <si>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</si>
  <si>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</si>
  <si>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</si>
  <si>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</si>
  <si>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</si>
  <si>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</si>
  <si>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</si>
  <si>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</si>
  <si>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</si>
  <si>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</si>
  <si>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</si>
  <si>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</si>
  <si>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</si>
  <si>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</si>
  <si>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</si>
  <si>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</si>
  <si>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</si>
  <si>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</si>
  <si>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</si>
  <si>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</si>
  <si>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</si>
  <si>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</si>
  <si>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</si>
  <si>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</si>
  <si>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</si>
  <si>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</si>
  <si>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</si>
  <si>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</si>
  <si>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</si>
  <si>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</si>
  <si>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</si>
  <si>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</si>
  <si>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</si>
  <si>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</si>
  <si>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</si>
  <si>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</si>
  <si>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</si>
  <si>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</si>
  <si>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</si>
  <si>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</si>
  <si>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</si>
  <si>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</si>
  <si>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</si>
  <si>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</si>
  <si>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</si>
  <si>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</si>
  <si>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</si>
  <si>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</si>
  <si>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</si>
  <si>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</si>
  <si>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</si>
  <si>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</si>
  <si>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</si>
  <si>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</si>
  <si>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</si>
  <si>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</si>
  <si>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</si>
  <si>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</si>
  <si>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</si>
  <si>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</si>
  <si>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</si>
  <si>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</si>
  <si>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</si>
  <si>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</si>
  <si>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</si>
  <si>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</si>
  <si>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</si>
  <si>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</si>
  <si>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</si>
  <si>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</si>
  <si>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</si>
  <si>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</si>
  <si>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</si>
  <si>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</si>
  <si>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</si>
  <si>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</si>
  <si>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</si>
  <si>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</si>
  <si>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</si>
  <si>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</si>
  <si>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</si>
  <si>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</si>
  <si>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</si>
  <si>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</si>
  <si>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</si>
  <si>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</si>
  <si>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</si>
  <si>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</si>
  <si>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</si>
  <si>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</si>
  <si>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</si>
  <si>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</si>
  <si>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</si>
  <si>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</si>
  <si>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</si>
  <si>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</si>
  <si>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</si>
  <si>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</si>
  <si>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</si>
  <si>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</si>
  <si>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</si>
  <si>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</si>
  <si>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</si>
  <si>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</si>
  <si>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</si>
  <si>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</si>
  <si>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</si>
  <si>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</si>
  <si>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</si>
  <si>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</si>
  <si>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</si>
  <si>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</si>
  <si>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</si>
  <si>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</si>
  <si>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</si>
  <si>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</si>
  <si>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</si>
  <si>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</si>
  <si>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</si>
  <si>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</si>
  <si>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</si>
  <si>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</si>
  <si>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</si>
  <si>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</si>
  <si>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</si>
  <si>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</si>
  <si>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</si>
  <si>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</si>
  <si>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</si>
  <si>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</si>
  <si>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</si>
  <si>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</si>
  <si>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</si>
  <si>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</si>
  <si>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</si>
  <si>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</si>
  <si>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</si>
  <si>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</si>
  <si>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</si>
  <si>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</si>
  <si>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</si>
  <si>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</si>
  <si>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</si>
  <si>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</si>
  <si>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</si>
  <si>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</si>
  <si>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</si>
  <si>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</si>
  <si>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</si>
  <si>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</si>
  <si>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</si>
  <si>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</si>
  <si>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</si>
  <si>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</si>
  <si>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</si>
  <si>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</si>
  <si>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</si>
  <si>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</si>
  <si>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</si>
  <si>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</si>
  <si>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</si>
  <si>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</si>
  <si>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</si>
  <si>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</si>
  <si>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</si>
  <si>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</si>
  <si>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</si>
  <si>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</si>
  <si>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</si>
  <si>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</si>
  <si>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</si>
  <si>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</si>
  <si>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</si>
  <si>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</si>
  <si>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</si>
  <si>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</si>
  <si>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</si>
  <si>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</si>
  <si>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</si>
  <si>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</si>
  <si>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</si>
  <si>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</si>
  <si>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</si>
  <si>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</si>
  <si>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</si>
  <si>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</si>
  <si>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</si>
  <si>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</si>
  <si>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</si>
  <si>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</si>
  <si>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</si>
  <si>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</si>
  <si>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</si>
  <si>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</si>
  <si>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</si>
  <si>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</si>
  <si>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</si>
  <si>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</si>
  <si>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</si>
  <si>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</si>
  <si>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</si>
  <si>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</si>
  <si>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</si>
  <si>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</si>
  <si>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</si>
  <si>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</si>
  <si>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</si>
  <si>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</si>
  <si>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</si>
  <si>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</si>
  <si>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</si>
  <si>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</si>
  <si>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</si>
  <si>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</si>
  <si>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</si>
  <si>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</si>
  <si>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</si>
  <si>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</si>
  <si>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</si>
  <si>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</si>
  <si>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</si>
  <si>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</si>
  <si>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</si>
  <si>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</si>
  <si>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</si>
  <si>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</si>
  <si>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</si>
  <si>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</si>
  <si>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</si>
  <si>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</si>
  <si>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</si>
  <si>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</si>
  <si>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</si>
  <si>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</si>
  <si>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</si>
  <si>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</si>
  <si>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</si>
  <si>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</si>
  <si>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</si>
  <si>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</si>
  <si>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</si>
  <si>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</si>
  <si>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</si>
  <si>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</si>
  <si>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</si>
  <si>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</si>
  <si>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</si>
  <si>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</si>
  <si>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</si>
  <si>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</si>
  <si>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</si>
  <si>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</si>
  <si>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</si>
  <si>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</si>
  <si>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</si>
  <si>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</si>
  <si>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</si>
  <si>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</si>
  <si>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</si>
  <si>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</si>
  <si>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</si>
  <si>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</si>
  <si>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</si>
  <si>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</si>
  <si>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</si>
  <si>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</si>
  <si>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</si>
  <si>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</si>
  <si>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</si>
  <si>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</si>
  <si>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</si>
  <si>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</si>
  <si>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</si>
  <si>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</si>
  <si>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</si>
  <si>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</si>
  <si>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</si>
  <si>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</si>
  <si>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</si>
  <si>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</si>
  <si>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</si>
  <si>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</si>
  <si>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</si>
  <si>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</si>
  <si>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</si>
  <si>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</si>
  <si>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</si>
  <si>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</si>
  <si>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</si>
  <si>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</si>
  <si>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</si>
  <si>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</si>
  <si>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</si>
  <si>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</si>
  <si>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</si>
  <si>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</si>
  <si>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</si>
  <si>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</si>
  <si>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</si>
  <si>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</si>
  <si>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</si>
  <si>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</si>
  <si>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</si>
  <si>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</si>
  <si>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</si>
  <si>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</si>
  <si>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</si>
  <si>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</si>
  <si>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</si>
  <si>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</si>
  <si>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</si>
  <si>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</si>
  <si>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</si>
  <si>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</si>
  <si>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</si>
  <si>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</si>
  <si>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</si>
  <si>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</si>
  <si>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</si>
  <si>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</si>
  <si>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</si>
  <si>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</si>
  <si>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</si>
  <si>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</si>
  <si>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</si>
  <si>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</si>
  <si>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</si>
  <si>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</si>
  <si>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</si>
  <si>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</si>
  <si>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</si>
  <si>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</si>
  <si>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</si>
  <si>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</si>
  <si>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</si>
  <si>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</si>
  <si>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</si>
  <si>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</si>
  <si>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</si>
  <si>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</si>
  <si>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</si>
  <si>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</si>
  <si>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</si>
  <si>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</si>
  <si>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</si>
  <si>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</si>
  <si>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</si>
  <si>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</si>
  <si>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</si>
  <si>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</si>
  <si>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</si>
  <si>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</si>
  <si>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</si>
  <si>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</si>
  <si>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</si>
  <si>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</si>
  <si>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</si>
  <si>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</si>
  <si>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</si>
  <si>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</si>
  <si>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</si>
  <si>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</si>
  <si>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</si>
  <si>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</si>
  <si>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</si>
  <si>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</si>
  <si>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</si>
  <si>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</si>
  <si>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</si>
  <si>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</si>
  <si>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</si>
  <si>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</si>
  <si>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</si>
  <si>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</si>
  <si>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</si>
  <si>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</si>
  <si>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</si>
  <si>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</si>
  <si>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</si>
  <si>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</si>
  <si>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</si>
  <si>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</si>
  <si>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</si>
  <si>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</si>
  <si>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</si>
  <si>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</si>
  <si>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</si>
  <si>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</si>
  <si>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</si>
  <si>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</si>
  <si>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</si>
  <si>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</si>
  <si>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</si>
  <si>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</si>
  <si>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</si>
  <si>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</si>
  <si>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</si>
  <si>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</si>
  <si>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</si>
  <si>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</si>
  <si>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</si>
  <si>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</si>
  <si>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</si>
  <si>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</si>
  <si>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</si>
  <si>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</si>
  <si>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</si>
  <si>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</si>
  <si>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</si>
  <si>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</si>
  <si>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</si>
  <si>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</si>
  <si>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</si>
  <si>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</si>
  <si>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</si>
  <si>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</si>
  <si>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</si>
  <si>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</si>
  <si>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</si>
  <si>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</si>
  <si>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</si>
  <si>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</si>
  <si>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</si>
  <si>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</si>
  <si>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</si>
  <si>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</si>
  <si>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</si>
  <si>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</si>
  <si>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</si>
  <si>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</si>
  <si>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</si>
  <si>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</si>
  <si>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</si>
  <si>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</si>
  <si>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</si>
  <si>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</si>
  <si>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</si>
  <si>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</si>
  <si>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</si>
  <si>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</si>
  <si>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</si>
  <si>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</si>
  <si>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</si>
  <si>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</si>
  <si>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</si>
  <si>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</si>
  <si>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</si>
  <si>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</si>
  <si>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</si>
  <si>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</si>
  <si>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</si>
  <si>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</si>
  <si>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</si>
  <si>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</si>
  <si>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</si>
  <si>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</si>
  <si>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</si>
  <si>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</si>
  <si>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</si>
  <si>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</si>
  <si>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</si>
  <si>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</si>
  <si>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</si>
  <si>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</si>
  <si>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</si>
  <si>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</si>
  <si>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</si>
  <si>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</si>
  <si>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</si>
  <si>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</si>
  <si>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</si>
  <si>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</si>
  <si>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</si>
  <si>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</si>
  <si>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</si>
  <si>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</si>
  <si>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</si>
  <si>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</si>
  <si>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</si>
  <si>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</si>
  <si>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</si>
  <si>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</si>
  <si>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</si>
  <si>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</si>
  <si>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</si>
  <si>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</si>
  <si>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</si>
  <si>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</si>
  <si>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</si>
  <si>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</si>
  <si>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</si>
  <si>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</si>
  <si>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</si>
  <si>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</si>
  <si>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</si>
  <si>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</si>
  <si>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</si>
  <si>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</si>
  <si>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</si>
  <si>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</si>
  <si>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</si>
  <si>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</si>
  <si>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</si>
  <si>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</si>
  <si>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</si>
  <si>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</si>
  <si>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</si>
  <si>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</si>
  <si>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</si>
  <si>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</si>
  <si>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</si>
  <si>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</si>
  <si>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</si>
  <si>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</si>
  <si>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</si>
  <si>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</si>
  <si>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</si>
  <si>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</si>
  <si>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</si>
  <si>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</si>
  <si>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</si>
  <si>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</si>
  <si>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</si>
  <si>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</si>
  <si>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</si>
  <si>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</si>
  <si>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</si>
  <si>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</si>
  <si>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</si>
  <si>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</si>
  <si>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</si>
  <si>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</si>
  <si>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</si>
  <si>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</si>
  <si>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</si>
  <si>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</si>
  <si>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</si>
  <si>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The Perlman</t>
  </si>
  <si>
    <t>100 N Broadway</t>
  </si>
  <si>
    <t>Santa Maria</t>
  </si>
  <si>
    <t>David Rutledge</t>
  </si>
  <si>
    <t>President</t>
  </si>
  <si>
    <t>September</t>
  </si>
  <si>
    <t>Arcata</t>
  </si>
  <si>
    <t>Community Revitalization &amp; Development Corporation</t>
  </si>
  <si>
    <t>City of Santa Maria</t>
  </si>
  <si>
    <t>David Rowlands</t>
  </si>
  <si>
    <t>110 East Cook Street</t>
  </si>
  <si>
    <t>CityManager-Admin@cityofsantamaria.org</t>
  </si>
  <si>
    <t xml:space="preserve">121-224-035	</t>
  </si>
  <si>
    <t>40%/60%</t>
  </si>
  <si>
    <t>1918 West Street</t>
  </si>
  <si>
    <t>Redding</t>
  </si>
  <si>
    <t>CA</t>
  </si>
  <si>
    <t>david@crdc-housing.org</t>
  </si>
  <si>
    <t>Community Revitalization and Development Corporation</t>
  </si>
  <si>
    <t>Managing GP</t>
  </si>
  <si>
    <t>Administrative GP</t>
  </si>
  <si>
    <t>5251 Ericson Way, STE A</t>
  </si>
  <si>
    <t>Chris Dart</t>
  </si>
  <si>
    <t>cdart@danco-group,com</t>
  </si>
  <si>
    <t>Johnson &amp; Johnson Investments, LLC</t>
  </si>
  <si>
    <t>david@crdc-housing,org</t>
  </si>
  <si>
    <t xml:space="preserve">Danco Communties </t>
  </si>
  <si>
    <t>5251 Ericson Way</t>
  </si>
  <si>
    <t xml:space="preserve">Arcata </t>
  </si>
  <si>
    <t>Hailey Wilson</t>
  </si>
  <si>
    <t>Danco Communities</t>
  </si>
  <si>
    <t>Arcata, CA 95521</t>
  </si>
  <si>
    <t>(707)822-9000</t>
  </si>
  <si>
    <t>(707)822-9596</t>
  </si>
  <si>
    <t>cdart@danco-group.com</t>
  </si>
  <si>
    <t>Odu &amp; Associates</t>
  </si>
  <si>
    <t>31805 Temecula Pkwy #720</t>
  </si>
  <si>
    <t>Temecula, CA 92592-8203</t>
  </si>
  <si>
    <t>Nkechi Odu</t>
  </si>
  <si>
    <t>(310) 346-5491</t>
  </si>
  <si>
    <t>nkechi@odulaw.com</t>
  </si>
  <si>
    <t>Redwood Energy</t>
  </si>
  <si>
    <t>1887 Q Street</t>
  </si>
  <si>
    <t>Sean Armstrong</t>
  </si>
  <si>
    <t>(707) 822-1857</t>
  </si>
  <si>
    <t>sarmstrongpm@gmail.com</t>
  </si>
  <si>
    <t>Boston Financial</t>
  </si>
  <si>
    <t>8335 Sunset Blvd, Ste 203</t>
  </si>
  <si>
    <t>West Hollywood, CA 90069</t>
  </si>
  <si>
    <t>Ray Faerber</t>
  </si>
  <si>
    <t>(310) 860-4550</t>
  </si>
  <si>
    <t>Roy.Faerber@bfim.com</t>
  </si>
  <si>
    <t>Laurin Associates</t>
  </si>
  <si>
    <t>1501 Sports Drive</t>
  </si>
  <si>
    <t>Sacramento, CA 96834</t>
  </si>
  <si>
    <t>Stefanie Williams</t>
  </si>
  <si>
    <t>(916) 372-6100</t>
  </si>
  <si>
    <t>(916) 491-6108</t>
  </si>
  <si>
    <t>swilliams@laurinassociates.com</t>
  </si>
  <si>
    <t>CMFA</t>
  </si>
  <si>
    <t>2111 Palomar Airport Rd. Suite 320</t>
  </si>
  <si>
    <t>Carlsbad, CA 92011</t>
  </si>
  <si>
    <t>Anthony Stubbs</t>
  </si>
  <si>
    <t>760-930-1333</t>
  </si>
  <si>
    <t>760-683-3390</t>
  </si>
  <si>
    <t>astubbs@cmfa-ca.com</t>
  </si>
  <si>
    <t>Danco Property Management</t>
  </si>
  <si>
    <t>Daniel J. Johnson</t>
  </si>
  <si>
    <t>707-822-9596</t>
  </si>
  <si>
    <t>djohnson@danco-group.com</t>
  </si>
  <si>
    <t>Architects Orange</t>
  </si>
  <si>
    <t>144 N Orange Street</t>
  </si>
  <si>
    <t>Orange, CA 92866</t>
  </si>
  <si>
    <t>Edward Wu</t>
  </si>
  <si>
    <t>714-639-9860</t>
  </si>
  <si>
    <t>edwardw@aoarchitects.com</t>
  </si>
  <si>
    <t xml:space="preserve">Vernon Construction </t>
  </si>
  <si>
    <t>706 E. Haley Street</t>
  </si>
  <si>
    <t>Santa Barbara, CA 93103</t>
  </si>
  <si>
    <t>Bradley Vernon</t>
  </si>
  <si>
    <t>brad@vernonconstruction.com</t>
  </si>
  <si>
    <t>6 Story apartment complex with ground floor parking and 5 residential floors</t>
  </si>
  <si>
    <t>Residential</t>
  </si>
  <si>
    <t>Citi Bank Tax Exempt Loan</t>
  </si>
  <si>
    <t>Citi Bank Taxable Loan</t>
  </si>
  <si>
    <t>Citi Bank Recycled Bonds</t>
  </si>
  <si>
    <t>Citi Bank Perm Loan</t>
  </si>
  <si>
    <t>Deffered Developer Fee</t>
  </si>
  <si>
    <t>Recycled bonds</t>
  </si>
  <si>
    <t>Inspection fees</t>
  </si>
  <si>
    <t>Borrower's Attorney</t>
  </si>
  <si>
    <t>Boston Financial Tax Credit Equity</t>
  </si>
  <si>
    <t>Two Embarcadero Center, 17th Floor</t>
  </si>
  <si>
    <t>San Francisco, CA 94111</t>
  </si>
  <si>
    <t>Jacob St. Onge</t>
  </si>
  <si>
    <t>415-658-3118</t>
  </si>
  <si>
    <t xml:space="preserve">Construction Loan </t>
  </si>
  <si>
    <t xml:space="preserve">8335 Sunset Blvd, Ste 203 </t>
  </si>
  <si>
    <t>Roy Faerber</t>
  </si>
  <si>
    <t>Equity</t>
  </si>
  <si>
    <t>Construction Loan</t>
  </si>
  <si>
    <t>Deferred Fee</t>
  </si>
  <si>
    <t>CUAC</t>
  </si>
  <si>
    <t>Propp Christensen Caniglia LLP</t>
  </si>
  <si>
    <t>9261 Sierra College Boulevard</t>
  </si>
  <si>
    <t>Roseville, CA 95661</t>
  </si>
  <si>
    <t>Justin Gierth</t>
  </si>
  <si>
    <t>916.847.2738</t>
  </si>
  <si>
    <t>Jgierth@pccllp.com</t>
  </si>
  <si>
    <t>Brad Vernon</t>
  </si>
  <si>
    <t>Manager</t>
  </si>
  <si>
    <t>Vernon Property Group, LLC</t>
  </si>
  <si>
    <t>Residenital</t>
  </si>
  <si>
    <t xml:space="preserve">70' </t>
  </si>
  <si>
    <t xml:space="preserve">California Utility Allowance Calculator - Redwood Energy </t>
  </si>
  <si>
    <t>Santa Maria North Broadway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</si>
</sst>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6" fillId="5" borderId="6" xfId="0" applyFont="1" applyFill="1" applyBorder="1" applyAlignment="1" applyProtection="1">
      <alignment horizont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43" borderId="6" xfId="0" applyFont="1" applyFill="1" applyBorder="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2605</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2604</v>
      </c>
      <c r="E18" s="441"/>
      <c r="G18" s="441"/>
      <c r="H18" s="441"/>
      <c r="I18" s="441"/>
      <c r="J18" s="1273" t="s">
        <v>2603</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2519</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1248</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1281</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1258</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15" customHeight="1">
      <c r="B341" s="2"/>
      <c r="E341" s="1265" t="s">
        <v>1237</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1239</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1238</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1228</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1260</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1271</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1277</v>
      </c>
      <c r="F390" s="3"/>
      <c r="G390" s="2"/>
      <c r="I390" s="120"/>
      <c r="J390" s="3"/>
      <c r="K390" s="3"/>
      <c r="L390" s="3"/>
      <c r="M390" s="3"/>
      <c r="N390" s="3"/>
      <c r="O390" s="3"/>
      <c r="P390" s="3"/>
      <c r="Q390" s="3"/>
      <c r="R390" s="3"/>
      <c r="S390" s="3"/>
    </row>
    <row r="391" spans="1:38" ht="13.15" customHeight="1">
      <c r="B391" s="2"/>
      <c r="D391" s="2"/>
      <c r="E391" s="3" t="s">
        <v>1276</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7" workbookViewId="0">
      <selection activeCell="H29" sqref="H29"/>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9" t="s">
        <v>1587</v>
      </c>
      <c r="B1" s="2669"/>
      <c r="C1" s="2669"/>
      <c r="D1" s="2669"/>
      <c r="E1" s="2669"/>
      <c r="F1" s="2669"/>
      <c r="G1" s="2669"/>
      <c r="H1" s="2669"/>
      <c r="I1" s="2669"/>
      <c r="J1" s="2669"/>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41193808</v>
      </c>
      <c r="I3" s="1105"/>
    </row>
    <row r="4" spans="1:13" s="1051" customFormat="1" ht="20.100000000000001" customHeight="1">
      <c r="B4" s="1094"/>
      <c r="D4" s="1108"/>
      <c r="F4" s="1092" t="s">
        <v>1993</v>
      </c>
      <c r="G4" s="1091" t="s">
        <v>1992</v>
      </c>
      <c r="H4" s="1093">
        <f>I18</f>
        <v>16750235.720833333</v>
      </c>
      <c r="I4" s="1095"/>
      <c r="K4" s="1055"/>
    </row>
    <row r="5" spans="1:13" s="1051" customFormat="1" ht="20.100000000000001" customHeight="1" thickBot="1">
      <c r="B5" s="1096"/>
      <c r="C5" s="1097"/>
      <c r="D5" s="1109"/>
      <c r="E5" s="1098"/>
      <c r="F5" s="1109" t="s">
        <v>1943</v>
      </c>
      <c r="G5" s="1110"/>
      <c r="H5" s="1106">
        <f>IFERROR(H3/H4,0)</f>
        <v>2.4592972114872773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1941</v>
      </c>
      <c r="C8" s="2673"/>
      <c r="D8" s="2673"/>
      <c r="E8" s="2674"/>
      <c r="G8" s="2649" t="s">
        <v>1942</v>
      </c>
      <c r="H8" s="2650"/>
      <c r="I8" s="2651"/>
      <c r="K8" s="1057"/>
    </row>
    <row r="9" spans="1:13" ht="15" customHeight="1">
      <c r="A9" s="1046"/>
      <c r="B9" s="2670" t="s">
        <v>1975</v>
      </c>
      <c r="C9" s="2670"/>
      <c r="D9" s="2670"/>
      <c r="E9" s="1059">
        <f>G33</f>
        <v>8925000</v>
      </c>
      <c r="G9" s="2662" t="s">
        <v>1973</v>
      </c>
      <c r="H9" s="2662"/>
      <c r="I9" s="1060">
        <f>SUMIF(Application!M554:M565,"Loan, Tax-Exempt",Application!AM554:AM565)</f>
        <v>18349851</v>
      </c>
      <c r="K9" s="1061"/>
      <c r="M9" s="1062"/>
    </row>
    <row r="10" spans="1:13" ht="15" customHeight="1" thickBot="1">
      <c r="A10" s="1046"/>
      <c r="B10" s="2670" t="s">
        <v>1976</v>
      </c>
      <c r="C10" s="2670"/>
      <c r="D10" s="2670"/>
      <c r="E10" s="1060">
        <f>G47</f>
        <v>26930808</v>
      </c>
      <c r="G10" s="2676" t="s">
        <v>1944</v>
      </c>
      <c r="H10" s="2676"/>
      <c r="I10" s="1140">
        <f>'Basis &amp; Credits'!AB78</f>
        <v>0</v>
      </c>
      <c r="M10" s="1062"/>
    </row>
    <row r="11" spans="1:13" ht="15" customHeight="1">
      <c r="A11" s="1046"/>
      <c r="B11" s="2663" t="s">
        <v>2264</v>
      </c>
      <c r="C11" s="2664"/>
      <c r="D11" s="2665"/>
      <c r="E11" s="1060">
        <f>SUM(E12,E13)</f>
        <v>340000</v>
      </c>
      <c r="G11" s="2661" t="s">
        <v>1984</v>
      </c>
      <c r="H11" s="2661"/>
      <c r="I11" s="1139">
        <f>I9+I10</f>
        <v>18349851</v>
      </c>
      <c r="M11" s="1062"/>
    </row>
    <row r="12" spans="1:13" ht="15" customHeight="1">
      <c r="A12" s="1063"/>
      <c r="B12" s="2671" t="s">
        <v>2266</v>
      </c>
      <c r="C12" s="2671"/>
      <c r="D12" s="2671"/>
      <c r="E12" s="1165">
        <f>G56</f>
        <v>0</v>
      </c>
      <c r="M12" s="1062"/>
    </row>
    <row r="13" spans="1:13" ht="15" customHeight="1">
      <c r="A13" s="1049"/>
      <c r="B13" s="2671" t="s">
        <v>2267</v>
      </c>
      <c r="C13" s="2671"/>
      <c r="D13" s="2671"/>
      <c r="E13" s="1165">
        <f>G65</f>
        <v>340000</v>
      </c>
      <c r="G13" s="2649" t="s">
        <v>2007</v>
      </c>
      <c r="H13" s="2650"/>
      <c r="I13" s="2651"/>
      <c r="M13" s="1062"/>
    </row>
    <row r="14" spans="1:13" ht="15" customHeight="1">
      <c r="A14" s="1049"/>
      <c r="B14" s="2663" t="s">
        <v>2265</v>
      </c>
      <c r="C14" s="2664"/>
      <c r="D14" s="2665"/>
      <c r="E14" s="1167">
        <f>MAX(E15,E16)+E17</f>
        <v>4998000</v>
      </c>
      <c r="G14" s="2662" t="s">
        <v>139</v>
      </c>
      <c r="H14" s="2662"/>
      <c r="I14" s="1064">
        <f>15%*(AND(G120="Yes",G122&lt;&gt;""))</f>
        <v>0</v>
      </c>
      <c r="M14" s="1062"/>
    </row>
    <row r="15" spans="1:13" ht="15" customHeight="1">
      <c r="A15" s="1049"/>
      <c r="B15" s="2646" t="s">
        <v>2271</v>
      </c>
      <c r="C15" s="2647"/>
      <c r="D15" s="2648"/>
      <c r="E15" s="1165">
        <f>G80</f>
        <v>0</v>
      </c>
      <c r="G15" s="1137" t="s">
        <v>1985</v>
      </c>
      <c r="H15" s="1137"/>
      <c r="I15" s="1064">
        <f>IF(Application!AJ1032&gt;0,10%,IF(Application!AJ1036&gt;0,5%,0))</f>
        <v>0.05</v>
      </c>
      <c r="M15" s="1062"/>
    </row>
    <row r="16" spans="1:13" ht="15" customHeight="1">
      <c r="A16" s="1049"/>
      <c r="B16" s="2646" t="s">
        <v>2270</v>
      </c>
      <c r="C16" s="2647"/>
      <c r="D16" s="2648"/>
      <c r="E16" s="1165">
        <f>G90</f>
        <v>0</v>
      </c>
      <c r="G16" s="2662" t="s">
        <v>1986</v>
      </c>
      <c r="H16" s="2662"/>
      <c r="I16" s="1064">
        <f>G132</f>
        <v>3.7173202614379085E-2</v>
      </c>
    </row>
    <row r="17" spans="1:21" ht="15" customHeight="1" thickBot="1">
      <c r="A17" s="1049"/>
      <c r="B17" s="2646" t="s">
        <v>2269</v>
      </c>
      <c r="C17" s="2647"/>
      <c r="D17" s="2648"/>
      <c r="E17" s="1165">
        <f>G115</f>
        <v>4998000</v>
      </c>
      <c r="G17" s="2662" t="s">
        <v>2279</v>
      </c>
      <c r="H17" s="2662"/>
      <c r="I17" s="1064">
        <f>IF(AND(G139="Yes",OR(G136,G137)),IF(G143&gt;15%,15%,G143),0)</f>
        <v>0</v>
      </c>
    </row>
    <row r="18" spans="1:21" ht="15" customHeight="1">
      <c r="A18" s="1046"/>
      <c r="B18" s="2675" t="s">
        <v>1940</v>
      </c>
      <c r="C18" s="2675"/>
      <c r="D18" s="2675"/>
      <c r="E18" s="1111">
        <f>SUM(E9:E11,E14)</f>
        <v>41193808</v>
      </c>
      <c r="G18" s="1138" t="s">
        <v>1974</v>
      </c>
      <c r="H18" s="1138"/>
      <c r="I18" s="1112">
        <f>I11-((I11*I14)+(I11*I15)+(I11*I16)+(I11*I17))</f>
        <v>16750235.720833333</v>
      </c>
      <c r="M18" s="1065">
        <f>SUM(Cdlac[Quantity])</f>
        <v>149</v>
      </c>
      <c r="O18" s="1084" t="s">
        <v>583</v>
      </c>
      <c r="P18" s="1044">
        <f>MATCH(Application!T189,Application!CB160:CB217,0)</f>
        <v>42</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2262</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927</v>
      </c>
      <c r="Q20" s="1164"/>
      <c r="R20" s="1065" cm="1">
        <f t="array" ref="R20">IF(Cdlac[[#This Row],[Quantity]]&gt;0,INDEX(HudFmrs,$P$18,Cdlac[[#This Row],[Bedrooms]]+1),"")</f>
        <v>2381</v>
      </c>
      <c r="S20" s="1065">
        <f>IF(Cdlac[[#This Row],[Quantity]]&gt;0,MAX(0,Cdlac[[#This Row],[Fair Market Rent]]-IF(AND($G$37,$G$38,$G$38&lt;&gt;"",NOT(Cdlac[[#This Row],[Federal]]),Cdlac[[#This Row],[Preservation Rent]]&lt;&gt;""),Cdlac[[#This Row],[Preservation Rent]],Cdlac[[#This Row],[Restricted Rent]])),"")</f>
        <v>1454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1545</v>
      </c>
      <c r="Q21" s="1164"/>
      <c r="R21" s="1065" cm="1">
        <f t="array" ref="R21">IF(Cdlac[[#This Row],[Quantity]]&gt;0,INDEX(HudFmrs,$P$18,Cdlac[[#This Row],[Bedrooms]]+1),"")</f>
        <v>2381</v>
      </c>
      <c r="S21" s="1065">
        <f>IF(Cdlac[[#This Row],[Quantity]]&gt;0,MAX(0,Cdlac[[#This Row],[Fair Market Rent]]-IF(AND($G$37,$G$38,$G$38&lt;&gt;"",NOT(Cdlac[[#This Row],[Federal]]),Cdlac[[#This Row],[Preservation Rent]]&lt;&gt;""),Cdlac[[#This Row],[Preservation Rent]],Cdlac[[#This Row],[Restricted Rent]])),"")</f>
        <v>836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3" t="s">
        <v>1988</v>
      </c>
      <c r="D22" s="2653" t="s">
        <v>1989</v>
      </c>
      <c r="E22" s="2653" t="s">
        <v>1990</v>
      </c>
      <c r="F22" s="2653" t="s">
        <v>2610</v>
      </c>
      <c r="G22" s="2653" t="s">
        <v>1987</v>
      </c>
      <c r="H22" s="1070"/>
      <c r="I22" s="1069"/>
      <c r="L22" s="1044">
        <f>IFERROR(MIN(4,MATCH(Application!B720,UnitSizes,0)-1),"")</f>
        <v>0</v>
      </c>
      <c r="M22" s="1065">
        <f>Application!G720</f>
        <v>11</v>
      </c>
      <c r="N22" s="1071">
        <f>Application!AC720</f>
        <v>0.6</v>
      </c>
      <c r="O22" s="1071">
        <f>IF(Cdlac[[#This Row],[Quantity]]&gt;0,IF(Cdlac[[#This Row],[Federal]],30%,IF(AND(OR(NOT($G$38),$G$38=""),$G$43),40%,Cdlac[[#This Row],[iAMI]])),"")</f>
        <v>0.6</v>
      </c>
      <c r="P22" s="1065" cm="1">
        <f t="array" ref="P22">IF(Cdlac[[#This Row],[Quantity]]&gt;0,INDEX(TcacRents,$P$18,Cdlac[[#This Row],[Bedrooms]]+1)*Cdlac[[#This Row],[AMI]],"")</f>
        <v>1854</v>
      </c>
      <c r="Q22" s="1164"/>
      <c r="R22" s="1065" cm="1">
        <f t="array" ref="R22">IF(Cdlac[[#This Row],[Quantity]]&gt;0,INDEX(HudFmrs,$P$18,Cdlac[[#This Row],[Bedrooms]]+1),"")</f>
        <v>2381</v>
      </c>
      <c r="S22" s="1065">
        <f>IF(Cdlac[[#This Row],[Quantity]]&gt;0,MAX(0,Cdlac[[#This Row],[Fair Market Rent]]-IF(AND($G$37,$G$38,$G$38&lt;&gt;"",NOT(Cdlac[[#This Row],[Federal]]),Cdlac[[#This Row],[Preservation Rent]]&lt;&gt;""),Cdlac[[#This Row],[Preservation Rent]],Cdlac[[#This Row],[Restricted Rent]])),"")</f>
        <v>527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4"/>
      <c r="D23" s="2654"/>
      <c r="E23" s="2654"/>
      <c r="F23" s="2654"/>
      <c r="G23" s="2654"/>
      <c r="H23" s="1070"/>
      <c r="I23" s="1069"/>
      <c r="L23" s="1044">
        <f>IFERROR(MIN(4,MATCH(Application!B721,UnitSizes,0)-1),"")</f>
        <v>1</v>
      </c>
      <c r="M23" s="1065">
        <f>Application!G721</f>
        <v>6</v>
      </c>
      <c r="N23" s="1071">
        <f>Application!AC721</f>
        <v>0.3</v>
      </c>
      <c r="O23" s="1071">
        <f>IF(Cdlac[[#This Row],[Quantity]]&gt;0,IF(Cdlac[[#This Row],[Federal]],30%,IF(AND(OR(NOT($G$38),$G$38=""),$G$43),40%,Cdlac[[#This Row],[iAMI]])),"")</f>
        <v>0.3</v>
      </c>
      <c r="P23" s="1065" cm="1">
        <f t="array" ref="P23">IF(Cdlac[[#This Row],[Quantity]]&gt;0,INDEX(TcacRents,$P$18,Cdlac[[#This Row],[Bedrooms]]+1)*Cdlac[[#This Row],[AMI]],"")</f>
        <v>993</v>
      </c>
      <c r="Q23" s="1164"/>
      <c r="R23" s="1065" cm="1">
        <f t="array" ref="R23">IF(Cdlac[[#This Row],[Quantity]]&gt;0,INDEX(HudFmrs,$P$18,Cdlac[[#This Row],[Bedrooms]]+1),"")</f>
        <v>2688</v>
      </c>
      <c r="S23" s="1065">
        <f>IF(Cdlac[[#This Row],[Quantity]]&gt;0,MAX(0,Cdlac[[#This Row],[Fair Market Rent]]-IF(AND($G$37,$G$38,$G$38&lt;&gt;"",NOT(Cdlac[[#This Row],[Federal]]),Cdlac[[#This Row],[Preservation Rent]]&lt;&gt;""),Cdlac[[#This Row],[Preservation Rent]],Cdlac[[#This Row],[Restricted Rent]])),"")</f>
        <v>1695</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15</v>
      </c>
      <c r="F24" s="1072">
        <f>E24</f>
        <v>15</v>
      </c>
      <c r="G24" s="1072">
        <f>D24*F24</f>
        <v>13.5</v>
      </c>
      <c r="L24" s="1044">
        <f>IFERROR(MIN(4,MATCH(Application!B722,UnitSizes,0)-1),"")</f>
        <v>1</v>
      </c>
      <c r="M24" s="1065">
        <f>Application!G722</f>
        <v>6</v>
      </c>
      <c r="N24" s="1071">
        <f>Application!AC722</f>
        <v>0.5</v>
      </c>
      <c r="O24" s="1071">
        <f>IF(Cdlac[[#This Row],[Quantity]]&gt;0,IF(Cdlac[[#This Row],[Federal]],30%,IF(AND(OR(NOT($G$38),$G$38=""),$G$43),40%,Cdlac[[#This Row],[iAMI]])),"")</f>
        <v>0.5</v>
      </c>
      <c r="P24" s="1065" cm="1">
        <f t="array" ref="P24">IF(Cdlac[[#This Row],[Quantity]]&gt;0,INDEX(TcacRents,$P$18,Cdlac[[#This Row],[Bedrooms]]+1)*Cdlac[[#This Row],[AMI]],"")</f>
        <v>1655</v>
      </c>
      <c r="Q24" s="1164"/>
      <c r="R24" s="1065" cm="1">
        <f t="array" ref="R24">IF(Cdlac[[#This Row],[Quantity]]&gt;0,INDEX(HudFmrs,$P$18,Cdlac[[#This Row],[Bedrooms]]+1),"")</f>
        <v>2688</v>
      </c>
      <c r="S24" s="1065">
        <f>IF(Cdlac[[#This Row],[Quantity]]&gt;0,MAX(0,Cdlac[[#This Row],[Fair Market Rent]]-IF(AND($G$37,$G$38,$G$38&lt;&gt;"",NOT(Cdlac[[#This Row],[Federal]]),Cdlac[[#This Row],[Preservation Rent]]&lt;&gt;""),Cdlac[[#This Row],[Preservation Rent]],Cdlac[[#This Row],[Restricted Rent]])),"")</f>
        <v>1033</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53</v>
      </c>
      <c r="F25" s="1072">
        <f>E25</f>
        <v>53</v>
      </c>
      <c r="G25" s="1072">
        <f>D25*F25</f>
        <v>53</v>
      </c>
      <c r="L25" s="1044">
        <f>IFERROR(MIN(4,MATCH(Application!B723,UnitSizes,0)-1),"")</f>
        <v>1</v>
      </c>
      <c r="M25" s="1065">
        <f>Application!G723</f>
        <v>41</v>
      </c>
      <c r="N25" s="1071">
        <f>Application!AC723</f>
        <v>0.6</v>
      </c>
      <c r="O25" s="1071">
        <f>IF(Cdlac[[#This Row],[Quantity]]&gt;0,IF(Cdlac[[#This Row],[Federal]],30%,IF(AND(OR(NOT($G$38),$G$38=""),$G$43),40%,Cdlac[[#This Row],[iAMI]])),"")</f>
        <v>0.6</v>
      </c>
      <c r="P25" s="1065" cm="1">
        <f t="array" ref="P25">IF(Cdlac[[#This Row],[Quantity]]&gt;0,INDEX(TcacRents,$P$18,Cdlac[[#This Row],[Bedrooms]]+1)*Cdlac[[#This Row],[AMI]],"")</f>
        <v>1986</v>
      </c>
      <c r="Q25" s="1164"/>
      <c r="R25" s="1065" cm="1">
        <f t="array" ref="R25">IF(Cdlac[[#This Row],[Quantity]]&gt;0,INDEX(HudFmrs,$P$18,Cdlac[[#This Row],[Bedrooms]]+1),"")</f>
        <v>2688</v>
      </c>
      <c r="S25" s="1065">
        <f>IF(Cdlac[[#This Row],[Quantity]]&gt;0,MAX(0,Cdlac[[#This Row],[Fair Market Rent]]-IF(AND($G$37,$G$38,$G$38&lt;&gt;"",NOT(Cdlac[[#This Row],[Federal]]),Cdlac[[#This Row],[Preservation Rent]]&lt;&gt;""),Cdlac[[#This Row],[Preservation Rent]],Cdlac[[#This Row],[Restricted Rent]])),"")</f>
        <v>702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38</v>
      </c>
      <c r="F26" s="1075">
        <f>SUM(E26:E28)-SUM(F27:F28)</f>
        <v>38</v>
      </c>
      <c r="G26" s="1072">
        <f>D26*F26</f>
        <v>47.5</v>
      </c>
      <c r="H26" s="1074"/>
      <c r="I26" s="1074"/>
      <c r="L26" s="1044">
        <f>IFERROR(MIN(4,MATCH(Application!B724,UnitSizes,0)-1),"")</f>
        <v>2</v>
      </c>
      <c r="M26" s="1065">
        <f>Application!G724</f>
        <v>4</v>
      </c>
      <c r="N26" s="1071">
        <f>Application!AC724</f>
        <v>0.3</v>
      </c>
      <c r="O26" s="1071">
        <f>IF(Cdlac[[#This Row],[Quantity]]&gt;0,IF(Cdlac[[#This Row],[Federal]],30%,IF(AND(OR(NOT($G$38),$G$38=""),$G$43),40%,Cdlac[[#This Row],[iAMI]])),"")</f>
        <v>0.3</v>
      </c>
      <c r="P26" s="1065" cm="1">
        <f t="array" ref="P26">IF(Cdlac[[#This Row],[Quantity]]&gt;0,INDEX(TcacRents,$P$18,Cdlac[[#This Row],[Bedrooms]]+1)*Cdlac[[#This Row],[AMI]],"")</f>
        <v>1191.5999999999999</v>
      </c>
      <c r="Q26" s="1164"/>
      <c r="R26" s="1065" cm="1">
        <f t="array" ref="R26">IF(Cdlac[[#This Row],[Quantity]]&gt;0,INDEX(HudFmrs,$P$18,Cdlac[[#This Row],[Bedrooms]]+1),"")</f>
        <v>3028</v>
      </c>
      <c r="S26" s="1065">
        <f>IF(Cdlac[[#This Row],[Quantity]]&gt;0,MAX(0,Cdlac[[#This Row],[Fair Market Rent]]-IF(AND($G$37,$G$38,$G$38&lt;&gt;"",NOT(Cdlac[[#This Row],[Federal]]),Cdlac[[#This Row],[Preservation Rent]]&lt;&gt;""),Cdlac[[#This Row],[Preservation Rent]],Cdlac[[#This Row],[Restricted Rent]])),"")</f>
        <v>1836.4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43</v>
      </c>
      <c r="F27" s="1075">
        <f>MIN(E27,ROUNDDOWN(E29*30%,0))</f>
        <v>43</v>
      </c>
      <c r="G27" s="1072">
        <f>D27*F27</f>
        <v>64.5</v>
      </c>
      <c r="H27" s="1074"/>
      <c r="I27" s="1074"/>
      <c r="L27" s="1044">
        <f>IFERROR(MIN(4,MATCH(Application!B725,UnitSizes,0)-1),"")</f>
        <v>2</v>
      </c>
      <c r="M27" s="1065">
        <f>Application!G725</f>
        <v>4</v>
      </c>
      <c r="N27" s="1071">
        <f>Application!AC725</f>
        <v>0.5</v>
      </c>
      <c r="O27" s="1071">
        <f>IF(Cdlac[[#This Row],[Quantity]]&gt;0,IF(Cdlac[[#This Row],[Federal]],30%,IF(AND(OR(NOT($G$38),$G$38=""),$G$43),40%,Cdlac[[#This Row],[iAMI]])),"")</f>
        <v>0.5</v>
      </c>
      <c r="P27" s="1065" cm="1">
        <f t="array" ref="P27">IF(Cdlac[[#This Row],[Quantity]]&gt;0,INDEX(TcacRents,$P$18,Cdlac[[#This Row],[Bedrooms]]+1)*Cdlac[[#This Row],[AMI]],"")</f>
        <v>1986</v>
      </c>
      <c r="Q27" s="1164"/>
      <c r="R27" s="1065" cm="1">
        <f t="array" ref="R27">IF(Cdlac[[#This Row],[Quantity]]&gt;0,INDEX(HudFmrs,$P$18,Cdlac[[#This Row],[Bedrooms]]+1),"")</f>
        <v>3028</v>
      </c>
      <c r="S27" s="1065">
        <f>IF(Cdlac[[#This Row],[Quantity]]&gt;0,MAX(0,Cdlac[[#This Row],[Fair Market Rent]]-IF(AND($G$37,$G$38,$G$38&lt;&gt;"",NOT(Cdlac[[#This Row],[Federal]]),Cdlac[[#This Row],[Preservation Rent]]&lt;&gt;""),Cdlac[[#This Row],[Preservation Rent]],Cdlac[[#This Row],[Restricted Rent]])),"")</f>
        <v>1042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30</v>
      </c>
      <c r="N28" s="1071">
        <f>Application!AC726</f>
        <v>0.6</v>
      </c>
      <c r="O28" s="1071">
        <f>IF(Cdlac[[#This Row],[Quantity]]&gt;0,IF(Cdlac[[#This Row],[Federal]],30%,IF(AND(OR(NOT($G$38),$G$38=""),$G$43),40%,Cdlac[[#This Row],[iAMI]])),"")</f>
        <v>0.6</v>
      </c>
      <c r="P28" s="1065" cm="1">
        <f t="array" ref="P28">IF(Cdlac[[#This Row],[Quantity]]&gt;0,INDEX(TcacRents,$P$18,Cdlac[[#This Row],[Bedrooms]]+1)*Cdlac[[#This Row],[AMI]],"")</f>
        <v>2383.1999999999998</v>
      </c>
      <c r="Q28" s="1164"/>
      <c r="R28" s="1065" cm="1">
        <f t="array" ref="R28">IF(Cdlac[[#This Row],[Quantity]]&gt;0,INDEX(HudFmrs,$P$18,Cdlac[[#This Row],[Bedrooms]]+1),"")</f>
        <v>3028</v>
      </c>
      <c r="S28" s="1065">
        <f>IF(Cdlac[[#This Row],[Quantity]]&gt;0,MAX(0,Cdlac[[#This Row],[Fair Market Rent]]-IF(AND($G$37,$G$38,$G$38&lt;&gt;"",NOT(Cdlac[[#This Row],[Federal]]),Cdlac[[#This Row],[Preservation Rent]]&lt;&gt;""),Cdlac[[#This Row],[Preservation Rent]],Cdlac[[#This Row],[Restricted Rent]])),"")</f>
        <v>644.80000000000018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5" t="s">
        <v>1588</v>
      </c>
      <c r="D29" s="2656"/>
      <c r="E29" s="1089">
        <f>SUM(E24:E28)</f>
        <v>149</v>
      </c>
      <c r="F29" s="1089">
        <f>SUM(F24:F28)</f>
        <v>149</v>
      </c>
      <c r="G29" s="1090">
        <f>SUMPRODUCT(D24:D28,F24:F28)</f>
        <v>178.5</v>
      </c>
      <c r="H29" s="1074"/>
      <c r="I29" s="1074"/>
      <c r="L29" s="1044">
        <f>IFERROR(MIN(4,MATCH(Application!B727,UnitSizes,0)-1),"")</f>
        <v>3</v>
      </c>
      <c r="M29" s="1065">
        <f>Application!G727</f>
        <v>5</v>
      </c>
      <c r="N29" s="1071">
        <f>Application!AC727</f>
        <v>0.3</v>
      </c>
      <c r="O29" s="1071">
        <f>IF(Cdlac[[#This Row],[Quantity]]&gt;0,IF(Cdlac[[#This Row],[Federal]],30%,IF(AND(OR(NOT($G$38),$G$38=""),$G$43),40%,Cdlac[[#This Row],[iAMI]])),"")</f>
        <v>0.3</v>
      </c>
      <c r="P29" s="1065" cm="1">
        <f t="array" ref="P29">IF(Cdlac[[#This Row],[Quantity]]&gt;0,INDEX(TcacRents,$P$18,Cdlac[[#This Row],[Bedrooms]]+1)*Cdlac[[#This Row],[AMI]],"")</f>
        <v>1377</v>
      </c>
      <c r="Q29" s="1164"/>
      <c r="R29" s="1065" cm="1">
        <f t="array" ref="R29">IF(Cdlac[[#This Row],[Quantity]]&gt;0,INDEX(HudFmrs,$P$18,Cdlac[[#This Row],[Bedrooms]]+1),"")</f>
        <v>4011</v>
      </c>
      <c r="S29" s="1065">
        <f>IF(Cdlac[[#This Row],[Quantity]]&gt;0,MAX(0,Cdlac[[#This Row],[Fair Market Rent]]-IF(AND($G$37,$G$38,$G$38&lt;&gt;"",NOT(Cdlac[[#This Row],[Federal]]),Cdlac[[#This Row],[Preservation Rent]]&lt;&gt;""),Cdlac[[#This Row],[Preservation Rent]],Cdlac[[#This Row],[Restricted Rent]])),"")</f>
        <v>2634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5</v>
      </c>
      <c r="N30" s="1071">
        <f>Application!AC728</f>
        <v>0.5</v>
      </c>
      <c r="O30" s="1071">
        <f>IF(Cdlac[[#This Row],[Quantity]]&gt;0,IF(Cdlac[[#This Row],[Federal]],30%,IF(AND(OR(NOT($G$38),$G$38=""),$G$43),40%,Cdlac[[#This Row],[iAMI]])),"")</f>
        <v>0.5</v>
      </c>
      <c r="P30" s="1065" cm="1">
        <f t="array" ref="P30">IF(Cdlac[[#This Row],[Quantity]]&gt;0,INDEX(TcacRents,$P$18,Cdlac[[#This Row],[Bedrooms]]+1)*Cdlac[[#This Row],[AMI]],"")</f>
        <v>2295</v>
      </c>
      <c r="Q30" s="1164"/>
      <c r="R30" s="1065" cm="1">
        <f t="array" ref="R30">IF(Cdlac[[#This Row],[Quantity]]&gt;0,INDEX(HudFmrs,$P$18,Cdlac[[#This Row],[Bedrooms]]+1),"")</f>
        <v>4011</v>
      </c>
      <c r="S30" s="1065">
        <f>IF(Cdlac[[#This Row],[Quantity]]&gt;0,MAX(0,Cdlac[[#This Row],[Fair Market Rent]]-IF(AND($G$37,$G$38,$G$38&lt;&gt;"",NOT(Cdlac[[#This Row],[Federal]]),Cdlac[[#This Row],[Preservation Rent]]&lt;&gt;""),Cdlac[[#This Row],[Preservation Rent]],Cdlac[[#This Row],[Restricted Rent]])),"")</f>
        <v>1716</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178.5</v>
      </c>
      <c r="H31" s="1074"/>
      <c r="I31" s="1074"/>
      <c r="L31" s="1044">
        <f>IFERROR(MIN(4,MATCH(Application!B729,UnitSizes,0)-1),"")</f>
        <v>3</v>
      </c>
      <c r="M31" s="1065">
        <f>Application!G729</f>
        <v>33</v>
      </c>
      <c r="N31" s="1071">
        <f>Application!AC729</f>
        <v>0.6</v>
      </c>
      <c r="O31" s="1071">
        <f>IF(Cdlac[[#This Row],[Quantity]]&gt;0,IF(Cdlac[[#This Row],[Federal]],30%,IF(AND(OR(NOT($G$38),$G$38=""),$G$43),40%,Cdlac[[#This Row],[iAMI]])),"")</f>
        <v>0.6</v>
      </c>
      <c r="P31" s="1065" cm="1">
        <f t="array" ref="P31">IF(Cdlac[[#This Row],[Quantity]]&gt;0,INDEX(TcacRents,$P$18,Cdlac[[#This Row],[Bedrooms]]+1)*Cdlac[[#This Row],[AMI]],"")</f>
        <v>2754</v>
      </c>
      <c r="Q31" s="1164"/>
      <c r="R31" s="1065" cm="1">
        <f t="array" ref="R31">IF(Cdlac[[#This Row],[Quantity]]&gt;0,INDEX(HudFmrs,$P$18,Cdlac[[#This Row],[Bedrooms]]+1),"")</f>
        <v>4011</v>
      </c>
      <c r="S31" s="1065">
        <f>IF(Cdlac[[#This Row],[Quantity]]&gt;0,MAX(0,Cdlac[[#This Row],[Fair Market Rent]]-IF(AND($G$37,$G$38,$G$38&lt;&gt;"",NOT(Cdlac[[#This Row],[Federal]]),Cdlac[[#This Row],[Preservation Rent]]&lt;&gt;""),Cdlac[[#This Row],[Preservation Rent]],Cdlac[[#This Row],[Restricted Rent]])),"")</f>
        <v>1257</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8925000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0.55436241610738246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149615.6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26930808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74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17</v>
      </c>
    </row>
    <row r="61" spans="2:21" ht="15" customHeight="1">
      <c r="E61" s="1117" t="s">
        <v>1996</v>
      </c>
      <c r="G61" s="1079">
        <f>ROUNDDOWN(E29*50%,0)</f>
        <v>74</v>
      </c>
    </row>
    <row r="62" spans="2:21" ht="15" customHeight="1">
      <c r="E62" s="1117"/>
      <c r="G62" s="1079"/>
    </row>
    <row r="63" spans="2:21" ht="15" customHeight="1">
      <c r="E63" s="1117" t="s">
        <v>1956</v>
      </c>
      <c r="G63" s="1114">
        <f>MIN(G60:G61)</f>
        <v>17</v>
      </c>
    </row>
    <row r="64" spans="2:21" ht="15" customHeight="1">
      <c r="E64" s="1117" t="s">
        <v>1946</v>
      </c>
      <c r="F64" s="1113" t="s">
        <v>1994</v>
      </c>
      <c r="G64" s="1124">
        <v>20000</v>
      </c>
    </row>
    <row r="65" spans="2:14" ht="15" customHeight="1">
      <c r="E65" s="1118" t="s">
        <v>1978</v>
      </c>
      <c r="F65" s="1046"/>
      <c r="G65" s="1123">
        <f>G63*G64</f>
        <v>340000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row>
    <row r="72" spans="2:14" ht="15" customHeight="1">
      <c r="C72" s="1077" t="s">
        <v>1970</v>
      </c>
      <c r="G72" s="1044" t="str">
        <f>Application!T193</f>
        <v>Low Resource</v>
      </c>
      <c r="L72" s="2666" t="s">
        <v>1971</v>
      </c>
      <c r="M72" s="2667"/>
      <c r="N72" s="1131">
        <v>30000</v>
      </c>
    </row>
    <row r="73" spans="2:14" ht="15" customHeight="1">
      <c r="C73" s="2668" t="s">
        <v>2263</v>
      </c>
      <c r="D73" s="2668"/>
      <c r="E73" s="2668"/>
      <c r="F73" s="2668"/>
      <c r="G73" s="1043"/>
      <c r="L73" s="2677" t="s">
        <v>1939</v>
      </c>
      <c r="M73" s="2678"/>
      <c r="N73" s="1132">
        <v>20000</v>
      </c>
    </row>
    <row r="74" spans="2:14" ht="15" customHeight="1" thickBot="1">
      <c r="C74" s="2668"/>
      <c r="D74" s="2668"/>
      <c r="E74" s="2668"/>
      <c r="F74" s="2668"/>
      <c r="L74" s="2679" t="s">
        <v>1972</v>
      </c>
      <c r="M74" s="2680"/>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0</v>
      </c>
    </row>
    <row r="79" spans="2:14" ht="15" customHeight="1">
      <c r="E79" s="1084" t="str">
        <f>E96</f>
        <v>Bedroom-Adjusted Low-Income Units</v>
      </c>
      <c r="F79" s="1113" t="s">
        <v>1994</v>
      </c>
      <c r="G79" s="1114">
        <f>G29</f>
        <v>178.5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178.5</v>
      </c>
    </row>
    <row r="89" spans="2:9" ht="15" customHeight="1">
      <c r="E89" s="1084" t="s">
        <v>1946</v>
      </c>
      <c r="F89" s="1113" t="s">
        <v>1994</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3</v>
      </c>
    </row>
    <row r="95" spans="2:9" ht="15" customHeight="1">
      <c r="E95" s="1084" t="s">
        <v>1946</v>
      </c>
      <c r="F95" s="1113" t="s">
        <v>1994</v>
      </c>
      <c r="G95" s="1076">
        <v>4000</v>
      </c>
    </row>
    <row r="96" spans="2:9" ht="15" customHeight="1" thickBot="1">
      <c r="E96" s="1084" t="s">
        <v>1998</v>
      </c>
      <c r="F96" s="1113" t="s">
        <v>1994</v>
      </c>
      <c r="G96" s="1126">
        <f>G29</f>
        <v>178.5</v>
      </c>
    </row>
    <row r="97" spans="2:14" ht="15" customHeight="1">
      <c r="E97" s="1118" t="s">
        <v>1963</v>
      </c>
      <c r="F97" s="1046"/>
      <c r="G97" s="1123">
        <f>G94*G95*G96</f>
        <v>2142000</v>
      </c>
      <c r="L97" s="1127" t="str">
        <f>'Points System'!H638</f>
        <v>(i)</v>
      </c>
      <c r="M97" s="2685" t="s">
        <v>1407</v>
      </c>
      <c r="N97" s="2686"/>
    </row>
    <row r="98" spans="2:14" ht="15" customHeight="1">
      <c r="C98" s="1077"/>
      <c r="G98" s="1114"/>
      <c r="L98" s="1128" t="str">
        <f>'Points System'!H650</f>
        <v>(i)</v>
      </c>
      <c r="M98" s="2681" t="s">
        <v>1958</v>
      </c>
      <c r="N98" s="2682"/>
    </row>
    <row r="99" spans="2:14" ht="15" customHeight="1">
      <c r="E99" s="1084" t="s">
        <v>1999</v>
      </c>
      <c r="G99" s="1126">
        <f>COUNTIFS(L97:L104,"(i)")</f>
        <v>4</v>
      </c>
      <c r="L99" s="1128" t="str">
        <f>'Points System'!H685</f>
        <v>(ii)</v>
      </c>
      <c r="M99" s="2681" t="s">
        <v>1959</v>
      </c>
      <c r="N99" s="2682"/>
    </row>
    <row r="100" spans="2:14" ht="15" customHeight="1">
      <c r="E100" s="1084" t="s">
        <v>1946</v>
      </c>
      <c r="F100" s="1113" t="s">
        <v>1994</v>
      </c>
      <c r="G100" s="1124">
        <v>4000</v>
      </c>
      <c r="L100" s="1128" t="str">
        <f>IF(OR('Points System'!H709="(ii)",'Points System'!H709="(i)"),"(i)","N/A")</f>
        <v>(i)</v>
      </c>
      <c r="M100" s="2681" t="s">
        <v>1960</v>
      </c>
      <c r="N100" s="2682"/>
    </row>
    <row r="101" spans="2:14" ht="15" customHeight="1">
      <c r="E101" s="1118" t="s">
        <v>1964</v>
      </c>
      <c r="F101" s="1046"/>
      <c r="G101" s="1123">
        <f>G96*G99*G100</f>
        <v>2856000</v>
      </c>
      <c r="L101" s="1129" t="str">
        <f>'Points System'!H723</f>
        <v>N/A</v>
      </c>
      <c r="M101" s="2681" t="s">
        <v>1433</v>
      </c>
      <c r="N101" s="2682"/>
    </row>
    <row r="102" spans="2:14" ht="15" customHeight="1">
      <c r="L102" s="1128" t="str">
        <f>'Points System'!H735</f>
        <v>N/A</v>
      </c>
      <c r="M102" s="2681" t="s">
        <v>1961</v>
      </c>
      <c r="N102" s="2682"/>
    </row>
    <row r="103" spans="2:14" ht="15" customHeight="1">
      <c r="C103" s="1080" t="s">
        <v>1966</v>
      </c>
      <c r="L103" s="1128" t="str">
        <f>'Points System'!H751</f>
        <v>(ii)</v>
      </c>
      <c r="M103" s="2681" t="s">
        <v>1962</v>
      </c>
      <c r="N103" s="2682"/>
    </row>
    <row r="104" spans="2:14" ht="15" customHeight="1" thickBot="1">
      <c r="C104" s="1077" t="s">
        <v>1967</v>
      </c>
      <c r="G104" s="1043"/>
      <c r="L104" s="1130" t="str">
        <f>'Points System'!H763</f>
        <v>(i)</v>
      </c>
      <c r="M104" s="2683" t="s">
        <v>1436</v>
      </c>
      <c r="N104" s="2684"/>
    </row>
    <row r="105" spans="2:14" ht="15" customHeight="1">
      <c r="C105" s="1077" t="s">
        <v>1968</v>
      </c>
      <c r="G105" s="1043"/>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0</v>
      </c>
    </row>
    <row r="110" spans="2:14" ht="15" customHeight="1">
      <c r="E110" s="1077"/>
    </row>
    <row r="111" spans="2:14" ht="15" customHeight="1">
      <c r="E111" s="1084" t="s">
        <v>1998</v>
      </c>
      <c r="F111" s="1113" t="s">
        <v>1994</v>
      </c>
      <c r="G111" s="1114">
        <f>G29</f>
        <v>178.5</v>
      </c>
    </row>
    <row r="112" spans="2:14" ht="15" customHeight="1">
      <c r="E112" s="1084" t="s">
        <v>1946</v>
      </c>
      <c r="F112" s="1113" t="s">
        <v>1994</v>
      </c>
      <c r="G112" s="1124">
        <v>25000</v>
      </c>
    </row>
    <row r="113" spans="2:9" ht="15" customHeight="1">
      <c r="E113" s="1118" t="s">
        <v>1965</v>
      </c>
      <c r="F113" s="1046"/>
      <c r="G113" s="1123">
        <f>G109*G112*G96</f>
        <v>0</v>
      </c>
    </row>
    <row r="114" spans="2:9" ht="15" customHeight="1">
      <c r="C114" s="1077"/>
      <c r="E114" s="1077"/>
    </row>
    <row r="115" spans="2:9" ht="15" customHeight="1">
      <c r="E115" s="1118" t="s">
        <v>2273</v>
      </c>
      <c r="G115" s="1123">
        <f>G113+G101+G97</f>
        <v>4998000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2228</v>
      </c>
      <c r="D119" s="2657"/>
      <c r="E119" s="2657"/>
      <c r="F119" s="2657"/>
    </row>
    <row r="120" spans="2:9" ht="15" customHeight="1">
      <c r="C120" s="2657"/>
      <c r="D120" s="2657"/>
      <c r="E120" s="2657"/>
      <c r="F120" s="2657"/>
      <c r="G120" s="1043"/>
    </row>
    <row r="121" spans="2:9" ht="15" customHeight="1"/>
    <row r="122" spans="2:9" ht="15" customHeight="1">
      <c r="C122" s="1044" t="s">
        <v>2230</v>
      </c>
      <c r="G122" s="2659"/>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Santa Barbara</v>
      </c>
    </row>
    <row r="129" spans="2:9">
      <c r="E129" s="1084"/>
      <c r="G129" s="1078"/>
    </row>
    <row r="130" spans="2:9">
      <c r="E130" s="1084" t="str">
        <f>"2-Bedroom "&amp;G128&amp;" County Basis Limit"</f>
        <v>2-Bedroom Santa Barbara County Basis Limit</v>
      </c>
      <c r="G130" s="1078">
        <f>Application!R988</f>
        <v>562400</v>
      </c>
    </row>
    <row r="131" spans="2:9">
      <c r="E131" s="1084" t="s">
        <v>2002</v>
      </c>
      <c r="G131" s="1078">
        <f>MEDIAN((Application!CU160:CU217))</f>
        <v>489600</v>
      </c>
    </row>
    <row r="132" spans="2:9" ht="15">
      <c r="D132" s="1046"/>
      <c r="E132" s="1118" t="s">
        <v>2004</v>
      </c>
      <c r="F132" s="1134"/>
      <c r="G132" s="1135">
        <f>((G130-G131)/G131)*0.25</f>
        <v>3.7173202614379085E-2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2" t="s">
        <v>2276</v>
      </c>
      <c r="D138" s="2652"/>
      <c r="E138" s="2652"/>
      <c r="F138" s="2652"/>
    </row>
    <row r="139" spans="2:9">
      <c r="B139" s="1045"/>
      <c r="C139" s="2652"/>
      <c r="D139" s="2652"/>
      <c r="E139" s="2652"/>
      <c r="F139" s="2652"/>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2752477.65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SRO/Studio</v>
      </c>
      <c r="B4" s="1082">
        <f>Application!G718</f>
        <v>2</v>
      </c>
      <c r="C4" s="1162"/>
      <c r="D4" s="428">
        <f>Application!O718</f>
        <v>896</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2</v>
      </c>
      <c r="C5" s="1162"/>
      <c r="D5" s="428">
        <f>Application!O719</f>
        <v>1514</v>
      </c>
      <c r="E5" s="429"/>
      <c r="F5" s="1083"/>
      <c r="G5" s="428">
        <f t="shared" ref="G5:G38" si="2">F5*B5</f>
        <v>0</v>
      </c>
      <c r="H5" s="429"/>
      <c r="I5" s="428" t="str">
        <f t="shared" si="0"/>
        <v/>
      </c>
      <c r="J5" s="428" t="str">
        <f t="shared" si="1"/>
        <v/>
      </c>
      <c r="K5" s="204"/>
      <c r="L5" s="305"/>
    </row>
    <row r="6" spans="1:12">
      <c r="A6" s="428" t="str">
        <f>Application!B720</f>
        <v>SRO/Studio</v>
      </c>
      <c r="B6" s="1082">
        <f>Application!G720</f>
        <v>11</v>
      </c>
      <c r="C6" s="1162"/>
      <c r="D6" s="428">
        <f>Application!O720</f>
        <v>1569</v>
      </c>
      <c r="E6" s="429"/>
      <c r="F6" s="1083"/>
      <c r="G6" s="428">
        <f t="shared" si="2"/>
        <v>0</v>
      </c>
      <c r="H6" s="429"/>
      <c r="I6" s="428" t="str">
        <f t="shared" si="0"/>
        <v/>
      </c>
      <c r="J6" s="428" t="str">
        <f t="shared" si="1"/>
        <v/>
      </c>
      <c r="K6" s="204"/>
      <c r="L6" s="305"/>
    </row>
    <row r="7" spans="1:12">
      <c r="A7" s="428" t="str">
        <f>Application!B721</f>
        <v>1 Bedroom</v>
      </c>
      <c r="B7" s="1082">
        <f>Application!G721</f>
        <v>6</v>
      </c>
      <c r="C7" s="1162"/>
      <c r="D7" s="428">
        <f>Application!O721</f>
        <v>957</v>
      </c>
      <c r="E7" s="429"/>
      <c r="F7" s="1083"/>
      <c r="G7" s="428">
        <f t="shared" si="2"/>
        <v>0</v>
      </c>
      <c r="H7" s="429"/>
      <c r="I7" s="428" t="str">
        <f t="shared" si="0"/>
        <v/>
      </c>
      <c r="J7" s="428" t="str">
        <f t="shared" si="1"/>
        <v/>
      </c>
      <c r="K7" s="204"/>
      <c r="L7" s="305"/>
    </row>
    <row r="8" spans="1:12">
      <c r="A8" s="428" t="str">
        <f>Application!B722</f>
        <v>1 Bedroom</v>
      </c>
      <c r="B8" s="1082">
        <f>Application!G722</f>
        <v>6</v>
      </c>
      <c r="C8" s="1162"/>
      <c r="D8" s="428">
        <f>Application!O722</f>
        <v>1619</v>
      </c>
      <c r="E8" s="429"/>
      <c r="F8" s="1083"/>
      <c r="G8" s="428">
        <f t="shared" si="2"/>
        <v>0</v>
      </c>
      <c r="H8" s="429"/>
      <c r="I8" s="428" t="str">
        <f t="shared" si="0"/>
        <v/>
      </c>
      <c r="J8" s="428" t="str">
        <f t="shared" si="1"/>
        <v/>
      </c>
      <c r="K8" s="204"/>
      <c r="L8" s="305"/>
    </row>
    <row r="9" spans="1:12">
      <c r="A9" s="428" t="str">
        <f>Application!B723</f>
        <v>1 Bedroom</v>
      </c>
      <c r="B9" s="1082">
        <f>Application!G723</f>
        <v>41</v>
      </c>
      <c r="C9" s="1162"/>
      <c r="D9" s="428">
        <f>Application!O723</f>
        <v>1689</v>
      </c>
      <c r="E9" s="429"/>
      <c r="F9" s="1083"/>
      <c r="G9" s="428">
        <f t="shared" si="2"/>
        <v>0</v>
      </c>
      <c r="H9" s="429"/>
      <c r="I9" s="428" t="str">
        <f t="shared" si="0"/>
        <v/>
      </c>
      <c r="J9" s="428" t="str">
        <f t="shared" si="1"/>
        <v/>
      </c>
      <c r="K9" s="204"/>
      <c r="L9" s="305"/>
    </row>
    <row r="10" spans="1:12">
      <c r="A10" s="428" t="str">
        <f>Application!B724</f>
        <v>2 Bedrooms</v>
      </c>
      <c r="B10" s="1082">
        <f>Application!G724</f>
        <v>4</v>
      </c>
      <c r="C10" s="1162"/>
      <c r="D10" s="428">
        <f>Application!O724</f>
        <v>1147</v>
      </c>
      <c r="E10" s="429"/>
      <c r="F10" s="1083"/>
      <c r="G10" s="428">
        <f t="shared" si="2"/>
        <v>0</v>
      </c>
      <c r="H10" s="429"/>
      <c r="I10" s="428" t="str">
        <f t="shared" si="0"/>
        <v/>
      </c>
      <c r="J10" s="428" t="str">
        <f t="shared" si="1"/>
        <v/>
      </c>
      <c r="K10" s="204"/>
      <c r="L10" s="305"/>
    </row>
    <row r="11" spans="1:12">
      <c r="A11" s="428" t="str">
        <f>Application!B725</f>
        <v>2 Bedrooms</v>
      </c>
      <c r="B11" s="1082">
        <f>Application!G725</f>
        <v>4</v>
      </c>
      <c r="C11" s="1162"/>
      <c r="D11" s="428">
        <f>Application!O725</f>
        <v>1900</v>
      </c>
      <c r="E11" s="429"/>
      <c r="F11" s="1083"/>
      <c r="G11" s="428">
        <f t="shared" si="2"/>
        <v>0</v>
      </c>
      <c r="H11" s="429"/>
      <c r="I11" s="428" t="str">
        <f t="shared" si="0"/>
        <v/>
      </c>
      <c r="J11" s="428" t="str">
        <f t="shared" si="1"/>
        <v/>
      </c>
      <c r="K11" s="204"/>
      <c r="L11" s="305"/>
    </row>
    <row r="12" spans="1:12">
      <c r="A12" s="428" t="str">
        <f>Application!B726</f>
        <v>2 Bedrooms</v>
      </c>
      <c r="B12" s="1082">
        <f>Application!G726</f>
        <v>30</v>
      </c>
      <c r="C12" s="1162"/>
      <c r="D12" s="428">
        <f>Application!O726</f>
        <v>1900</v>
      </c>
      <c r="E12" s="429"/>
      <c r="F12" s="1083"/>
      <c r="G12" s="428">
        <f t="shared" si="2"/>
        <v>0</v>
      </c>
      <c r="H12" s="429"/>
      <c r="I12" s="428" t="str">
        <f t="shared" si="0"/>
        <v/>
      </c>
      <c r="J12" s="428" t="str">
        <f t="shared" si="1"/>
        <v/>
      </c>
      <c r="K12" s="204"/>
      <c r="L12" s="305"/>
    </row>
    <row r="13" spans="1:12">
      <c r="A13" s="428" t="str">
        <f>Application!B727</f>
        <v>3 Bedrooms</v>
      </c>
      <c r="B13" s="1082">
        <f>Application!G727</f>
        <v>5</v>
      </c>
      <c r="C13" s="1162"/>
      <c r="D13" s="428">
        <f>Application!O727</f>
        <v>1324</v>
      </c>
      <c r="E13" s="429"/>
      <c r="F13" s="1083"/>
      <c r="G13" s="428">
        <f t="shared" si="2"/>
        <v>0</v>
      </c>
      <c r="H13" s="429"/>
      <c r="I13" s="428" t="str">
        <f t="shared" si="0"/>
        <v/>
      </c>
      <c r="J13" s="428" t="str">
        <f t="shared" si="1"/>
        <v/>
      </c>
      <c r="K13" s="204"/>
      <c r="L13" s="305"/>
    </row>
    <row r="14" spans="1:12">
      <c r="A14" s="428" t="str">
        <f>Application!B728</f>
        <v>3 Bedrooms</v>
      </c>
      <c r="B14" s="1082">
        <f>Application!G728</f>
        <v>5</v>
      </c>
      <c r="C14" s="1162"/>
      <c r="D14" s="428">
        <f>Application!O728</f>
        <v>2242</v>
      </c>
      <c r="E14" s="429"/>
      <c r="F14" s="1083"/>
      <c r="G14" s="428">
        <f t="shared" si="2"/>
        <v>0</v>
      </c>
      <c r="H14" s="429"/>
      <c r="I14" s="428" t="str">
        <f t="shared" si="0"/>
        <v/>
      </c>
      <c r="J14" s="428" t="str">
        <f t="shared" si="1"/>
        <v/>
      </c>
      <c r="K14" s="204"/>
      <c r="L14" s="305"/>
    </row>
    <row r="15" spans="1:12">
      <c r="A15" s="428" t="str">
        <f>Application!B729</f>
        <v>3 Bedrooms</v>
      </c>
      <c r="B15" s="1082">
        <f>Application!G729</f>
        <v>33</v>
      </c>
      <c r="C15" s="1162"/>
      <c r="D15" s="428">
        <f>Application!O729</f>
        <v>2701</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282935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88" t="s">
        <v>2497</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2259</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workbookViewId="0">
      <selection activeCell="E60" sqref="E60:AG6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3395220</v>
      </c>
      <c r="G4" s="219">
        <f>E4*$C$4</f>
        <v>3480100.4999999995</v>
      </c>
      <c r="I4" s="219">
        <f>G4*$C$4</f>
        <v>3567103.0124999993</v>
      </c>
      <c r="K4" s="219">
        <f>I4*$C$4</f>
        <v>3656280.5878124991</v>
      </c>
      <c r="M4" s="219">
        <f>K4*$C$4</f>
        <v>3747687.6025078115</v>
      </c>
      <c r="O4" s="219">
        <f>M4*$C$4</f>
        <v>3841379.7925705067</v>
      </c>
      <c r="Q4" s="219">
        <f>O4*$C$4</f>
        <v>3937414.2873847689</v>
      </c>
      <c r="S4" s="219">
        <f>Q4*$C$4</f>
        <v>4035849.6445693877</v>
      </c>
      <c r="U4" s="219">
        <f>S4*$C$4</f>
        <v>4136745.8856836222</v>
      </c>
      <c r="W4" s="219">
        <f>U4*$C$4</f>
        <v>4240164.5328257121</v>
      </c>
      <c r="Y4" s="219">
        <f>W4*$C$4</f>
        <v>4346168.6461463543</v>
      </c>
      <c r="AA4" s="219">
        <f>Y4*$C$4</f>
        <v>4454822.8623000132</v>
      </c>
      <c r="AC4" s="219">
        <f>AA4*$C$4</f>
        <v>4566193.4338575136</v>
      </c>
      <c r="AE4" s="219">
        <f>AC4*$C$4</f>
        <v>4680348.2697039507</v>
      </c>
      <c r="AG4" s="219">
        <f>AE4*$C$4</f>
        <v>4797356.9764465494</v>
      </c>
    </row>
    <row r="5" spans="1:34" s="210" customFormat="1" ht="14.25">
      <c r="B5" s="210" t="s">
        <v>839</v>
      </c>
      <c r="C5" s="238">
        <f>IF(Application!$D$211="Special Needs",(((0.1*Application!$T$212)+(0.05*(1-Application!$T$212)))),0.05)</f>
        <v>0.05</v>
      </c>
      <c r="E5" s="221">
        <f>-E4*$C$5</f>
        <v>-169761</v>
      </c>
      <c r="F5" s="221"/>
      <c r="G5" s="221">
        <f>-G4*$C$5</f>
        <v>-174005.02499999999</v>
      </c>
      <c r="H5" s="221"/>
      <c r="I5" s="221">
        <f>-I4*$C$5</f>
        <v>-178355.15062499998</v>
      </c>
      <c r="J5" s="221"/>
      <c r="K5" s="221">
        <f>-K4*$C$5</f>
        <v>-182814.02939062496</v>
      </c>
      <c r="L5" s="221"/>
      <c r="M5" s="221">
        <f>-M4*$C$5</f>
        <v>-187384.3801253906</v>
      </c>
      <c r="N5" s="221"/>
      <c r="O5" s="221">
        <f>-O4*$C$5</f>
        <v>-192068.98962852533</v>
      </c>
      <c r="P5" s="221"/>
      <c r="Q5" s="221">
        <f>-Q4*$C$5</f>
        <v>-196870.71436923847</v>
      </c>
      <c r="R5" s="221"/>
      <c r="S5" s="221">
        <f>-S4*$C$5</f>
        <v>-201792.48222846939</v>
      </c>
      <c r="T5" s="221"/>
      <c r="U5" s="221">
        <f>-U4*$C$5</f>
        <v>-206837.29428418112</v>
      </c>
      <c r="V5" s="221"/>
      <c r="W5" s="221">
        <f>-W4*$C$5</f>
        <v>-212008.22664128561</v>
      </c>
      <c r="X5" s="221"/>
      <c r="Y5" s="221">
        <f>-Y4*$C$5</f>
        <v>-217308.43230731774</v>
      </c>
      <c r="Z5" s="221"/>
      <c r="AA5" s="221">
        <f>-AA4*$C$5</f>
        <v>-222741.14311500068</v>
      </c>
      <c r="AB5" s="221"/>
      <c r="AC5" s="221">
        <f>-AC4*$C$5</f>
        <v>-228309.67169287568</v>
      </c>
      <c r="AD5" s="221"/>
      <c r="AE5" s="221">
        <f>-AE4*$C$5</f>
        <v>-234017.41348519755</v>
      </c>
      <c r="AF5" s="221"/>
      <c r="AG5" s="221">
        <f>-AG4*$C$5</f>
        <v>-239867.84882232748</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22800</v>
      </c>
      <c r="F8" s="222"/>
      <c r="G8" s="222">
        <f>E8*$C$8</f>
        <v>23369.999999999996</v>
      </c>
      <c r="H8" s="222"/>
      <c r="I8" s="222">
        <f>G8*$C$8</f>
        <v>23954.249999999993</v>
      </c>
      <c r="J8" s="222"/>
      <c r="K8" s="222">
        <f>I8*$C$8</f>
        <v>24553.10624999999</v>
      </c>
      <c r="L8" s="222"/>
      <c r="M8" s="222">
        <f>K8*$C$8</f>
        <v>25166.933906249986</v>
      </c>
      <c r="N8" s="222"/>
      <c r="O8" s="222">
        <f>M8*$C$8</f>
        <v>25796.107253906233</v>
      </c>
      <c r="P8" s="222"/>
      <c r="Q8" s="222">
        <f>O8*$C$8</f>
        <v>26441.009935253885</v>
      </c>
      <c r="R8" s="222"/>
      <c r="S8" s="222">
        <f>Q8*$C$8</f>
        <v>27102.035183635231</v>
      </c>
      <c r="T8" s="222"/>
      <c r="U8" s="222">
        <f>S8*$C$8</f>
        <v>27779.58606322611</v>
      </c>
      <c r="V8" s="222"/>
      <c r="W8" s="222">
        <f>U8*$C$8</f>
        <v>28474.075714806761</v>
      </c>
      <c r="X8" s="222"/>
      <c r="Y8" s="222">
        <f>W8*$C$8</f>
        <v>29185.927607676927</v>
      </c>
      <c r="Z8" s="222"/>
      <c r="AA8" s="222">
        <f>Y8*$C$8</f>
        <v>29915.575797868849</v>
      </c>
      <c r="AB8" s="222"/>
      <c r="AC8" s="222">
        <f>AA8*$C$8</f>
        <v>30663.465192815569</v>
      </c>
      <c r="AD8" s="222"/>
      <c r="AE8" s="222">
        <f>AC8*$C$8</f>
        <v>31430.051822635956</v>
      </c>
      <c r="AF8" s="222"/>
      <c r="AG8" s="222">
        <f>AE8*$C$8</f>
        <v>32215.803118201853</v>
      </c>
    </row>
    <row r="9" spans="1:34" s="210" customFormat="1" ht="14.25">
      <c r="B9" s="210" t="s">
        <v>839</v>
      </c>
      <c r="C9" s="238">
        <f>IF(Application!$D$211="Special Needs",(((0.1*Application!$T$212)+(0.05*(1-Application!$T$212)))),0.05)</f>
        <v>0.05</v>
      </c>
      <c r="E9" s="221">
        <f>-E8*$C$9</f>
        <v>-1140</v>
      </c>
      <c r="F9" s="221"/>
      <c r="G9" s="221">
        <f>-G8*$C$9</f>
        <v>-1168.4999999999998</v>
      </c>
      <c r="H9" s="221"/>
      <c r="I9" s="221">
        <f>-I8*$C$9</f>
        <v>-1197.7124999999996</v>
      </c>
      <c r="J9" s="221"/>
      <c r="K9" s="221">
        <f>-K8*$C$9</f>
        <v>-1227.6553124999996</v>
      </c>
      <c r="L9" s="221"/>
      <c r="M9" s="221">
        <f>-M8*$C$9</f>
        <v>-1258.3466953124994</v>
      </c>
      <c r="N9" s="221"/>
      <c r="O9" s="221">
        <f>-O8*$C$9</f>
        <v>-1289.8053626953117</v>
      </c>
      <c r="P9" s="221"/>
      <c r="Q9" s="221">
        <f>-Q8*$C$9</f>
        <v>-1322.0504967626944</v>
      </c>
      <c r="R9" s="221"/>
      <c r="S9" s="221">
        <f>-S8*$C$9</f>
        <v>-1355.1017591817617</v>
      </c>
      <c r="T9" s="221"/>
      <c r="U9" s="221">
        <f>-U8*$C$9</f>
        <v>-1388.9793031613056</v>
      </c>
      <c r="V9" s="221"/>
      <c r="W9" s="221">
        <f>-W8*$C$9</f>
        <v>-1423.7037857403382</v>
      </c>
      <c r="X9" s="221"/>
      <c r="Y9" s="221">
        <f>-Y8*$C$9</f>
        <v>-1459.2963803838466</v>
      </c>
      <c r="Z9" s="221"/>
      <c r="AA9" s="221">
        <f>-AA8*$C$9</f>
        <v>-1495.7787898934425</v>
      </c>
      <c r="AB9" s="221"/>
      <c r="AC9" s="221">
        <f>-AC8*$C$9</f>
        <v>-1533.1732596407785</v>
      </c>
      <c r="AD9" s="221"/>
      <c r="AE9" s="221">
        <f>-AE8*$C$9</f>
        <v>-1571.502591131798</v>
      </c>
      <c r="AF9" s="221"/>
      <c r="AG9" s="221">
        <f>-AG8*$C$9</f>
        <v>-1610.7901559100928</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3247119</v>
      </c>
      <c r="G11" s="223">
        <f>SUM(G4:G10)</f>
        <v>3328296.9749999996</v>
      </c>
      <c r="I11" s="223">
        <f>SUM(I4:I10)</f>
        <v>3411504.3993749996</v>
      </c>
      <c r="K11" s="223">
        <f>SUM(K4:K10)</f>
        <v>3496792.0093593746</v>
      </c>
      <c r="M11" s="223">
        <f>SUM(M4:M10)</f>
        <v>3584211.8095933585</v>
      </c>
      <c r="O11" s="223">
        <f>SUM(O4:O10)</f>
        <v>3673817.1048331922</v>
      </c>
      <c r="Q11" s="223">
        <f>SUM(Q4:Q10)</f>
        <v>3765662.5324540217</v>
      </c>
      <c r="S11" s="223">
        <f>SUM(S4:S10)</f>
        <v>3859804.0957653713</v>
      </c>
      <c r="U11" s="223">
        <f>SUM(U4:U10)</f>
        <v>3956299.1981595061</v>
      </c>
      <c r="W11" s="223">
        <f>SUM(W4:W10)</f>
        <v>4055206.6781134927</v>
      </c>
      <c r="Y11" s="223">
        <f>SUM(Y4:Y10)</f>
        <v>4156586.8450663295</v>
      </c>
      <c r="AA11" s="223">
        <f>SUM(AA4:AA10)</f>
        <v>4260501.5161929876</v>
      </c>
      <c r="AC11" s="223">
        <f>SUM(AC4:AC10)</f>
        <v>4367014.0540978117</v>
      </c>
      <c r="AE11" s="223">
        <f>SUM(AE4:AE10)</f>
        <v>4476189.4054502575</v>
      </c>
      <c r="AG11" s="223">
        <f>SUM(AG4:AG10)</f>
        <v>4588094.140586514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60000</v>
      </c>
      <c r="G15" s="219">
        <f>E15*$C$14</f>
        <v>62099.999999999993</v>
      </c>
      <c r="I15" s="219">
        <f>G15*$C$14</f>
        <v>64273.499999999985</v>
      </c>
      <c r="K15" s="219">
        <f>I15*$C$14</f>
        <v>66523.07249999998</v>
      </c>
      <c r="M15" s="219">
        <f>K15*$C$14</f>
        <v>68851.38003749997</v>
      </c>
      <c r="O15" s="219">
        <f>M15*$C$14</f>
        <v>71261.17833881246</v>
      </c>
      <c r="Q15" s="219">
        <f>O15*$C$14</f>
        <v>73755.319580670897</v>
      </c>
      <c r="S15" s="219">
        <f>Q15*$C$14</f>
        <v>76336.75576599437</v>
      </c>
      <c r="U15" s="219">
        <f>S15*$C$14</f>
        <v>79008.542217804163</v>
      </c>
      <c r="W15" s="219">
        <f>U15*$C$14</f>
        <v>81773.841195427303</v>
      </c>
      <c r="Y15" s="219">
        <f>W15*$C$14</f>
        <v>84635.925637267253</v>
      </c>
      <c r="AA15" s="219">
        <f>Y15*$C$14</f>
        <v>87598.183034571601</v>
      </c>
      <c r="AC15" s="219">
        <f>AA15*$C$14</f>
        <v>90664.119440781593</v>
      </c>
      <c r="AE15" s="219">
        <f>AC15*$C$14</f>
        <v>93837.363621208948</v>
      </c>
      <c r="AG15" s="219">
        <f>AE15*$C$14</f>
        <v>97121.671347951255</v>
      </c>
    </row>
    <row r="16" spans="1:34" s="210" customFormat="1" ht="14.25">
      <c r="A16" s="210" t="s">
        <v>344</v>
      </c>
      <c r="C16" s="233"/>
      <c r="E16" s="222">
        <f>Application!W849</f>
        <v>194827</v>
      </c>
      <c r="F16" s="222"/>
      <c r="G16" s="222">
        <f t="shared" ref="G16:AG21" si="0">E16*$C$14</f>
        <v>201645.94499999998</v>
      </c>
      <c r="H16" s="222"/>
      <c r="I16" s="222">
        <f t="shared" si="0"/>
        <v>208703.55307499997</v>
      </c>
      <c r="J16" s="222"/>
      <c r="K16" s="222">
        <f t="shared" si="0"/>
        <v>216008.17743262494</v>
      </c>
      <c r="L16" s="222"/>
      <c r="M16" s="222">
        <f t="shared" si="0"/>
        <v>223568.46364276679</v>
      </c>
      <c r="N16" s="222"/>
      <c r="O16" s="222">
        <f t="shared" si="0"/>
        <v>231393.35987026361</v>
      </c>
      <c r="P16" s="222"/>
      <c r="Q16" s="222">
        <f t="shared" si="0"/>
        <v>239492.12746572282</v>
      </c>
      <c r="R16" s="222"/>
      <c r="S16" s="222">
        <f t="shared" si="0"/>
        <v>247874.35192702309</v>
      </c>
      <c r="T16" s="222"/>
      <c r="U16" s="222">
        <f t="shared" si="0"/>
        <v>256549.95424446889</v>
      </c>
      <c r="V16" s="222"/>
      <c r="W16" s="222">
        <f t="shared" si="0"/>
        <v>265529.20264302526</v>
      </c>
      <c r="X16" s="222"/>
      <c r="Y16" s="222">
        <f t="shared" si="0"/>
        <v>274822.72473553114</v>
      </c>
      <c r="Z16" s="222"/>
      <c r="AA16" s="222">
        <f t="shared" si="0"/>
        <v>284441.52010127471</v>
      </c>
      <c r="AB16" s="222"/>
      <c r="AC16" s="222">
        <f t="shared" si="0"/>
        <v>294396.97330481932</v>
      </c>
      <c r="AD16" s="222"/>
      <c r="AE16" s="222">
        <f t="shared" si="0"/>
        <v>304700.86737048795</v>
      </c>
      <c r="AF16" s="222"/>
      <c r="AG16" s="222">
        <f t="shared" si="0"/>
        <v>315365.39772845502</v>
      </c>
    </row>
    <row r="17" spans="1:33" s="210" customFormat="1" ht="14.25">
      <c r="A17" s="210" t="s">
        <v>562</v>
      </c>
      <c r="C17" s="233"/>
      <c r="E17" s="222">
        <f>Application!W855</f>
        <v>130000</v>
      </c>
      <c r="F17" s="222"/>
      <c r="G17" s="222">
        <f t="shared" si="0"/>
        <v>134550</v>
      </c>
      <c r="H17" s="222"/>
      <c r="I17" s="222">
        <f t="shared" si="0"/>
        <v>139259.25</v>
      </c>
      <c r="J17" s="222"/>
      <c r="K17" s="222">
        <f t="shared" si="0"/>
        <v>144133.32374999998</v>
      </c>
      <c r="L17" s="222"/>
      <c r="M17" s="222">
        <f t="shared" si="0"/>
        <v>149177.99008124997</v>
      </c>
      <c r="N17" s="222"/>
      <c r="O17" s="222">
        <f t="shared" si="0"/>
        <v>154399.2197340937</v>
      </c>
      <c r="P17" s="222"/>
      <c r="Q17" s="222">
        <f t="shared" si="0"/>
        <v>159803.19242478698</v>
      </c>
      <c r="R17" s="222"/>
      <c r="S17" s="222">
        <f t="shared" si="0"/>
        <v>165396.30415965451</v>
      </c>
      <c r="T17" s="222"/>
      <c r="U17" s="222">
        <f t="shared" si="0"/>
        <v>171185.17480524239</v>
      </c>
      <c r="V17" s="222"/>
      <c r="W17" s="222">
        <f t="shared" si="0"/>
        <v>177176.65592342586</v>
      </c>
      <c r="X17" s="222"/>
      <c r="Y17" s="222">
        <f t="shared" si="0"/>
        <v>183377.83888074575</v>
      </c>
      <c r="Z17" s="222"/>
      <c r="AA17" s="222">
        <f t="shared" si="0"/>
        <v>189796.06324157183</v>
      </c>
      <c r="AB17" s="222"/>
      <c r="AC17" s="222">
        <f t="shared" si="0"/>
        <v>196438.92545502682</v>
      </c>
      <c r="AD17" s="222"/>
      <c r="AE17" s="222">
        <f t="shared" si="0"/>
        <v>203314.28784595276</v>
      </c>
      <c r="AF17" s="222"/>
      <c r="AG17" s="222">
        <f t="shared" si="0"/>
        <v>210430.2879205611</v>
      </c>
    </row>
    <row r="18" spans="1:33" s="210" customFormat="1" ht="14.25">
      <c r="A18" s="210" t="s">
        <v>843</v>
      </c>
      <c r="C18" s="233"/>
      <c r="E18" s="222">
        <f>Application!W862</f>
        <v>111668</v>
      </c>
      <c r="F18" s="222"/>
      <c r="G18" s="222">
        <f t="shared" si="0"/>
        <v>115576.37999999999</v>
      </c>
      <c r="H18" s="222"/>
      <c r="I18" s="222">
        <f t="shared" si="0"/>
        <v>119621.55329999999</v>
      </c>
      <c r="J18" s="222"/>
      <c r="K18" s="222">
        <f t="shared" si="0"/>
        <v>123808.30766549997</v>
      </c>
      <c r="L18" s="222"/>
      <c r="M18" s="222">
        <f t="shared" si="0"/>
        <v>128141.59843379246</v>
      </c>
      <c r="N18" s="222"/>
      <c r="O18" s="222">
        <f t="shared" si="0"/>
        <v>132626.55437897518</v>
      </c>
      <c r="P18" s="222"/>
      <c r="Q18" s="222">
        <f t="shared" si="0"/>
        <v>137268.48378223932</v>
      </c>
      <c r="R18" s="222"/>
      <c r="S18" s="222">
        <f t="shared" si="0"/>
        <v>142072.88071461767</v>
      </c>
      <c r="T18" s="222"/>
      <c r="U18" s="222">
        <f t="shared" si="0"/>
        <v>147045.43153962927</v>
      </c>
      <c r="V18" s="222"/>
      <c r="W18" s="222">
        <f t="shared" si="0"/>
        <v>152192.02164351629</v>
      </c>
      <c r="X18" s="222"/>
      <c r="Y18" s="222">
        <f t="shared" si="0"/>
        <v>157518.74240103934</v>
      </c>
      <c r="Z18" s="222"/>
      <c r="AA18" s="222">
        <f t="shared" si="0"/>
        <v>163031.89838507571</v>
      </c>
      <c r="AB18" s="222"/>
      <c r="AC18" s="222">
        <f t="shared" si="0"/>
        <v>168738.01482855334</v>
      </c>
      <c r="AD18" s="222"/>
      <c r="AE18" s="222">
        <f t="shared" si="0"/>
        <v>174643.84534755268</v>
      </c>
      <c r="AF18" s="222"/>
      <c r="AG18" s="222">
        <f t="shared" si="0"/>
        <v>180756.379934717</v>
      </c>
    </row>
    <row r="19" spans="1:33" s="210" customFormat="1" ht="14.25">
      <c r="A19" s="210" t="s">
        <v>155</v>
      </c>
      <c r="C19" s="233"/>
      <c r="E19" s="222">
        <f>Application!W863</f>
        <v>225000</v>
      </c>
      <c r="F19" s="222"/>
      <c r="G19" s="222">
        <f t="shared" si="0"/>
        <v>232874.99999999997</v>
      </c>
      <c r="H19" s="222"/>
      <c r="I19" s="222">
        <f t="shared" si="0"/>
        <v>241025.62499999994</v>
      </c>
      <c r="J19" s="222"/>
      <c r="K19" s="222">
        <f t="shared" si="0"/>
        <v>249461.52187499992</v>
      </c>
      <c r="L19" s="222"/>
      <c r="M19" s="222">
        <f t="shared" si="0"/>
        <v>258192.67514062489</v>
      </c>
      <c r="N19" s="222"/>
      <c r="O19" s="222">
        <f t="shared" si="0"/>
        <v>267229.41877054673</v>
      </c>
      <c r="P19" s="222"/>
      <c r="Q19" s="222">
        <f t="shared" si="0"/>
        <v>276582.44842751586</v>
      </c>
      <c r="R19" s="222"/>
      <c r="S19" s="222">
        <f t="shared" si="0"/>
        <v>286262.8341224789</v>
      </c>
      <c r="T19" s="222"/>
      <c r="U19" s="222">
        <f t="shared" si="0"/>
        <v>296282.03331676562</v>
      </c>
      <c r="V19" s="222"/>
      <c r="W19" s="222">
        <f t="shared" si="0"/>
        <v>306651.90448285238</v>
      </c>
      <c r="X19" s="222"/>
      <c r="Y19" s="222">
        <f t="shared" si="0"/>
        <v>317384.72113975219</v>
      </c>
      <c r="Z19" s="222"/>
      <c r="AA19" s="222">
        <f t="shared" si="0"/>
        <v>328493.18637964351</v>
      </c>
      <c r="AB19" s="222"/>
      <c r="AC19" s="222">
        <f t="shared" si="0"/>
        <v>339990.44790293102</v>
      </c>
      <c r="AD19" s="222"/>
      <c r="AE19" s="222">
        <f t="shared" si="0"/>
        <v>351890.11357953359</v>
      </c>
      <c r="AF19" s="222"/>
      <c r="AG19" s="222">
        <f t="shared" si="0"/>
        <v>364206.26755481726</v>
      </c>
    </row>
    <row r="20" spans="1:33" s="210" customFormat="1" ht="14.25">
      <c r="A20" s="210" t="s">
        <v>390</v>
      </c>
      <c r="C20" s="233"/>
      <c r="E20" s="222">
        <f>Application!W872</f>
        <v>75173</v>
      </c>
      <c r="F20" s="222"/>
      <c r="G20" s="222">
        <f t="shared" si="0"/>
        <v>77804.054999999993</v>
      </c>
      <c r="H20" s="222"/>
      <c r="I20" s="222">
        <f t="shared" si="0"/>
        <v>80527.196924999982</v>
      </c>
      <c r="J20" s="222"/>
      <c r="K20" s="222">
        <f t="shared" si="0"/>
        <v>83345.648817374982</v>
      </c>
      <c r="L20" s="222"/>
      <c r="M20" s="222">
        <f t="shared" si="0"/>
        <v>86262.746525983093</v>
      </c>
      <c r="N20" s="222"/>
      <c r="O20" s="222">
        <f t="shared" si="0"/>
        <v>89281.942654392493</v>
      </c>
      <c r="P20" s="222"/>
      <c r="Q20" s="222">
        <f t="shared" si="0"/>
        <v>92406.810647296224</v>
      </c>
      <c r="R20" s="222"/>
      <c r="S20" s="222">
        <f t="shared" si="0"/>
        <v>95641.049019951592</v>
      </c>
      <c r="T20" s="222"/>
      <c r="U20" s="222">
        <f t="shared" si="0"/>
        <v>98988.485735649883</v>
      </c>
      <c r="V20" s="222"/>
      <c r="W20" s="222">
        <f t="shared" si="0"/>
        <v>102453.08273639763</v>
      </c>
      <c r="X20" s="222"/>
      <c r="Y20" s="222">
        <f t="shared" si="0"/>
        <v>106038.94063217154</v>
      </c>
      <c r="Z20" s="222"/>
      <c r="AA20" s="222">
        <f t="shared" si="0"/>
        <v>109750.30355429753</v>
      </c>
      <c r="AB20" s="222"/>
      <c r="AC20" s="222">
        <f t="shared" si="0"/>
        <v>113591.56417869792</v>
      </c>
      <c r="AD20" s="222"/>
      <c r="AE20" s="222">
        <f t="shared" si="0"/>
        <v>117567.26892495234</v>
      </c>
      <c r="AF20" s="222"/>
      <c r="AG20" s="222">
        <f t="shared" si="0"/>
        <v>121682.12333732565</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796668</v>
      </c>
      <c r="G22" s="223">
        <f>SUM(G15:G21)</f>
        <v>824551.37999999989</v>
      </c>
      <c r="I22" s="223">
        <f>SUM(I15:I21)</f>
        <v>853410.67829999991</v>
      </c>
      <c r="K22" s="223">
        <f>SUM(K15:K21)</f>
        <v>883280.05204049975</v>
      </c>
      <c r="M22" s="223">
        <f>SUM(M15:M21)</f>
        <v>914194.85386191716</v>
      </c>
      <c r="O22" s="223">
        <f>SUM(O15:O21)</f>
        <v>946191.6737470841</v>
      </c>
      <c r="Q22" s="223">
        <f>SUM(Q15:Q21)</f>
        <v>979308.38232823205</v>
      </c>
      <c r="S22" s="223">
        <f>SUM(S15:S21)</f>
        <v>1013584.1757097202</v>
      </c>
      <c r="U22" s="223">
        <f>SUM(U15:U21)</f>
        <v>1049059.6218595603</v>
      </c>
      <c r="W22" s="223">
        <f>SUM(W15:W21)</f>
        <v>1085776.7086246447</v>
      </c>
      <c r="Y22" s="223">
        <f>SUM(Y15:Y21)</f>
        <v>1123778.8934265072</v>
      </c>
      <c r="AA22" s="223">
        <f>SUM(AA15:AA21)</f>
        <v>1163111.1546964347</v>
      </c>
      <c r="AC22" s="223">
        <f>SUM(AC15:AC21)</f>
        <v>1203820.0451108101</v>
      </c>
      <c r="AE22" s="223">
        <f>SUM(AE15:AE21)</f>
        <v>1245953.7466896882</v>
      </c>
      <c r="AG22" s="223">
        <f>SUM(AG15:AG21)</f>
        <v>1289562.1278238273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1684</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15000</v>
      </c>
      <c r="F27" s="222"/>
      <c r="G27" s="222">
        <f>E27*$C$27</f>
        <v>15524.999999999998</v>
      </c>
      <c r="H27" s="222"/>
      <c r="I27" s="222">
        <f>G27*$C$27</f>
        <v>16068.374999999996</v>
      </c>
      <c r="J27" s="222"/>
      <c r="K27" s="222">
        <f>I27*$C$27</f>
        <v>16630.768124999995</v>
      </c>
      <c r="L27" s="222"/>
      <c r="M27" s="222">
        <f>K27*$C$27</f>
        <v>17212.845009374993</v>
      </c>
      <c r="N27" s="222"/>
      <c r="O27" s="222">
        <f>M27*$C$27</f>
        <v>17815.294584703115</v>
      </c>
      <c r="P27" s="222"/>
      <c r="Q27" s="222">
        <f>O27*$C$27</f>
        <v>18438.829895167724</v>
      </c>
      <c r="R27" s="222"/>
      <c r="S27" s="222">
        <f>Q27*$C$27</f>
        <v>19084.188941498593</v>
      </c>
      <c r="T27" s="222"/>
      <c r="U27" s="222">
        <f>S27*$C$27</f>
        <v>19752.135554451041</v>
      </c>
      <c r="V27" s="222"/>
      <c r="W27" s="222">
        <f>U27*$C$27</f>
        <v>20443.460298856826</v>
      </c>
      <c r="X27" s="222"/>
      <c r="Y27" s="222">
        <f>W27*$C$27</f>
        <v>21158.981409316813</v>
      </c>
      <c r="Z27" s="222"/>
      <c r="AA27" s="222">
        <f>Y27*$C$27</f>
        <v>21899.5457586429</v>
      </c>
      <c r="AB27" s="222"/>
      <c r="AC27" s="222">
        <f>AA27*$C$27</f>
        <v>22666.029860195398</v>
      </c>
      <c r="AD27" s="222"/>
      <c r="AE27" s="222">
        <f>AC27*$C$27</f>
        <v>23459.340905302237</v>
      </c>
      <c r="AF27" s="222"/>
      <c r="AG27" s="222">
        <f>AE27*$C$27</f>
        <v>24280.417836987814</v>
      </c>
    </row>
    <row r="28" spans="1:33" s="210" customFormat="1" ht="14.25">
      <c r="A28" s="210" t="s">
        <v>847</v>
      </c>
      <c r="C28" s="237"/>
      <c r="E28" s="222">
        <f>Application!AC889</f>
        <v>37500</v>
      </c>
      <c r="F28" s="222"/>
      <c r="G28" s="222">
        <f>$E$28</f>
        <v>37500</v>
      </c>
      <c r="H28" s="222"/>
      <c r="I28" s="222">
        <f>$E$28</f>
        <v>37500</v>
      </c>
      <c r="J28" s="222"/>
      <c r="K28" s="222">
        <f>$E$28</f>
        <v>37500</v>
      </c>
      <c r="L28" s="222"/>
      <c r="M28" s="222">
        <f>$E$28</f>
        <v>37500</v>
      </c>
      <c r="N28" s="222"/>
      <c r="O28" s="222">
        <f>$E$28</f>
        <v>37500</v>
      </c>
      <c r="P28" s="222"/>
      <c r="Q28" s="222">
        <f>$E$28</f>
        <v>37500</v>
      </c>
      <c r="R28" s="222"/>
      <c r="S28" s="222">
        <f>$E$28</f>
        <v>37500</v>
      </c>
      <c r="T28" s="222"/>
      <c r="U28" s="222">
        <f>$E$28</f>
        <v>37500</v>
      </c>
      <c r="V28" s="222"/>
      <c r="W28" s="222">
        <f>$E$28</f>
        <v>37500</v>
      </c>
      <c r="X28" s="222"/>
      <c r="Y28" s="222">
        <f>$E$28</f>
        <v>37500</v>
      </c>
      <c r="Z28" s="222"/>
      <c r="AA28" s="222">
        <f>$E$28</f>
        <v>37500</v>
      </c>
      <c r="AB28" s="222"/>
      <c r="AC28" s="222">
        <f>$E$28</f>
        <v>37500</v>
      </c>
      <c r="AD28" s="222"/>
      <c r="AE28" s="222">
        <f>$E$28</f>
        <v>37500</v>
      </c>
      <c r="AF28" s="222"/>
      <c r="AG28" s="222">
        <f>$E$28</f>
        <v>37500</v>
      </c>
    </row>
    <row r="29" spans="1:33" s="210" customFormat="1" ht="14.25">
      <c r="A29" s="210" t="s">
        <v>1682</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1683</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849168</v>
      </c>
      <c r="G35" s="223">
        <f>SUM(G22:G33)</f>
        <v>877576.37999999989</v>
      </c>
      <c r="I35" s="223">
        <f>SUM(I22:I33)</f>
        <v>906979.05329999991</v>
      </c>
      <c r="K35" s="223">
        <f>SUM(K22:K33)</f>
        <v>937410.8201654997</v>
      </c>
      <c r="M35" s="223">
        <f>SUM(M22:M33)</f>
        <v>968907.69887129217</v>
      </c>
      <c r="O35" s="223">
        <f>SUM(O22:O33)</f>
        <v>1001506.9683317873</v>
      </c>
      <c r="Q35" s="223">
        <f>SUM(Q22:Q33)</f>
        <v>1035247.2122233998</v>
      </c>
      <c r="S35" s="223">
        <f>SUM(S22:S33)</f>
        <v>1070168.364651219</v>
      </c>
      <c r="U35" s="223">
        <f>SUM(U22:U33)</f>
        <v>1106311.7574140113</v>
      </c>
      <c r="W35" s="223">
        <f>SUM(W22:W33)</f>
        <v>1143720.1689235014</v>
      </c>
      <c r="Y35" s="223">
        <f>SUM(Y22:Y33)</f>
        <v>1182437.8748358241</v>
      </c>
      <c r="AA35" s="223">
        <f>SUM(AA22:AA33)</f>
        <v>1222510.7004550777</v>
      </c>
      <c r="AC35" s="223">
        <f>SUM(AC22:AC33)</f>
        <v>1263986.0749710056</v>
      </c>
      <c r="AE35" s="223">
        <f>SUM(AE22:AE33)</f>
        <v>1306913.0875949904</v>
      </c>
      <c r="AG35" s="223">
        <f>SUM(AG22:AG33)</f>
        <v>1351342.5456608152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2397951</v>
      </c>
      <c r="G37" s="223">
        <f>G11-G35</f>
        <v>2450720.5949999997</v>
      </c>
      <c r="I37" s="223">
        <f>I11-I35</f>
        <v>2504525.3460749998</v>
      </c>
      <c r="K37" s="223">
        <f>K11-K35</f>
        <v>2559381.1891938751</v>
      </c>
      <c r="M37" s="223">
        <f>M11-M35</f>
        <v>2615304.1107220664</v>
      </c>
      <c r="O37" s="223">
        <f>O11-O35</f>
        <v>2672310.1365014049</v>
      </c>
      <c r="Q37" s="223">
        <f>Q11-Q35</f>
        <v>2730415.3202306218</v>
      </c>
      <c r="S37" s="223">
        <f>S11-S35</f>
        <v>2789635.7311141524</v>
      </c>
      <c r="U37" s="223">
        <f>U11-U35</f>
        <v>2849987.4407454948</v>
      </c>
      <c r="W37" s="223">
        <f>W11-W35</f>
        <v>2911486.5091899913</v>
      </c>
      <c r="Y37" s="223">
        <f>Y11-Y35</f>
        <v>2974148.9702305053</v>
      </c>
      <c r="AA37" s="223">
        <f>AA11-AA35</f>
        <v>3037990.8157379096</v>
      </c>
      <c r="AC37" s="223">
        <f>AC11-AC35</f>
        <v>3103027.9791268064</v>
      </c>
      <c r="AE37" s="223">
        <f>AE11-AE35</f>
        <v>3169276.3178552669</v>
      </c>
      <c r="AG37" s="223">
        <f>AG11-AG35</f>
        <v>3236751.5949256988</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Bank Perm Loan</v>
      </c>
      <c r="B40" s="226"/>
      <c r="C40" s="220"/>
      <c r="E40" s="222">
        <f>Application!AF627</f>
        <v>2085175</v>
      </c>
      <c r="F40" s="222"/>
      <c r="G40" s="222">
        <f>$E$40</f>
        <v>2085175</v>
      </c>
      <c r="H40" s="222"/>
      <c r="I40" s="222">
        <f>$E$40</f>
        <v>2085175</v>
      </c>
      <c r="J40" s="222"/>
      <c r="K40" s="222">
        <f>$E$40</f>
        <v>2085175</v>
      </c>
      <c r="L40" s="222"/>
      <c r="M40" s="222">
        <f>$E$40</f>
        <v>2085175</v>
      </c>
      <c r="N40" s="222"/>
      <c r="O40" s="222">
        <f>$E$40</f>
        <v>2085175</v>
      </c>
      <c r="P40" s="222"/>
      <c r="Q40" s="222">
        <f>$E$40</f>
        <v>2085175</v>
      </c>
      <c r="R40" s="222"/>
      <c r="S40" s="222">
        <f>$E$40</f>
        <v>2085175</v>
      </c>
      <c r="T40" s="222"/>
      <c r="U40" s="222">
        <f>$E$40</f>
        <v>2085175</v>
      </c>
      <c r="V40" s="222"/>
      <c r="W40" s="222">
        <f>$E$40</f>
        <v>2085175</v>
      </c>
      <c r="X40" s="222"/>
      <c r="Y40" s="222">
        <f>$E$40</f>
        <v>2085175</v>
      </c>
      <c r="Z40" s="222"/>
      <c r="AA40" s="222">
        <f>$E$40</f>
        <v>2085175</v>
      </c>
      <c r="AB40" s="222"/>
      <c r="AC40" s="222">
        <f>$E$40</f>
        <v>2085175</v>
      </c>
      <c r="AD40" s="222"/>
      <c r="AE40" s="222">
        <f>$E$40</f>
        <v>2085175</v>
      </c>
      <c r="AF40" s="222"/>
      <c r="AG40" s="222">
        <f>$E$40</f>
        <v>2085175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2085175</v>
      </c>
      <c r="G43" s="223">
        <f>SUM(G40:G42)</f>
        <v>2085175</v>
      </c>
      <c r="I43" s="223">
        <f>SUM(I40:I42)</f>
        <v>2085175</v>
      </c>
      <c r="K43" s="223">
        <f>SUM(K40:K42)</f>
        <v>2085175</v>
      </c>
      <c r="M43" s="223">
        <f>SUM(M40:M42)</f>
        <v>2085175</v>
      </c>
      <c r="O43" s="223">
        <f>SUM(O40:O42)</f>
        <v>2085175</v>
      </c>
      <c r="Q43" s="223">
        <f>SUM(Q40:Q42)</f>
        <v>2085175</v>
      </c>
      <c r="S43" s="223">
        <f>SUM(S40:S42)</f>
        <v>2085175</v>
      </c>
      <c r="U43" s="223">
        <f>SUM(U40:U42)</f>
        <v>2085175</v>
      </c>
      <c r="W43" s="223">
        <f>SUM(W40:W42)</f>
        <v>2085175</v>
      </c>
      <c r="Y43" s="223">
        <f>SUM(Y40:Y42)</f>
        <v>2085175</v>
      </c>
      <c r="AA43" s="223">
        <f>SUM(AA40:AA42)</f>
        <v>2085175</v>
      </c>
      <c r="AC43" s="223">
        <f>SUM(AC40:AC42)</f>
        <v>2085175</v>
      </c>
      <c r="AE43" s="223">
        <f>SUM(AE40:AE42)</f>
        <v>2085175</v>
      </c>
      <c r="AG43" s="223">
        <f>SUM(AG40:AG42)</f>
        <v>2085175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312776</v>
      </c>
      <c r="G45" s="223">
        <f>G37-G43</f>
        <v>365545.59499999974</v>
      </c>
      <c r="I45" s="223">
        <f>I37-I43</f>
        <v>419350.34607499978</v>
      </c>
      <c r="K45" s="223">
        <f>K37-K43</f>
        <v>474206.18919387506</v>
      </c>
      <c r="M45" s="223">
        <f>M37-M43</f>
        <v>530129.11072206637</v>
      </c>
      <c r="O45" s="223">
        <f>O37-O43</f>
        <v>587135.13650140492</v>
      </c>
      <c r="Q45" s="223">
        <f>Q37-Q43</f>
        <v>645240.32023062184</v>
      </c>
      <c r="S45" s="223">
        <f>S37-S43</f>
        <v>704460.73111415235</v>
      </c>
      <c r="U45" s="223">
        <f>U37-U43</f>
        <v>764812.44074549479</v>
      </c>
      <c r="W45" s="223">
        <f>W37-W43</f>
        <v>826311.50918999128</v>
      </c>
      <c r="Y45" s="223">
        <f>Y37-Y43</f>
        <v>888973.97023050534</v>
      </c>
      <c r="AA45" s="223">
        <f>AA37-AA43</f>
        <v>952815.81573790964</v>
      </c>
      <c r="AC45" s="223">
        <f>AC37-AC43</f>
        <v>1017852.9791268064</v>
      </c>
      <c r="AE45" s="223">
        <f>AE37-AE43</f>
        <v>1084101.3178552669</v>
      </c>
      <c r="AG45" s="223">
        <f>AG37-AG43</f>
        <v>1151576.5949256988</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9.1507949046524012E-2</v>
      </c>
      <c r="G47" s="227">
        <f>G45/(G4+G6+G8)</f>
        <v>0.10433813985303994</v>
      </c>
      <c r="I47" s="227">
        <f>I45/(I4+I6+I8)</f>
        <v>0.11677629049642588</v>
      </c>
      <c r="K47" s="227">
        <f>K45/(K4+K6+K8)</f>
        <v>0.12883119113987962</v>
      </c>
      <c r="M47" s="227">
        <f>M45/(M4+M6+M8)</f>
        <v>0.1405114100226964</v>
      </c>
      <c r="O47" s="227">
        <f>O45/(O4+O6+O8)</f>
        <v>0.15182529879958745</v>
      </c>
      <c r="Q47" s="227">
        <f>Q45/(Q4+Q6+Q8)</f>
        <v>0.16278099774905286</v>
      </c>
      <c r="S47" s="227">
        <f>S45/(S4+S6+S8)</f>
        <v>0.17338644085399876</v>
      </c>
      <c r="U47" s="227">
        <f>U45/(U4+U6+U8)</f>
        <v>0.18364936075770649</v>
      </c>
      <c r="W47" s="227">
        <f>W45/(W4+W6+W8)</f>
        <v>0.1935772935981839</v>
      </c>
      <c r="Y47" s="227">
        <f>Y45/(Y4+Y6+Y8)</f>
        <v>0.20317758372386499</v>
      </c>
      <c r="AA47" s="227">
        <f>AA45/(AA4+AA6+AA8)</f>
        <v>0.21245738829353639</v>
      </c>
      <c r="AC47" s="227">
        <f>AC45/(AC4+AC6+AC8)</f>
        <v>0.22142368176331223</v>
      </c>
      <c r="AE47" s="227">
        <f>AE45/(AE4+AE6+AE8)</f>
        <v>0.23008326026340406</v>
      </c>
      <c r="AG47" s="227">
        <f>AG45/(AG4+AG6+AG8)</f>
        <v>0.23844274586736441</v>
      </c>
    </row>
    <row r="48" spans="1:33" s="227" customFormat="1" ht="14.25">
      <c r="A48" s="227" t="s">
        <v>853</v>
      </c>
      <c r="C48" s="220"/>
      <c r="E48" s="227">
        <f>E45/E43</f>
        <v>0.14999988010598631</v>
      </c>
      <c r="G48" s="227">
        <f>G45/G43</f>
        <v>0.17530691428776948</v>
      </c>
      <c r="I48" s="227">
        <f>I45/I43</f>
        <v>0.20111038453607</v>
      </c>
      <c r="K48" s="227">
        <f>K45/K43</f>
        <v>0.22741793335996982</v>
      </c>
      <c r="M48" s="227">
        <f>M45/M43</f>
        <v>0.25423722743753707</v>
      </c>
      <c r="O48" s="227">
        <f>O45/O43</f>
        <v>0.28157595237877153</v>
      </c>
      <c r="Q48" s="227">
        <f>Q45/Q43</f>
        <v>0.3094418071531751</v>
      </c>
      <c r="S48" s="227">
        <f>S45/S43</f>
        <v>0.33784249816641404</v>
      </c>
      <c r="U48" s="227">
        <f>U45/U43</f>
        <v>0.36678573296989214</v>
      </c>
      <c r="W48" s="227">
        <f>W45/W43</f>
        <v>0.39627921358638546</v>
      </c>
      <c r="Y48" s="227">
        <f>Y45/Y43</f>
        <v>0.42633062943422273</v>
      </c>
      <c r="AA48" s="227">
        <f>AA45/AA43</f>
        <v>0.45694764983174535</v>
      </c>
      <c r="AC48" s="227">
        <f>AC45/AC43</f>
        <v>0.48813791606306733</v>
      </c>
      <c r="AE48" s="227">
        <f>AE45/AE43</f>
        <v>0.51990903298536906</v>
      </c>
      <c r="AG48" s="227">
        <f>AG45/AG43</f>
        <v>0.55226856015715653</v>
      </c>
    </row>
    <row r="49" spans="1:34" s="228" customFormat="1" ht="14.25">
      <c r="A49" s="228" t="s">
        <v>851</v>
      </c>
      <c r="C49" s="229"/>
      <c r="E49" s="228">
        <f>E37/E43</f>
        <v>1.1499998801059863</v>
      </c>
      <c r="G49" s="228">
        <f>G37/G43</f>
        <v>1.1753069142877695</v>
      </c>
      <c r="I49" s="228">
        <f>I37/I43</f>
        <v>1.20111038453607</v>
      </c>
      <c r="K49" s="228">
        <f>K37/K43</f>
        <v>1.2274179333599697</v>
      </c>
      <c r="M49" s="228">
        <f>M37/M43</f>
        <v>1.2542372274375371</v>
      </c>
      <c r="O49" s="228">
        <f>O37/O43</f>
        <v>1.2815759523787715</v>
      </c>
      <c r="Q49" s="228">
        <f>Q37/Q43</f>
        <v>1.309441807153175</v>
      </c>
      <c r="S49" s="228">
        <f>S37/S43</f>
        <v>1.3378424981664141</v>
      </c>
      <c r="U49" s="228">
        <f>U37/U43</f>
        <v>1.366785732969892</v>
      </c>
      <c r="W49" s="228">
        <f>W37/W43</f>
        <v>1.3962792135863855</v>
      </c>
      <c r="Y49" s="228">
        <f>Y37/Y43</f>
        <v>1.4263306294342226</v>
      </c>
      <c r="AA49" s="228">
        <f>AA37/AA43</f>
        <v>1.4569476498317453</v>
      </c>
      <c r="AC49" s="228">
        <f>AC37/AC43</f>
        <v>1.4881379160630672</v>
      </c>
      <c r="AE49" s="228">
        <f>AE37/AE43</f>
        <v>1.5199090329853691</v>
      </c>
      <c r="AG49" s="228">
        <f>AG37/AG43</f>
        <v>1.5522685601571564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1185</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f>+Application!AO628</f>
        <v>6456907</v>
      </c>
      <c r="E60" s="962">
        <f>E45-E58</f>
        <v>312776</v>
      </c>
      <c r="G60" s="962">
        <f>G45-G58</f>
        <v>365545.59499999974</v>
      </c>
      <c r="I60" s="962">
        <f>I45-I58</f>
        <v>419350.34607499978</v>
      </c>
      <c r="K60" s="962">
        <f>K45-K58</f>
        <v>474206.18919387506</v>
      </c>
      <c r="M60" s="962">
        <f>M45-M58</f>
        <v>530129.11072206637</v>
      </c>
      <c r="O60" s="962">
        <f>O45-O58</f>
        <v>587135.13650140492</v>
      </c>
      <c r="Q60" s="962">
        <f>Q45-Q58</f>
        <v>645240.32023062184</v>
      </c>
      <c r="S60" s="962">
        <f>S45-S58</f>
        <v>704460.73111415235</v>
      </c>
      <c r="U60" s="962">
        <f>U45-U58</f>
        <v>764812.44074549479</v>
      </c>
      <c r="W60" s="962">
        <f>W45-W58</f>
        <v>826311.50918999128</v>
      </c>
      <c r="Y60" s="962">
        <f>Y45-Y58</f>
        <v>888973.97023050534</v>
      </c>
      <c r="AA60" s="962">
        <f>AA45-AA58</f>
        <v>952815.81573790964</v>
      </c>
      <c r="AC60" s="962">
        <f>AC45-AC58</f>
        <v>1017852.9791268064</v>
      </c>
      <c r="AE60" s="962">
        <f>AE45-AE58</f>
        <v>1084101.3178552669</v>
      </c>
      <c r="AG60" s="962">
        <f>AG45-AG58</f>
        <v>1151576.5949256988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312776</v>
      </c>
      <c r="G62" s="962">
        <f>G60*$C$62</f>
        <v>365545.59499999974</v>
      </c>
      <c r="I62" s="962">
        <f>I60*$C$62</f>
        <v>419350.34607499978</v>
      </c>
      <c r="K62" s="962">
        <f>K60*$C$62</f>
        <v>474206.18919387506</v>
      </c>
      <c r="M62" s="962">
        <f>M60*$C$62</f>
        <v>530129.11072206637</v>
      </c>
      <c r="O62" s="962">
        <f>O60*$C$62</f>
        <v>587135.13650140492</v>
      </c>
      <c r="Q62" s="962">
        <f>Q60*$C$62</f>
        <v>645240.32023062184</v>
      </c>
      <c r="S62" s="962">
        <f>S60*$C$62</f>
        <v>704460.73111415235</v>
      </c>
      <c r="U62" s="962">
        <f>U60*$C$62</f>
        <v>764812.44074549479</v>
      </c>
      <c r="W62" s="962">
        <f>W60*$C$62</f>
        <v>826311.50918999128</v>
      </c>
      <c r="Y62" s="962">
        <f>+C60-SUM(E62:W62)</f>
        <v>826939.62122739386</v>
      </c>
    </row>
    <row r="63" spans="1:34" s="962" customFormat="1">
      <c r="A63" s="2691" t="s">
        <v>1185</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+Y60-Y62</f>
        <v>62034.349003111478</v>
      </c>
      <c r="AA66" s="960">
        <f>+AA60</f>
        <v>952815.81573790964</v>
      </c>
      <c r="AC66" s="960">
        <f>+AC60</f>
        <v>1017852.9791268064</v>
      </c>
      <c r="AE66" s="960">
        <f>+AE60</f>
        <v>1084101.3178552669</v>
      </c>
      <c r="AG66" s="960">
        <f>+AG60</f>
        <v>1151576.5949256988</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62034.349003111478</v>
      </c>
      <c r="AA70" s="960">
        <f>SUM(AA66:AA69)</f>
        <v>952815.81573790964</v>
      </c>
      <c r="AC70" s="960">
        <f>SUM(AC66:AC69)</f>
        <v>1017852.9791268064</v>
      </c>
      <c r="AE70" s="960">
        <f>SUM(AE66:AE69)</f>
        <v>1084101.3178552669</v>
      </c>
      <c r="AG70" s="960">
        <f>SUM(AG66:AG69)</f>
        <v>1151576.5949256988</v>
      </c>
    </row>
    <row r="71" spans="1:34" s="960" customFormat="1">
      <c r="A71" s="962"/>
      <c r="C71" s="970"/>
    </row>
    <row r="72" spans="1:34" s="960" customFormat="1">
      <c r="A72" s="962" t="s">
        <v>1725</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1724</v>
      </c>
      <c r="C75" s="183"/>
    </row>
    <row r="76" spans="1:34" s="217" customFormat="1">
      <c r="C76" s="183"/>
    </row>
    <row r="77" spans="1:34" s="234" customFormat="1" ht="30" customHeight="1">
      <c r="A77" s="2689" t="s">
        <v>1723</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1300000</v>
      </c>
      <c r="C5" s="266">
        <f>'Sources and Uses Budget'!$C4</f>
        <v>1300000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1300000</v>
      </c>
      <c r="C9" s="270">
        <f>SUM(C5:C8)</f>
        <v>1300000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1300000</v>
      </c>
      <c r="C13" s="270">
        <f>SUM(C9+C12)</f>
        <v>1300000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1642</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36681120</v>
      </c>
      <c r="C31" s="266">
        <f>'Sources and Uses Budget'!$C30</f>
        <v>36681120</v>
      </c>
      <c r="D31" s="270">
        <f t="shared" si="0"/>
        <v>0</v>
      </c>
      <c r="E31" s="268"/>
      <c r="F31" s="267"/>
    </row>
    <row r="32" spans="1:6" s="352" customFormat="1">
      <c r="A32" s="145" t="s">
        <v>601</v>
      </c>
      <c r="B32" s="266">
        <f>'Sources and Uses Budget'!$C31</f>
        <v>2200867</v>
      </c>
      <c r="C32" s="266">
        <f>'Sources and Uses Budget'!$C31</f>
        <v>2200867</v>
      </c>
      <c r="D32" s="270">
        <f t="shared" si="0"/>
        <v>0</v>
      </c>
      <c r="E32" s="268"/>
      <c r="F32" s="267"/>
    </row>
    <row r="33" spans="1:6" s="352" customFormat="1">
      <c r="A33" s="145" t="s">
        <v>137</v>
      </c>
      <c r="B33" s="266">
        <f>'Sources and Uses Budget'!$C32</f>
        <v>777640</v>
      </c>
      <c r="C33" s="266">
        <f>'Sources and Uses Budget'!$C32</f>
        <v>777640</v>
      </c>
      <c r="D33" s="270">
        <f t="shared" si="0"/>
        <v>0</v>
      </c>
      <c r="E33" s="268"/>
      <c r="F33" s="267"/>
    </row>
    <row r="34" spans="1:6" s="352" customFormat="1">
      <c r="A34" s="145" t="s">
        <v>138</v>
      </c>
      <c r="B34" s="266">
        <f>'Sources and Uses Budget'!$C33</f>
        <v>2332919</v>
      </c>
      <c r="C34" s="266">
        <f>'Sources and Uses Budget'!$C33</f>
        <v>2332919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1259776</v>
      </c>
      <c r="C36" s="266">
        <f>'Sources and Uses Budget'!$C35</f>
        <v>1259776</v>
      </c>
      <c r="D36" s="270">
        <f t="shared" si="0"/>
        <v>0</v>
      </c>
      <c r="E36" s="268"/>
      <c r="F36" s="267"/>
    </row>
    <row r="37" spans="1:6" s="352" customFormat="1">
      <c r="A37" s="283" t="s">
        <v>1642</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43252322</v>
      </c>
      <c r="C39" s="270">
        <f>SUM(C30:C38)</f>
        <v>43252322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750000</v>
      </c>
      <c r="C41" s="266">
        <f>'Sources and Uses Budget'!$C40</f>
        <v>750000</v>
      </c>
      <c r="D41" s="270">
        <f t="shared" si="0"/>
        <v>0</v>
      </c>
      <c r="E41" s="268"/>
      <c r="F41" s="267"/>
    </row>
    <row r="42" spans="1:6" s="352" customFormat="1">
      <c r="A42" s="269" t="s">
        <v>146</v>
      </c>
      <c r="B42" s="266">
        <f>'Sources and Uses Budget'!$C41</f>
        <v>200000</v>
      </c>
      <c r="C42" s="266">
        <f>'Sources and Uses Budget'!$C41</f>
        <v>200000</v>
      </c>
      <c r="D42" s="270">
        <f t="shared" si="0"/>
        <v>0</v>
      </c>
      <c r="E42" s="268"/>
      <c r="F42" s="267"/>
    </row>
    <row r="43" spans="1:6" s="352" customFormat="1">
      <c r="A43" s="271" t="s">
        <v>147</v>
      </c>
      <c r="B43" s="270">
        <f>SUM(B41:B42)</f>
        <v>950000</v>
      </c>
      <c r="C43" s="270">
        <f>SUM(C41:C42)</f>
        <v>950000</v>
      </c>
      <c r="D43" s="270">
        <f t="shared" si="0"/>
        <v>0</v>
      </c>
      <c r="E43" s="268"/>
      <c r="F43" s="267"/>
    </row>
    <row r="44" spans="1:6" s="352" customFormat="1">
      <c r="A44" s="271" t="s">
        <v>148</v>
      </c>
      <c r="B44" s="266">
        <f>'Sources and Uses Budget'!$C43</f>
        <v>350000</v>
      </c>
      <c r="C44" s="266">
        <f>'Sources and Uses Budget'!$C43</f>
        <v>350000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3938947</v>
      </c>
      <c r="C46" s="266">
        <f>'Sources and Uses Budget'!$C45</f>
        <v>3938947</v>
      </c>
      <c r="D46" s="270">
        <f t="shared" si="0"/>
        <v>0</v>
      </c>
      <c r="E46" s="268"/>
      <c r="F46" s="267"/>
    </row>
    <row r="47" spans="1:6" s="352" customFormat="1">
      <c r="A47" s="145" t="s">
        <v>151</v>
      </c>
      <c r="B47" s="266">
        <f>'Sources and Uses Budget'!$C46</f>
        <v>532096</v>
      </c>
      <c r="C47" s="266">
        <f>'Sources and Uses Budget'!$C46</f>
        <v>532096</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224333</v>
      </c>
      <c r="C50" s="266">
        <f>'Sources and Uses Budget'!$C49</f>
        <v>224333</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26000</v>
      </c>
      <c r="C52" s="266">
        <f>'Sources and Uses Budget'!$C51</f>
        <v>26000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4816376</v>
      </c>
      <c r="C55" s="273">
        <f>SUM(C46:C54)</f>
        <v>4816376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50683698</v>
      </c>
      <c r="C64" s="270">
        <f>SUM(C9+C12+C14+C15+C17+C26+C28+C39+C43+C44+C55+C63)</f>
        <v>50683698</v>
      </c>
      <c r="D64" s="270">
        <f t="shared" si="0"/>
        <v>0</v>
      </c>
      <c r="E64" s="268"/>
      <c r="F64" s="267"/>
    </row>
    <row r="65" spans="1:6" s="352" customFormat="1" ht="24">
      <c r="A65" s="141" t="s">
        <v>1646</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1643</v>
      </c>
      <c r="B67" s="266">
        <f>'Sources and Uses Budget'!$C66</f>
        <v>0</v>
      </c>
      <c r="C67" s="266">
        <f>'Sources and Uses Budget'!$C66</f>
        <v>0</v>
      </c>
      <c r="D67" s="270"/>
      <c r="E67" s="268"/>
      <c r="F67" s="267"/>
    </row>
    <row r="68" spans="1:6" s="352" customFormat="1" ht="24">
      <c r="A68" s="283" t="s">
        <v>1644</v>
      </c>
      <c r="B68" s="266">
        <f>'Sources and Uses Budget'!$C67</f>
        <v>0</v>
      </c>
      <c r="C68" s="266">
        <f>'Sources and Uses Budget'!$C67</f>
        <v>0</v>
      </c>
      <c r="D68" s="270"/>
      <c r="E68" s="268"/>
      <c r="F68" s="267"/>
    </row>
    <row r="69" spans="1:6" s="352" customFormat="1">
      <c r="A69" s="283" t="s">
        <v>1650</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1647</v>
      </c>
      <c r="B71" s="270">
        <f>SUM(B66:B70)</f>
        <v>115000</v>
      </c>
      <c r="C71" s="270">
        <f>SUM(C66:C70)</f>
        <v>115000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30000</v>
      </c>
      <c r="C73" s="266">
        <f>'Sources and Uses Budget'!$C72</f>
        <v>30000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733586</v>
      </c>
      <c r="C76" s="266">
        <f>'Sources and Uses Budget'!$C75</f>
        <v>733586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763586</v>
      </c>
      <c r="C78" s="270">
        <f>SUM(C73:C77)</f>
        <v>763586</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2162616</v>
      </c>
      <c r="C80" s="266">
        <f>'Sources and Uses Budget'!$C79</f>
        <v>2162616</v>
      </c>
      <c r="D80" s="270">
        <f t="shared" si="1"/>
        <v>0</v>
      </c>
      <c r="E80" s="268"/>
      <c r="F80" s="267"/>
    </row>
    <row r="81" spans="1:6" s="352" customFormat="1">
      <c r="A81" s="510" t="s">
        <v>58</v>
      </c>
      <c r="B81" s="266">
        <f>'Sources and Uses Budget'!$C80</f>
        <v>260126</v>
      </c>
      <c r="C81" s="266">
        <f>'Sources and Uses Budget'!$C80</f>
        <v>260126</v>
      </c>
      <c r="D81" s="270">
        <f>C81-B81</f>
        <v>0</v>
      </c>
      <c r="E81" s="268"/>
      <c r="F81" s="267"/>
    </row>
    <row r="82" spans="1:6" s="352" customFormat="1">
      <c r="A82" s="271" t="s">
        <v>1210</v>
      </c>
      <c r="B82" s="270">
        <f>SUM(B80:B81)</f>
        <v>2422742</v>
      </c>
      <c r="C82" s="270">
        <f>SUM(C80:C81)</f>
        <v>2422742</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177777</v>
      </c>
      <c r="C84" s="266">
        <f>'Sources and Uses Budget'!$C83</f>
        <v>177777</v>
      </c>
      <c r="D84" s="270">
        <f t="shared" si="1"/>
        <v>0</v>
      </c>
      <c r="E84" s="268"/>
      <c r="F84" s="267"/>
    </row>
    <row r="85" spans="1:6" s="352" customFormat="1">
      <c r="A85" s="269" t="s">
        <v>768</v>
      </c>
      <c r="B85" s="266">
        <f>'Sources and Uses Budget'!$C84</f>
        <v>7000</v>
      </c>
      <c r="C85" s="266">
        <f>'Sources and Uses Budget'!$C84</f>
        <v>7000</v>
      </c>
      <c r="D85" s="270">
        <f t="shared" si="1"/>
        <v>0</v>
      </c>
      <c r="E85" s="268"/>
      <c r="F85" s="267"/>
    </row>
    <row r="86" spans="1:6" s="352" customFormat="1">
      <c r="A86" s="269" t="s">
        <v>769</v>
      </c>
      <c r="B86" s="266">
        <f>'Sources and Uses Budget'!$C85</f>
        <v>1137163</v>
      </c>
      <c r="C86" s="266">
        <f>'Sources and Uses Budget'!$C85</f>
        <v>1137163</v>
      </c>
      <c r="D86" s="270">
        <f t="shared" si="1"/>
        <v>0</v>
      </c>
      <c r="E86" s="268"/>
      <c r="F86" s="267"/>
    </row>
    <row r="87" spans="1:6" s="352" customFormat="1">
      <c r="A87" s="269" t="s">
        <v>770</v>
      </c>
      <c r="B87" s="266">
        <f>'Sources and Uses Budget'!$C86</f>
        <v>1212837</v>
      </c>
      <c r="C87" s="266">
        <f>'Sources and Uses Budget'!$C86</f>
        <v>1212837</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102250</v>
      </c>
      <c r="C89" s="266">
        <f>'Sources and Uses Budget'!$C88</f>
        <v>102250</v>
      </c>
      <c r="D89" s="270">
        <f t="shared" si="1"/>
        <v>0</v>
      </c>
      <c r="E89" s="268"/>
      <c r="F89" s="267"/>
    </row>
    <row r="90" spans="1:6" s="352" customFormat="1">
      <c r="A90" s="269" t="s">
        <v>773</v>
      </c>
      <c r="B90" s="266">
        <f>'Sources and Uses Budget'!$C89</f>
        <v>40000</v>
      </c>
      <c r="C90" s="266">
        <f>'Sources and Uses Budget'!$C89</f>
        <v>40000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2739527</v>
      </c>
      <c r="C97" s="270">
        <f>SUM(C84:C96)</f>
        <v>2739527</v>
      </c>
      <c r="D97" s="270">
        <f t="shared" si="1"/>
        <v>0</v>
      </c>
      <c r="E97" s="268"/>
      <c r="F97" s="267"/>
    </row>
    <row r="98" spans="1:6" s="352" customFormat="1">
      <c r="A98" s="271" t="s">
        <v>776</v>
      </c>
      <c r="B98" s="270">
        <f>SUM(B64+B71+B78+B82+B97)</f>
        <v>56724553</v>
      </c>
      <c r="C98" s="270">
        <f>SUM(C64+C71+C78+C82+C97)</f>
        <v>56724553</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8083741</v>
      </c>
      <c r="C100" s="266">
        <f>'Sources and Uses Budget'!$C99</f>
        <v>8083741</v>
      </c>
      <c r="D100" s="270">
        <f t="shared" si="1"/>
        <v>0</v>
      </c>
      <c r="E100" s="268"/>
      <c r="F100" s="267"/>
    </row>
    <row r="101" spans="1:6" s="352" customFormat="1">
      <c r="A101" s="283" t="s">
        <v>1648</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1649</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8083741</v>
      </c>
      <c r="C105" s="270">
        <f>SUM(C100:C104)</f>
        <v>8083741</v>
      </c>
      <c r="D105" s="270">
        <f t="shared" si="1"/>
        <v>0</v>
      </c>
      <c r="E105" s="268"/>
      <c r="F105" s="267"/>
    </row>
    <row r="106" spans="1:6" s="352" customFormat="1">
      <c r="A106" s="271" t="s">
        <v>781</v>
      </c>
      <c r="B106" s="273">
        <f>SUM(B98+B105)</f>
        <v>64808294</v>
      </c>
      <c r="C106" s="273">
        <f>SUM(C98+C105)</f>
        <v>64808294</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1270</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7" t="s">
        <v>2046</v>
      </c>
      <c r="B72" s="1267"/>
      <c r="C72" s="1267"/>
      <c r="D72" s="1267"/>
      <c r="E72" s="1267"/>
    </row>
    <row r="73" spans="1:9" ht="12.75">
      <c r="A73" s="1267" t="s">
        <v>2047</v>
      </c>
      <c r="B73" s="1267"/>
      <c r="C73" s="1267"/>
      <c r="D73" s="1267"/>
      <c r="E73" s="1267"/>
    </row>
    <row r="74" spans="1:9" ht="12.75">
      <c r="A74" s="1267" t="s">
        <v>1872</v>
      </c>
      <c r="B74" s="1267"/>
      <c r="C74" s="1267"/>
      <c r="D74" s="1267"/>
      <c r="E74" s="1267"/>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281" t="s">
        <v>2459</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7"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25">
      <c r="A15" s="484"/>
      <c r="B15" s="485" t="s">
        <v>307</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25">
      <c r="A20" s="484"/>
      <c r="B20" s="485" t="s">
        <v>307</v>
      </c>
      <c r="D20" s="1283" t="s">
        <v>1924</v>
      </c>
      <c r="E20" s="1283"/>
      <c r="F20" s="1283"/>
      <c r="I20" s="490"/>
    </row>
    <row r="21" spans="1:9" ht="14.25">
      <c r="A21" s="484"/>
      <c r="D21" s="1283"/>
      <c r="E21" s="1283"/>
      <c r="F21" s="1283"/>
      <c r="I21" s="490"/>
    </row>
    <row r="22" spans="1:9" ht="14.25">
      <c r="A22" s="484"/>
      <c r="D22" s="392"/>
      <c r="E22" s="96" t="s">
        <v>1920</v>
      </c>
      <c r="F22" s="392"/>
      <c r="I22" s="490"/>
    </row>
    <row r="23" spans="1:9" ht="14.25">
      <c r="A23" s="484"/>
      <c r="B23" s="484"/>
      <c r="D23" s="446"/>
      <c r="I23" s="490"/>
    </row>
    <row r="24" spans="1:9" ht="14.25">
      <c r="A24" s="484"/>
      <c r="B24" s="485" t="s">
        <v>307</v>
      </c>
      <c r="D24" s="1283" t="s">
        <v>1092</v>
      </c>
      <c r="E24" s="1283"/>
      <c r="F24" s="1283"/>
      <c r="I24" s="490"/>
    </row>
    <row r="25" spans="1:9" ht="14.25">
      <c r="A25" s="484"/>
      <c r="B25" s="484"/>
      <c r="D25" s="1283"/>
      <c r="E25" s="1283"/>
      <c r="F25" s="1283"/>
      <c r="I25" s="490"/>
    </row>
    <row r="26" spans="1:9">
      <c r="I26" s="490"/>
    </row>
    <row r="27" spans="1:9" ht="14.25">
      <c r="A27" s="484"/>
      <c r="B27" s="485" t="s">
        <v>307</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307</v>
      </c>
      <c r="D33" s="1283" t="s">
        <v>2050</v>
      </c>
      <c r="E33" s="1283"/>
      <c r="F33" s="1283"/>
      <c r="I33" s="490"/>
    </row>
    <row r="34" spans="1:9">
      <c r="D34" s="1283"/>
      <c r="E34" s="1283"/>
      <c r="F34" s="1283"/>
      <c r="I34" s="490"/>
    </row>
    <row r="35" spans="1:9" ht="14.25">
      <c r="A35" s="484"/>
      <c r="B35" s="484"/>
      <c r="D35" s="447"/>
      <c r="I35" s="490"/>
    </row>
    <row r="36" spans="1:9" ht="14.45" customHeight="1">
      <c r="A36" s="484"/>
      <c r="B36" s="485" t="s">
        <v>307</v>
      </c>
      <c r="D36" s="1283" t="s">
        <v>1215</v>
      </c>
      <c r="E36" s="1283"/>
      <c r="F36" s="1283"/>
      <c r="I36" s="490"/>
    </row>
    <row r="37" spans="1:9" ht="14.25">
      <c r="A37" s="484"/>
      <c r="B37" s="484"/>
      <c r="D37" s="1283"/>
      <c r="E37" s="1283"/>
      <c r="F37" s="1283"/>
      <c r="I37" s="490"/>
    </row>
    <row r="38" spans="1:9" ht="14.25">
      <c r="A38" s="484"/>
      <c r="B38" s="484"/>
      <c r="D38" s="1283"/>
      <c r="E38" s="1283"/>
      <c r="F38" s="1283"/>
      <c r="I38" s="490"/>
    </row>
    <row r="39" spans="1:9" ht="14.25">
      <c r="A39" s="484"/>
      <c r="B39" s="484"/>
      <c r="D39" s="1283"/>
      <c r="E39" s="1283"/>
      <c r="F39" s="1283"/>
      <c r="I39" s="490"/>
    </row>
    <row r="40" spans="1:9" ht="14.25">
      <c r="A40" s="484"/>
      <c r="B40" s="484"/>
      <c r="I40" s="490"/>
    </row>
    <row r="41" spans="1:9" ht="14.25">
      <c r="A41" s="484"/>
      <c r="B41" s="485" t="s">
        <v>307</v>
      </c>
      <c r="D41" s="1283" t="s">
        <v>1093</v>
      </c>
      <c r="E41" s="1283"/>
      <c r="F41" s="1283"/>
      <c r="I41" s="490"/>
    </row>
    <row r="42" spans="1:9" ht="14.25">
      <c r="A42" s="484"/>
      <c r="B42" s="484"/>
      <c r="D42" s="1283"/>
      <c r="E42" s="1283"/>
      <c r="F42" s="1283"/>
      <c r="I42" s="490"/>
    </row>
    <row r="43" spans="1:9" ht="14.25">
      <c r="A43" s="484"/>
      <c r="B43" s="484"/>
      <c r="D43" s="1283"/>
      <c r="E43" s="1283"/>
      <c r="F43" s="1283"/>
      <c r="I43" s="490"/>
    </row>
    <row r="44" spans="1:9" ht="14.25">
      <c r="A44" s="484"/>
      <c r="B44" s="484"/>
      <c r="D44" s="1283"/>
      <c r="E44" s="1283"/>
      <c r="F44" s="1283"/>
      <c r="I44" s="490"/>
    </row>
    <row r="45" spans="1:9" ht="14.25">
      <c r="A45" s="484"/>
      <c r="B45" s="484"/>
      <c r="D45" s="1283"/>
      <c r="E45" s="1283"/>
      <c r="F45" s="1283"/>
      <c r="I45" s="490"/>
    </row>
    <row r="46" spans="1:9" ht="14.25">
      <c r="A46" s="484"/>
      <c r="B46" s="484"/>
      <c r="D46" s="445"/>
      <c r="E46" s="445"/>
      <c r="F46" s="445"/>
      <c r="I46" s="490"/>
    </row>
    <row r="47" spans="1:9" ht="14.25">
      <c r="A47" s="484"/>
      <c r="B47" s="485" t="s">
        <v>307</v>
      </c>
      <c r="D47" s="1283" t="s">
        <v>1094</v>
      </c>
      <c r="E47" s="1283"/>
      <c r="F47" s="1283"/>
      <c r="I47" s="490"/>
    </row>
    <row r="48" spans="1:9" ht="14.25">
      <c r="A48" s="484"/>
      <c r="B48" s="484"/>
      <c r="D48" s="1283"/>
      <c r="E48" s="1283"/>
      <c r="F48" s="1283"/>
      <c r="I48" s="490"/>
    </row>
    <row r="49" spans="1:9" ht="14.25">
      <c r="A49" s="484"/>
      <c r="B49" s="484"/>
      <c r="D49" s="1283"/>
      <c r="E49" s="1283"/>
      <c r="F49" s="1283"/>
      <c r="I49" s="490"/>
    </row>
    <row r="50" spans="1:9" ht="23.25" customHeight="1">
      <c r="A50" s="484"/>
      <c r="B50" s="484"/>
      <c r="D50" s="1283"/>
      <c r="E50" s="1283"/>
      <c r="F50" s="1283"/>
      <c r="I50" s="490"/>
    </row>
    <row r="51" spans="1:9" ht="14.25">
      <c r="A51" s="484"/>
      <c r="B51" s="484"/>
      <c r="D51" s="446"/>
      <c r="I51" s="490"/>
    </row>
    <row r="52" spans="1:9" ht="14.45" customHeight="1">
      <c r="A52" s="484"/>
      <c r="B52" s="485" t="s">
        <v>307</v>
      </c>
      <c r="D52" s="1283" t="s">
        <v>1095</v>
      </c>
      <c r="E52" s="1283"/>
      <c r="F52" s="1283"/>
      <c r="I52" s="490"/>
    </row>
    <row r="53" spans="1:9" ht="14.25">
      <c r="A53" s="484"/>
      <c r="B53" s="484"/>
      <c r="D53" s="1283"/>
      <c r="E53" s="1283"/>
      <c r="F53" s="1283"/>
      <c r="I53" s="490"/>
    </row>
    <row r="54" spans="1:9" ht="14.25">
      <c r="A54" s="484"/>
      <c r="B54" s="484"/>
      <c r="D54" s="1283"/>
      <c r="E54" s="1283"/>
      <c r="F54" s="1283"/>
      <c r="I54" s="490"/>
    </row>
    <row r="55" spans="1:9" ht="14.25">
      <c r="A55" s="484"/>
      <c r="B55" s="484"/>
      <c r="I55" s="490"/>
    </row>
    <row r="56" spans="1:9" ht="14.25">
      <c r="A56" s="484"/>
      <c r="B56" s="485" t="s">
        <v>307</v>
      </c>
      <c r="D56" s="1307" t="s">
        <v>1096</v>
      </c>
      <c r="E56" s="1307"/>
      <c r="F56" s="1307"/>
      <c r="I56" s="490"/>
    </row>
    <row r="57" spans="1:9" ht="14.25">
      <c r="A57" s="484"/>
      <c r="B57" s="484"/>
      <c r="D57" s="1307"/>
      <c r="E57" s="1307"/>
      <c r="F57" s="1307"/>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307</v>
      </c>
      <c r="D61" s="1283" t="s">
        <v>1097</v>
      </c>
      <c r="E61" s="1283"/>
      <c r="F61" s="1283"/>
      <c r="I61" s="490"/>
    </row>
    <row r="62" spans="1:9">
      <c r="D62" s="1283"/>
      <c r="E62" s="1283"/>
      <c r="F62" s="1283"/>
      <c r="I62" s="490"/>
    </row>
    <row r="63" spans="1:9">
      <c r="D63" s="1283"/>
      <c r="E63" s="1283"/>
      <c r="F63" s="1283"/>
      <c r="I63" s="490"/>
    </row>
    <row r="64" spans="1:9">
      <c r="I64" s="490"/>
    </row>
    <row r="65" spans="1:9" ht="14.25">
      <c r="A65" s="484"/>
      <c r="B65" s="485" t="s">
        <v>307</v>
      </c>
      <c r="D65" s="1283" t="s">
        <v>1098</v>
      </c>
      <c r="E65" s="1283"/>
      <c r="F65" s="1283"/>
      <c r="I65" s="490"/>
    </row>
    <row r="66" spans="1:9">
      <c r="D66" s="1283"/>
      <c r="E66" s="1283"/>
      <c r="F66" s="1283"/>
      <c r="I66" s="490"/>
    </row>
    <row r="67" spans="1:9">
      <c r="I67" s="490"/>
    </row>
    <row r="68" spans="1:9" ht="14.25">
      <c r="A68" s="484"/>
      <c r="B68" s="485" t="s">
        <v>307</v>
      </c>
      <c r="D68" s="1283" t="s">
        <v>1099</v>
      </c>
      <c r="E68" s="1283"/>
      <c r="F68" s="1283"/>
      <c r="I68" s="490"/>
    </row>
    <row r="69" spans="1:9">
      <c r="D69" s="1283"/>
      <c r="E69" s="1283"/>
      <c r="F69" s="1283"/>
      <c r="I69" s="490"/>
    </row>
    <row r="70" spans="1:9">
      <c r="D70" s="1283"/>
      <c r="E70" s="1283"/>
      <c r="F70" s="1283"/>
      <c r="I70" s="490"/>
    </row>
    <row r="71" spans="1:9">
      <c r="I71" s="490"/>
    </row>
    <row r="72" spans="1:9" ht="14.25">
      <c r="A72" s="484"/>
      <c r="B72" s="485" t="s">
        <v>307</v>
      </c>
      <c r="D72" s="1283" t="s">
        <v>1100</v>
      </c>
      <c r="E72" s="1283"/>
      <c r="F72" s="1283"/>
      <c r="I72" s="490"/>
    </row>
    <row r="73" spans="1:9">
      <c r="D73" s="1283"/>
      <c r="E73" s="1283"/>
      <c r="F73" s="1283"/>
      <c r="I73" s="490"/>
    </row>
    <row r="74" spans="1:9" ht="14.25">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7" customHeight="1">
      <c r="A80" s="484"/>
      <c r="B80" s="485" t="s">
        <v>307</v>
      </c>
      <c r="D80" s="1283" t="s">
        <v>1247</v>
      </c>
      <c r="E80" s="1283"/>
      <c r="F80" s="1283"/>
      <c r="I80" s="490"/>
    </row>
    <row r="81" spans="1:9" ht="14.25">
      <c r="A81" s="484"/>
      <c r="B81" s="484"/>
      <c r="D81" s="1283"/>
      <c r="E81" s="1283"/>
      <c r="F81" s="1283"/>
      <c r="I81" s="490"/>
    </row>
    <row r="82" spans="1:9" ht="14.25">
      <c r="A82" s="484"/>
      <c r="B82" s="484"/>
      <c r="D82" s="1283"/>
      <c r="E82" s="1283"/>
      <c r="F82" s="1283"/>
      <c r="I82" s="490"/>
    </row>
    <row r="83" spans="1:9" ht="14.25">
      <c r="A83" s="484"/>
      <c r="B83" s="484"/>
      <c r="D83" s="1283"/>
      <c r="E83" s="1283"/>
      <c r="F83" s="1283"/>
      <c r="I83" s="490"/>
    </row>
    <row r="84" spans="1:9" ht="14.25">
      <c r="A84" s="484"/>
      <c r="B84" s="484"/>
      <c r="D84" s="1283"/>
      <c r="E84" s="1283"/>
      <c r="F84" s="1283"/>
      <c r="I84" s="490"/>
    </row>
    <row r="85" spans="1:9" ht="14.25">
      <c r="A85" s="484"/>
      <c r="B85" s="484"/>
      <c r="D85" s="1283"/>
      <c r="E85" s="1283"/>
      <c r="F85" s="1283"/>
      <c r="I85" s="490"/>
    </row>
    <row r="86" spans="1:9" ht="14.25">
      <c r="A86" s="484"/>
      <c r="B86" s="484"/>
      <c r="D86" s="1283"/>
      <c r="E86" s="1283"/>
      <c r="F86" s="1283"/>
      <c r="I86" s="490"/>
    </row>
    <row r="87" spans="1:9" ht="14.25">
      <c r="A87" s="484"/>
      <c r="B87" s="484"/>
      <c r="D87" s="1283"/>
      <c r="E87" s="1283"/>
      <c r="F87" s="1283"/>
      <c r="I87" s="490"/>
    </row>
    <row r="88" spans="1:9" ht="14.25">
      <c r="A88" s="484"/>
      <c r="B88" s="484"/>
      <c r="D88" s="385"/>
      <c r="E88" s="385"/>
      <c r="F88" s="385"/>
      <c r="I88" s="490"/>
    </row>
    <row r="89" spans="1:9" ht="15" customHeight="1">
      <c r="A89" s="484"/>
      <c r="B89" s="485" t="s">
        <v>307</v>
      </c>
      <c r="D89" s="1283" t="s">
        <v>1744</v>
      </c>
      <c r="E89" s="1283"/>
      <c r="F89" s="1283"/>
      <c r="I89" s="490"/>
    </row>
    <row r="90" spans="1:9" ht="14.25">
      <c r="A90" s="484"/>
      <c r="B90" s="484"/>
      <c r="D90" s="1283"/>
      <c r="E90" s="1283"/>
      <c r="F90" s="1283"/>
      <c r="I90" s="490"/>
    </row>
    <row r="91" spans="1:9" ht="14.25">
      <c r="A91" s="484"/>
      <c r="B91" s="484"/>
      <c r="D91" s="445"/>
      <c r="E91" s="445"/>
      <c r="F91" s="445"/>
      <c r="I91" s="490"/>
    </row>
    <row r="92" spans="1:9" ht="14.25">
      <c r="A92" s="484"/>
      <c r="B92" s="485" t="s">
        <v>307</v>
      </c>
      <c r="D92" s="1283" t="s">
        <v>1747</v>
      </c>
      <c r="E92" s="1283"/>
      <c r="F92" s="1283"/>
      <c r="I92" s="490"/>
    </row>
    <row r="93" spans="1:9" ht="14.25">
      <c r="A93" s="484"/>
      <c r="B93" s="484"/>
      <c r="D93" s="1283"/>
      <c r="E93" s="1283"/>
      <c r="F93" s="1283"/>
      <c r="I93" s="490"/>
    </row>
    <row r="94" spans="1:9" ht="14.25">
      <c r="A94" s="484"/>
      <c r="B94" s="484"/>
      <c r="D94" s="1283"/>
      <c r="E94" s="1283"/>
      <c r="F94" s="1283"/>
      <c r="I94" s="490"/>
    </row>
    <row r="95" spans="1:9" ht="14.25">
      <c r="A95" s="484"/>
      <c r="B95" s="484"/>
      <c r="D95" s="445"/>
      <c r="E95" s="445"/>
      <c r="F95" s="445"/>
      <c r="I95" s="490"/>
    </row>
    <row r="96" spans="1:9" ht="14.25">
      <c r="A96" s="484"/>
      <c r="B96" s="485" t="s">
        <v>307</v>
      </c>
      <c r="D96" s="1283" t="s">
        <v>1746</v>
      </c>
      <c r="E96" s="1283"/>
      <c r="F96" s="1283"/>
      <c r="I96" s="490"/>
    </row>
    <row r="97" spans="1:9" s="987" customFormat="1" ht="14.25">
      <c r="A97" s="985"/>
      <c r="B97" s="985"/>
      <c r="C97" s="986"/>
      <c r="D97" s="1283"/>
      <c r="E97" s="1283"/>
      <c r="F97" s="1283"/>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307</v>
      </c>
      <c r="D100" s="1283" t="s">
        <v>1745</v>
      </c>
      <c r="E100" s="1283"/>
      <c r="F100" s="1283"/>
      <c r="I100" s="490"/>
    </row>
    <row r="101" spans="1:9" ht="14.25">
      <c r="A101" s="484"/>
      <c r="B101" s="484"/>
      <c r="D101" s="1283"/>
      <c r="E101" s="1283"/>
      <c r="F101" s="1283"/>
      <c r="I101" s="490"/>
    </row>
    <row r="102" spans="1:9" ht="14.25">
      <c r="A102" s="484"/>
      <c r="B102" s="484"/>
      <c r="D102" s="445"/>
      <c r="E102" s="445"/>
      <c r="F102" s="445"/>
      <c r="I102" s="490"/>
    </row>
    <row r="103" spans="1:9" ht="14.45" customHeight="1">
      <c r="A103" s="484"/>
      <c r="B103" s="485" t="s">
        <v>307</v>
      </c>
      <c r="D103" s="1283" t="s">
        <v>1195</v>
      </c>
      <c r="E103" s="1283"/>
      <c r="F103" s="1283"/>
      <c r="I103" s="490"/>
    </row>
    <row r="104" spans="1:9" ht="14.25">
      <c r="A104" s="484"/>
      <c r="B104" s="484"/>
      <c r="D104" s="1283"/>
      <c r="E104" s="1283"/>
      <c r="F104" s="1283"/>
      <c r="I104" s="490"/>
    </row>
    <row r="105" spans="1:9" ht="14.25">
      <c r="A105" s="484"/>
      <c r="B105" s="484"/>
      <c r="D105" s="1283"/>
      <c r="E105" s="1283"/>
      <c r="F105" s="1283"/>
      <c r="I105" s="490"/>
    </row>
    <row r="106" spans="1:9" ht="14.25">
      <c r="A106" s="484"/>
      <c r="B106" s="484"/>
      <c r="D106" s="1283"/>
      <c r="E106" s="1283"/>
      <c r="F106" s="1283"/>
      <c r="I106" s="490"/>
    </row>
    <row r="107" spans="1:9" ht="14.25">
      <c r="A107" s="484"/>
      <c r="B107" s="484"/>
      <c r="D107" s="1283"/>
      <c r="E107" s="1283"/>
      <c r="F107" s="1283"/>
      <c r="I107" s="490"/>
    </row>
    <row r="108" spans="1:9" ht="14.25">
      <c r="A108" s="484"/>
      <c r="B108" s="484"/>
      <c r="D108" s="1283"/>
      <c r="E108" s="1283"/>
      <c r="F108" s="1283"/>
      <c r="I108" s="490"/>
    </row>
    <row r="109" spans="1:9" ht="14.25">
      <c r="A109" s="484"/>
      <c r="B109" s="484"/>
      <c r="D109" s="1283"/>
      <c r="E109" s="1283"/>
      <c r="F109" s="1283"/>
      <c r="I109" s="490"/>
    </row>
    <row r="110" spans="1:9" ht="14.25">
      <c r="A110" s="484"/>
      <c r="B110" s="484"/>
      <c r="D110" s="1283"/>
      <c r="E110" s="1283"/>
      <c r="F110" s="1283"/>
      <c r="I110" s="490"/>
    </row>
    <row r="111" spans="1:9" ht="14.25">
      <c r="A111" s="484"/>
      <c r="B111" s="484"/>
      <c r="D111" s="1283"/>
      <c r="E111" s="1283"/>
      <c r="F111" s="1283"/>
      <c r="I111" s="490"/>
    </row>
    <row r="112" spans="1:9" ht="14.25">
      <c r="A112" s="484"/>
      <c r="B112" s="484"/>
      <c r="D112" s="1283"/>
      <c r="E112" s="1283"/>
      <c r="F112" s="1283"/>
      <c r="I112" s="490"/>
    </row>
    <row r="113" spans="1:9" ht="14.25">
      <c r="A113" s="484"/>
      <c r="B113" s="484"/>
      <c r="D113" s="1283"/>
      <c r="E113" s="1283"/>
      <c r="F113" s="1283"/>
      <c r="I113" s="490"/>
    </row>
    <row r="114" spans="1:9" ht="14.25">
      <c r="A114" s="484"/>
      <c r="B114" s="484"/>
      <c r="D114" s="1283"/>
      <c r="E114" s="1283"/>
      <c r="F114" s="1283"/>
      <c r="I114" s="490"/>
    </row>
    <row r="115" spans="1:9" ht="14.25">
      <c r="A115" s="484"/>
      <c r="B115" s="484"/>
      <c r="D115" s="1283"/>
      <c r="E115" s="1283"/>
      <c r="F115" s="1283"/>
      <c r="I115" s="490"/>
    </row>
    <row r="116" spans="1:9" ht="14.25">
      <c r="A116" s="484"/>
      <c r="B116" s="484"/>
      <c r="D116" s="1283"/>
      <c r="E116" s="1283"/>
      <c r="F116" s="1283"/>
      <c r="I116" s="490"/>
    </row>
    <row r="117" spans="1:9" ht="14.25">
      <c r="A117" s="484"/>
      <c r="B117" s="484"/>
      <c r="D117" s="1283"/>
      <c r="E117" s="1283"/>
      <c r="F117" s="1283"/>
      <c r="I117" s="490"/>
    </row>
    <row r="118" spans="1:9" ht="14.25">
      <c r="A118" s="484"/>
      <c r="B118" s="484"/>
      <c r="D118" s="524"/>
      <c r="E118" s="524"/>
      <c r="F118" s="524"/>
      <c r="I118" s="490"/>
    </row>
    <row r="119" spans="1:9" ht="14.25" customHeight="1">
      <c r="A119" s="484"/>
      <c r="B119" s="485" t="s">
        <v>307</v>
      </c>
      <c r="D119" s="1303" t="s">
        <v>1104</v>
      </c>
      <c r="E119" s="1303"/>
      <c r="F119" s="1303"/>
      <c r="I119" s="490"/>
    </row>
    <row r="120" spans="1:9" ht="14.25">
      <c r="A120" s="484"/>
      <c r="B120" s="484"/>
      <c r="D120" s="1303"/>
      <c r="E120" s="1303"/>
      <c r="F120" s="1303"/>
      <c r="I120" s="490"/>
    </row>
    <row r="121" spans="1:9" ht="14.25">
      <c r="A121" s="484"/>
      <c r="B121" s="484"/>
      <c r="D121" s="1303"/>
      <c r="E121" s="1303"/>
      <c r="F121" s="1303"/>
      <c r="I121" s="490"/>
    </row>
    <row r="122" spans="1:9" ht="14.25">
      <c r="A122" s="484"/>
      <c r="B122" s="484"/>
      <c r="D122" s="1303"/>
      <c r="E122" s="1303"/>
      <c r="F122" s="1303"/>
      <c r="I122" s="490"/>
    </row>
    <row r="123" spans="1:9" ht="14.25">
      <c r="A123" s="484"/>
      <c r="B123" s="484"/>
      <c r="D123" s="1303"/>
      <c r="E123" s="1303"/>
      <c r="F123" s="1303"/>
      <c r="I123" s="490"/>
    </row>
    <row r="124" spans="1:9" ht="14.25">
      <c r="A124" s="484"/>
      <c r="B124" s="484"/>
      <c r="D124" s="1303"/>
      <c r="E124" s="1303"/>
      <c r="F124" s="1303"/>
      <c r="I124" s="490"/>
    </row>
    <row r="125" spans="1:9" ht="14.25">
      <c r="A125" s="484"/>
      <c r="B125" s="484"/>
      <c r="D125" s="1303"/>
      <c r="E125" s="1303"/>
      <c r="F125" s="1303"/>
      <c r="I125" s="490"/>
    </row>
    <row r="126" spans="1:9" ht="14.25">
      <c r="A126" s="484"/>
      <c r="B126" s="484"/>
      <c r="D126" s="1303"/>
      <c r="E126" s="1303"/>
      <c r="F126" s="1303"/>
      <c r="I126" s="490"/>
    </row>
    <row r="127" spans="1:9">
      <c r="C127" s="402"/>
      <c r="D127" s="525"/>
      <c r="E127" s="525"/>
      <c r="F127" s="525"/>
      <c r="I127" s="490"/>
    </row>
    <row r="128" spans="1:9" ht="14.25">
      <c r="A128" s="484"/>
      <c r="B128" s="485" t="s">
        <v>307</v>
      </c>
      <c r="C128" s="402"/>
      <c r="D128" s="1303" t="s">
        <v>2051</v>
      </c>
      <c r="E128" s="1303"/>
      <c r="F128" s="1303"/>
      <c r="I128" s="490"/>
    </row>
    <row r="129" spans="1:9" ht="14.25">
      <c r="A129" s="484"/>
      <c r="B129" s="484"/>
      <c r="C129" s="402"/>
      <c r="D129" s="1303"/>
      <c r="E129" s="1303"/>
      <c r="F129" s="1303"/>
      <c r="I129" s="490"/>
    </row>
    <row r="130" spans="1:9">
      <c r="I130" s="490"/>
    </row>
    <row r="131" spans="1:9" ht="14.25">
      <c r="A131" s="484"/>
      <c r="B131" s="485" t="s">
        <v>307</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25">
      <c r="A137" s="484"/>
      <c r="B137" s="485" t="s">
        <v>307</v>
      </c>
      <c r="D137" s="1283" t="s">
        <v>1106</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307</v>
      </c>
      <c r="D151" s="1283" t="s">
        <v>1178</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2074</v>
      </c>
      <c r="E169" s="1304"/>
      <c r="F169" s="1304"/>
      <c r="G169" s="507"/>
      <c r="I169" s="490"/>
    </row>
    <row r="170" spans="1:9" ht="13.7" customHeight="1">
      <c r="D170" s="1295"/>
      <c r="E170" s="1295"/>
      <c r="F170" s="1295"/>
      <c r="G170" s="1295"/>
      <c r="I170" s="490"/>
    </row>
    <row r="171" spans="1:9" ht="14.45" customHeight="1">
      <c r="A171" s="489"/>
      <c r="B171" s="485" t="s">
        <v>307</v>
      </c>
      <c r="C171" s="476"/>
      <c r="D171" s="1263" t="s">
        <v>2214</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307</v>
      </c>
      <c r="C177" s="476"/>
      <c r="D177" s="1263" t="s">
        <v>1107</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307</v>
      </c>
      <c r="D182" s="1287" t="s">
        <v>2052</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1748</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307</v>
      </c>
      <c r="D197" s="1300" t="s">
        <v>1749</v>
      </c>
      <c r="E197" s="1300"/>
      <c r="F197" s="1300"/>
      <c r="I197" s="490"/>
    </row>
    <row r="198" spans="1:9">
      <c r="A198" s="404"/>
      <c r="B198" s="404"/>
      <c r="D198" s="1301" t="s">
        <v>1903</v>
      </c>
      <c r="E198" s="1301"/>
      <c r="F198" s="1301"/>
      <c r="I198" s="490"/>
    </row>
    <row r="199" spans="1:9">
      <c r="A199" s="404"/>
      <c r="B199" s="404"/>
      <c r="D199" s="96" t="s">
        <v>1750</v>
      </c>
      <c r="E199" s="1302" t="s">
        <v>1926</v>
      </c>
      <c r="F199" s="1302"/>
      <c r="I199" s="490"/>
    </row>
    <row r="200" spans="1:9">
      <c r="A200" s="404"/>
      <c r="B200" s="404"/>
      <c r="D200" s="3"/>
      <c r="E200" s="3"/>
      <c r="F200" s="3"/>
      <c r="I200" s="490"/>
    </row>
    <row r="201" spans="1:9">
      <c r="A201" s="404"/>
      <c r="B201" s="485" t="s">
        <v>307</v>
      </c>
      <c r="D201" s="1301" t="s">
        <v>1751</v>
      </c>
      <c r="E201" s="1301"/>
      <c r="F201" s="1301"/>
      <c r="I201" s="490"/>
    </row>
    <row r="202" spans="1:9">
      <c r="A202" s="404"/>
      <c r="B202" s="404"/>
      <c r="D202" s="1300" t="s">
        <v>1903</v>
      </c>
      <c r="E202" s="1300"/>
      <c r="F202" s="1300"/>
      <c r="I202" s="490"/>
    </row>
    <row r="203" spans="1:9">
      <c r="A203" s="404"/>
      <c r="B203" s="404"/>
      <c r="D203" s="57" t="s">
        <v>1752</v>
      </c>
      <c r="E203" s="1302" t="s">
        <v>1927</v>
      </c>
      <c r="F203" s="1302"/>
      <c r="I203" s="490"/>
    </row>
    <row r="204" spans="1:9">
      <c r="A204" s="404"/>
      <c r="B204" s="404"/>
      <c r="D204" s="3"/>
      <c r="E204" s="3"/>
      <c r="F204" s="3"/>
      <c r="I204" s="490"/>
    </row>
    <row r="205" spans="1:9">
      <c r="A205" s="404"/>
      <c r="B205" s="485" t="s">
        <v>307</v>
      </c>
      <c r="D205" s="1301" t="s">
        <v>1753</v>
      </c>
      <c r="E205" s="1301"/>
      <c r="F205" s="1301"/>
      <c r="I205" s="490"/>
    </row>
    <row r="206" spans="1:9">
      <c r="A206" s="404"/>
      <c r="B206" s="404"/>
      <c r="D206" s="1300" t="s">
        <v>1903</v>
      </c>
      <c r="E206" s="1300"/>
      <c r="F206" s="1300"/>
      <c r="I206" s="490"/>
    </row>
    <row r="207" spans="1:9">
      <c r="A207" s="404"/>
      <c r="B207" s="404"/>
      <c r="D207" s="57" t="s">
        <v>1750</v>
      </c>
      <c r="E207" s="1302" t="s">
        <v>1928</v>
      </c>
      <c r="F207" s="1302"/>
      <c r="I207" s="490"/>
    </row>
    <row r="208" spans="1:9">
      <c r="A208" s="404"/>
      <c r="B208" s="404"/>
      <c r="D208" s="392"/>
      <c r="E208" s="392"/>
      <c r="F208" s="392"/>
      <c r="I208" s="490"/>
    </row>
    <row r="209" spans="1:9" ht="14.25" customHeight="1">
      <c r="A209" s="484"/>
      <c r="B209" s="485" t="s">
        <v>307</v>
      </c>
      <c r="D209" s="386" t="s">
        <v>1896</v>
      </c>
      <c r="E209" s="385"/>
      <c r="F209" s="385"/>
      <c r="I209" s="490"/>
    </row>
    <row r="210" spans="1:9" ht="14.25">
      <c r="A210" s="484"/>
      <c r="B210" s="484"/>
      <c r="D210" s="1300" t="s">
        <v>1903</v>
      </c>
      <c r="E210" s="1300"/>
      <c r="F210" s="1300"/>
      <c r="I210" s="490"/>
    </row>
    <row r="211" spans="1:9">
      <c r="D211" s="385"/>
      <c r="E211" s="1302" t="s">
        <v>1929</v>
      </c>
      <c r="F211" s="1302"/>
      <c r="I211" s="490"/>
    </row>
    <row r="212" spans="1:9">
      <c r="D212" s="447"/>
      <c r="I212" s="490"/>
    </row>
    <row r="213" spans="1:9">
      <c r="B213" s="485" t="s">
        <v>307</v>
      </c>
      <c r="D213" s="1301" t="s">
        <v>1754</v>
      </c>
      <c r="E213" s="1301"/>
      <c r="F213" s="1301"/>
      <c r="I213" s="490"/>
    </row>
    <row r="214" spans="1:9">
      <c r="D214" s="1300" t="s">
        <v>1903</v>
      </c>
      <c r="E214" s="1300"/>
      <c r="F214" s="1300"/>
      <c r="I214" s="490"/>
    </row>
    <row r="215" spans="1:9">
      <c r="D215" s="57" t="s">
        <v>1750</v>
      </c>
      <c r="E215" s="1302" t="s">
        <v>1930</v>
      </c>
      <c r="F215" s="1302"/>
      <c r="I215" s="490"/>
    </row>
    <row r="216" spans="1:9">
      <c r="D216" s="451"/>
      <c r="E216" s="451"/>
      <c r="F216" s="451"/>
      <c r="I216" s="490"/>
    </row>
    <row r="217" spans="1:9" ht="14.25">
      <c r="A217" s="484"/>
      <c r="B217" s="485" t="s">
        <v>307</v>
      </c>
      <c r="D217" s="1283" t="s">
        <v>1217</v>
      </c>
      <c r="E217" s="1283"/>
      <c r="F217" s="1283"/>
      <c r="I217" s="490"/>
    </row>
    <row r="218" spans="1:9" ht="14.45" customHeight="1">
      <c r="A218" s="484"/>
      <c r="B218" s="402"/>
      <c r="D218" s="1283"/>
      <c r="E218" s="1283"/>
      <c r="F218" s="1283"/>
      <c r="I218" s="490"/>
    </row>
    <row r="219" spans="1:9" ht="14.25">
      <c r="A219" s="484"/>
      <c r="D219" s="1283"/>
      <c r="E219" s="1283"/>
      <c r="F219" s="1283"/>
      <c r="I219" s="490"/>
    </row>
    <row r="220" spans="1:9" ht="14.25">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7" customHeight="1">
      <c r="A227" s="490"/>
      <c r="C227" s="490"/>
      <c r="D227" s="1291" t="s">
        <v>547</v>
      </c>
      <c r="E227" s="1291"/>
      <c r="F227" s="1291"/>
      <c r="I227" s="490"/>
    </row>
    <row r="228" spans="1:9" ht="14.25">
      <c r="A228" s="484"/>
      <c r="B228" s="485" t="s">
        <v>307</v>
      </c>
      <c r="D228" s="1283" t="s">
        <v>1755</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25">
      <c r="A231" s="484"/>
      <c r="B231" s="484"/>
      <c r="D231" s="1283"/>
      <c r="E231" s="1283"/>
      <c r="F231" s="1283"/>
      <c r="I231" s="490"/>
    </row>
    <row r="232" spans="1:9" ht="14.25">
      <c r="A232" s="484"/>
      <c r="B232" s="484"/>
      <c r="D232" s="445"/>
      <c r="E232" s="445"/>
      <c r="F232" s="445"/>
      <c r="I232" s="490"/>
    </row>
    <row r="233" spans="1:9" ht="14.25">
      <c r="A233" s="484"/>
      <c r="B233" s="485" t="s">
        <v>307</v>
      </c>
      <c r="D233" s="1283" t="s">
        <v>1756</v>
      </c>
      <c r="E233" s="1283"/>
      <c r="F233" s="1283"/>
      <c r="I233" s="490"/>
    </row>
    <row r="234" spans="1:9" ht="14.25">
      <c r="A234" s="484"/>
      <c r="B234" s="484"/>
      <c r="D234" s="1283"/>
      <c r="E234" s="1283"/>
      <c r="F234" s="1283"/>
      <c r="I234" s="490"/>
    </row>
    <row r="235" spans="1:9" ht="14.25">
      <c r="A235" s="484"/>
      <c r="B235" s="484"/>
      <c r="D235" s="1283"/>
      <c r="E235" s="1283"/>
      <c r="F235" s="1283"/>
      <c r="I235" s="490"/>
    </row>
    <row r="236" spans="1:9" ht="14.25">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25">
      <c r="A239" s="484"/>
      <c r="B239" s="484"/>
      <c r="D239" s="1283" t="s">
        <v>1119</v>
      </c>
      <c r="E239" s="1283"/>
      <c r="F239" s="1283"/>
      <c r="I239" s="490"/>
    </row>
    <row r="240" spans="1:9" ht="14.25">
      <c r="A240" s="484"/>
      <c r="B240" s="484"/>
      <c r="D240" s="1283"/>
      <c r="E240" s="1283"/>
      <c r="F240" s="1283"/>
      <c r="I240" s="490"/>
    </row>
    <row r="241" spans="1:9" ht="14.25">
      <c r="A241" s="484"/>
      <c r="B241" s="484"/>
      <c r="D241" s="1283"/>
      <c r="E241" s="1283"/>
      <c r="F241" s="1283"/>
      <c r="I241" s="490"/>
    </row>
    <row r="242" spans="1:9" ht="14.25">
      <c r="A242" s="484"/>
      <c r="B242" s="484"/>
      <c r="D242" s="1283"/>
      <c r="E242" s="1283"/>
      <c r="F242" s="1283"/>
      <c r="I242" s="490"/>
    </row>
    <row r="243" spans="1:9" ht="14.25">
      <c r="A243" s="484"/>
      <c r="B243" s="484"/>
      <c r="D243" s="1283"/>
      <c r="E243" s="1283"/>
      <c r="F243" s="1283"/>
      <c r="I243" s="490"/>
    </row>
    <row r="244" spans="1:9" ht="14.25">
      <c r="A244" s="484"/>
      <c r="B244" s="484"/>
      <c r="D244" s="446"/>
      <c r="E244" s="446"/>
      <c r="F244" s="446"/>
      <c r="I244" s="490"/>
    </row>
    <row r="245" spans="1:9" ht="14.25">
      <c r="A245" s="484"/>
      <c r="B245" s="485" t="s">
        <v>307</v>
      </c>
      <c r="D245" s="1283" t="s">
        <v>2054</v>
      </c>
      <c r="E245" s="1283"/>
      <c r="F245" s="1283"/>
      <c r="I245" s="490"/>
    </row>
    <row r="246" spans="1:9" ht="14.25">
      <c r="A246" s="484"/>
      <c r="B246" s="484"/>
      <c r="D246" s="1283"/>
      <c r="E246" s="1283"/>
      <c r="F246" s="1283"/>
      <c r="I246" s="490"/>
    </row>
    <row r="247" spans="1:9" ht="14.25">
      <c r="A247" s="484"/>
      <c r="B247" s="484"/>
      <c r="D247" s="1283"/>
      <c r="E247" s="1283"/>
      <c r="F247" s="1283"/>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307</v>
      </c>
      <c r="D250" s="1283" t="s">
        <v>2055</v>
      </c>
      <c r="E250" s="1283"/>
      <c r="F250" s="1283"/>
      <c r="I250" s="490"/>
    </row>
    <row r="251" spans="1:9" ht="14.25">
      <c r="A251" s="484"/>
      <c r="B251" s="484"/>
      <c r="D251" s="1283"/>
      <c r="E251" s="1283"/>
      <c r="F251" s="1283"/>
      <c r="I251" s="490"/>
    </row>
    <row r="252" spans="1:9" ht="14.25">
      <c r="A252" s="484"/>
      <c r="B252" s="484"/>
      <c r="D252" s="1283"/>
      <c r="E252" s="1283"/>
      <c r="F252" s="1283"/>
      <c r="I252" s="490"/>
    </row>
    <row r="253" spans="1:9" ht="14.25">
      <c r="A253" s="484"/>
      <c r="B253" s="484"/>
      <c r="D253" s="1283"/>
      <c r="E253" s="1283"/>
      <c r="F253" s="1283"/>
      <c r="I253" s="490"/>
    </row>
    <row r="254" spans="1:9" ht="14.25">
      <c r="A254" s="484"/>
      <c r="B254" s="484"/>
      <c r="D254" s="1283"/>
      <c r="E254" s="1283"/>
      <c r="F254" s="1283"/>
      <c r="I254" s="490"/>
    </row>
    <row r="255" spans="1:9" ht="14.25">
      <c r="A255" s="484"/>
      <c r="B255" s="484"/>
      <c r="D255" s="445"/>
      <c r="E255" s="445"/>
      <c r="F255" s="445"/>
      <c r="I255" s="490"/>
    </row>
    <row r="256" spans="1:9" ht="14.25">
      <c r="A256" s="484"/>
      <c r="B256" s="485" t="s">
        <v>307</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307</v>
      </c>
      <c r="D259" s="1283" t="s">
        <v>1120</v>
      </c>
      <c r="E259" s="1283"/>
      <c r="F259" s="1283"/>
      <c r="I259" s="490"/>
    </row>
    <row r="260" spans="1:9" ht="14.25">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5" customHeight="1">
      <c r="A267" s="484"/>
      <c r="B267" s="485" t="s">
        <v>307</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5" customHeight="1">
      <c r="A271" s="484"/>
      <c r="B271" s="485" t="s">
        <v>307</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25">
      <c r="A278" s="484"/>
      <c r="B278" s="485" t="s">
        <v>307</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25">
      <c r="A290" s="484"/>
      <c r="B290" s="485" t="s">
        <v>307</v>
      </c>
      <c r="D290" s="1283" t="s">
        <v>1126</v>
      </c>
      <c r="E290" s="1283"/>
      <c r="F290" s="1283"/>
      <c r="I290" s="490"/>
    </row>
    <row r="291" spans="1:9" ht="14.25">
      <c r="A291" s="484"/>
      <c r="B291" s="484"/>
      <c r="D291" s="1283"/>
      <c r="E291" s="1283"/>
      <c r="F291" s="1283"/>
      <c r="I291" s="490"/>
    </row>
    <row r="292" spans="1:9">
      <c r="D292" s="446"/>
      <c r="E292" s="446"/>
      <c r="F292" s="446"/>
      <c r="I292" s="490"/>
    </row>
    <row r="293" spans="1:9" ht="14.25">
      <c r="A293" s="484"/>
      <c r="B293" s="485" t="s">
        <v>307</v>
      </c>
      <c r="D293" s="1283" t="s">
        <v>1127</v>
      </c>
      <c r="E293" s="1283"/>
      <c r="F293" s="1283"/>
      <c r="I293" s="490"/>
    </row>
    <row r="294" spans="1:9" ht="14.25">
      <c r="A294" s="484"/>
      <c r="B294" s="484"/>
      <c r="D294" s="1283"/>
      <c r="E294" s="1283"/>
      <c r="F294" s="1283"/>
      <c r="I294" s="490"/>
    </row>
    <row r="295" spans="1:9" ht="14.25">
      <c r="A295" s="484"/>
      <c r="B295" s="484"/>
      <c r="D295" s="1283"/>
      <c r="E295" s="1283"/>
      <c r="F295" s="1283"/>
      <c r="I295" s="490"/>
    </row>
    <row r="296" spans="1:9">
      <c r="D296" s="446"/>
      <c r="E296" s="446"/>
      <c r="F296" s="446"/>
      <c r="I296" s="490"/>
    </row>
    <row r="297" spans="1:9" ht="14.25">
      <c r="A297" s="484"/>
      <c r="B297" s="485" t="s">
        <v>307</v>
      </c>
      <c r="D297" s="1283" t="s">
        <v>1128</v>
      </c>
      <c r="E297" s="1283"/>
      <c r="F297" s="1283"/>
      <c r="I297" s="490"/>
    </row>
    <row r="298" spans="1:9" ht="14.25">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307</v>
      </c>
      <c r="D305" s="1284" t="s">
        <v>1130</v>
      </c>
      <c r="E305" s="1284"/>
      <c r="F305" s="1284"/>
      <c r="I305" s="490"/>
    </row>
    <row r="306" spans="1:9" ht="14.25">
      <c r="A306" s="484"/>
      <c r="B306" s="484"/>
      <c r="D306" s="494"/>
      <c r="E306" s="495"/>
      <c r="F306" s="495"/>
      <c r="I306" s="490"/>
    </row>
    <row r="307" spans="1:9" ht="13.7" customHeight="1">
      <c r="B307" s="485" t="s">
        <v>307</v>
      </c>
      <c r="D307" s="1293" t="s">
        <v>1220</v>
      </c>
      <c r="E307" s="1293"/>
      <c r="F307" s="1293"/>
      <c r="I307" s="490"/>
    </row>
    <row r="308" spans="1:9" ht="14.25">
      <c r="A308" s="484"/>
      <c r="B308" s="484"/>
      <c r="D308" s="1293"/>
      <c r="E308" s="1293"/>
      <c r="F308" s="1293"/>
      <c r="I308" s="490"/>
    </row>
    <row r="309" spans="1:9" ht="14.25">
      <c r="A309" s="484"/>
      <c r="B309" s="484"/>
      <c r="D309" s="1293"/>
      <c r="E309" s="1293"/>
      <c r="F309" s="1293"/>
      <c r="I309" s="490"/>
    </row>
    <row r="310" spans="1:9" ht="14.25">
      <c r="A310" s="484"/>
      <c r="B310" s="484"/>
      <c r="D310" s="1293"/>
      <c r="E310" s="1293"/>
      <c r="F310" s="1293"/>
      <c r="I310" s="490"/>
    </row>
    <row r="311" spans="1:9" ht="14.25">
      <c r="A311" s="484"/>
      <c r="B311" s="484"/>
      <c r="D311" s="1293"/>
      <c r="E311" s="1293"/>
      <c r="F311" s="1293"/>
      <c r="I311" s="490"/>
    </row>
    <row r="312" spans="1:9" ht="14.25">
      <c r="A312" s="484"/>
      <c r="B312" s="484"/>
      <c r="D312" s="494"/>
      <c r="E312" s="495"/>
      <c r="F312" s="495"/>
      <c r="I312" s="490"/>
    </row>
    <row r="313" spans="1:9" ht="13.7" customHeight="1">
      <c r="B313" s="485" t="s">
        <v>307</v>
      </c>
      <c r="D313" s="1293" t="s">
        <v>1131</v>
      </c>
      <c r="E313" s="1293"/>
      <c r="F313" s="1293"/>
      <c r="I313" s="490"/>
    </row>
    <row r="314" spans="1:9">
      <c r="D314" s="1293"/>
      <c r="E314" s="1293"/>
      <c r="F314" s="1293"/>
      <c r="I314" s="490"/>
    </row>
    <row r="315" spans="1:9" ht="14.25">
      <c r="A315" s="484"/>
      <c r="B315" s="484"/>
      <c r="D315" s="494"/>
      <c r="E315" s="495"/>
      <c r="F315" s="495"/>
      <c r="I315" s="490"/>
    </row>
    <row r="316" spans="1:9">
      <c r="B316" s="485" t="s">
        <v>307</v>
      </c>
      <c r="D316" s="1284" t="s">
        <v>1132</v>
      </c>
      <c r="E316" s="1284"/>
      <c r="F316" s="1284"/>
      <c r="I316" s="490"/>
    </row>
    <row r="317" spans="1:9">
      <c r="E317" s="446"/>
      <c r="F317" s="446"/>
      <c r="I317" s="490"/>
    </row>
    <row r="318" spans="1:9" ht="14.25">
      <c r="A318" s="484"/>
      <c r="B318" s="485" t="s">
        <v>307</v>
      </c>
      <c r="D318" s="1283" t="s">
        <v>2246</v>
      </c>
      <c r="E318" s="1283"/>
      <c r="F318" s="1283"/>
      <c r="I318" s="490"/>
    </row>
    <row r="319" spans="1:9" ht="14.25">
      <c r="A319" s="484"/>
      <c r="B319" s="484"/>
      <c r="D319" s="1283"/>
      <c r="E319" s="1283"/>
      <c r="F319" s="1283"/>
      <c r="I319" s="490"/>
    </row>
    <row r="320" spans="1:9" ht="14.25">
      <c r="A320" s="484"/>
      <c r="B320" s="484"/>
      <c r="D320" s="1283"/>
      <c r="E320" s="1283"/>
      <c r="F320" s="1283"/>
      <c r="I320" s="490"/>
    </row>
    <row r="321" spans="1:9" ht="14.25">
      <c r="A321" s="484"/>
      <c r="B321" s="484"/>
      <c r="D321" s="1283"/>
      <c r="E321" s="1283"/>
      <c r="F321" s="1283"/>
      <c r="I321" s="490"/>
    </row>
    <row r="322" spans="1:9" ht="14.25">
      <c r="A322" s="484"/>
      <c r="B322" s="484"/>
      <c r="D322" s="1283"/>
      <c r="E322" s="1283"/>
      <c r="F322" s="1283"/>
      <c r="I322" s="490"/>
    </row>
    <row r="323" spans="1:9" ht="14.25">
      <c r="A323" s="484"/>
      <c r="B323" s="484"/>
      <c r="D323" s="1283"/>
      <c r="E323" s="1283"/>
      <c r="F323" s="1283"/>
      <c r="I323" s="490"/>
    </row>
    <row r="324" spans="1:9" ht="14.25">
      <c r="A324" s="484"/>
      <c r="B324" s="484"/>
      <c r="D324" s="1283"/>
      <c r="E324" s="1283"/>
      <c r="F324" s="1283"/>
      <c r="I324" s="490"/>
    </row>
    <row r="325" spans="1:9" ht="14.25">
      <c r="A325" s="484"/>
      <c r="B325" s="484"/>
      <c r="D325" s="1283"/>
      <c r="E325" s="1283"/>
      <c r="F325" s="1283"/>
      <c r="I325" s="490"/>
    </row>
    <row r="326" spans="1:9" ht="14.25">
      <c r="A326" s="484"/>
      <c r="B326" s="484"/>
      <c r="D326" s="1283"/>
      <c r="E326" s="1283"/>
      <c r="F326" s="1283"/>
      <c r="I326" s="490"/>
    </row>
    <row r="327" spans="1:9" ht="14.25">
      <c r="A327" s="484"/>
      <c r="B327" s="484"/>
      <c r="D327" s="1283"/>
      <c r="E327" s="1283"/>
      <c r="F327" s="1283"/>
      <c r="I327" s="490"/>
    </row>
    <row r="328" spans="1:9" ht="14.25">
      <c r="A328" s="484"/>
      <c r="B328" s="484"/>
      <c r="D328" s="1283"/>
      <c r="E328" s="1283"/>
      <c r="F328" s="1283"/>
      <c r="I328" s="490"/>
    </row>
    <row r="329" spans="1:9" ht="14.25">
      <c r="A329" s="484"/>
      <c r="B329" s="484"/>
      <c r="D329" s="1283"/>
      <c r="E329" s="1283"/>
      <c r="F329" s="1283"/>
      <c r="I329" s="490"/>
    </row>
    <row r="330" spans="1:9" ht="14.25">
      <c r="A330" s="484"/>
      <c r="B330" s="484"/>
      <c r="D330" s="1283"/>
      <c r="E330" s="1283"/>
      <c r="F330" s="1283"/>
      <c r="I330" s="490"/>
    </row>
    <row r="331" spans="1:9" ht="14.25">
      <c r="A331" s="484"/>
      <c r="B331" s="484"/>
      <c r="D331" s="1283"/>
      <c r="E331" s="1283"/>
      <c r="F331" s="1283"/>
      <c r="I331" s="490"/>
    </row>
    <row r="332" spans="1:9" ht="14.25">
      <c r="A332" s="484"/>
      <c r="B332" s="484"/>
      <c r="D332" s="1283"/>
      <c r="E332" s="1283"/>
      <c r="F332" s="1283"/>
      <c r="I332" s="490"/>
    </row>
    <row r="333" spans="1:9">
      <c r="D333" s="446"/>
      <c r="E333" s="446"/>
      <c r="F333" s="446"/>
      <c r="I333" s="490"/>
    </row>
    <row r="334" spans="1:9" ht="14.25">
      <c r="A334" s="484"/>
      <c r="B334" s="485" t="s">
        <v>307</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307</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296" t="s">
        <v>980</v>
      </c>
      <c r="E351" s="1296"/>
      <c r="F351" s="1296"/>
      <c r="G351" s="1027"/>
      <c r="H351" s="1027"/>
      <c r="I351" s="1156"/>
    </row>
    <row r="352" spans="1:9" ht="13.5"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4" t="s">
        <v>1902</v>
      </c>
      <c r="E355" s="1284"/>
      <c r="F355" s="1284"/>
      <c r="I355" s="490"/>
    </row>
    <row r="356" spans="1:9" ht="12.75" customHeight="1">
      <c r="D356" s="1037"/>
      <c r="E356" s="96" t="s">
        <v>1901</v>
      </c>
      <c r="F356" s="1037"/>
      <c r="I356" s="490"/>
    </row>
    <row r="357" spans="1:9">
      <c r="D357" s="1283" t="s">
        <v>1241</v>
      </c>
      <c r="E357" s="1283"/>
      <c r="F357" s="1283"/>
      <c r="I357" s="490"/>
    </row>
    <row r="358" spans="1:9">
      <c r="D358" s="1283"/>
      <c r="E358" s="1283"/>
      <c r="F358" s="1283"/>
      <c r="I358" s="490"/>
    </row>
    <row r="359" spans="1:9">
      <c r="D359" s="1283"/>
      <c r="E359" s="1283"/>
      <c r="F359" s="1283"/>
      <c r="I359" s="490"/>
    </row>
    <row r="360" spans="1:9" ht="14.25">
      <c r="A360" s="484"/>
      <c r="B360" s="485" t="s">
        <v>307</v>
      </c>
      <c r="C360" s="476"/>
      <c r="D360" s="1295" t="s">
        <v>2058</v>
      </c>
      <c r="E360" s="1295"/>
      <c r="F360" s="1295"/>
      <c r="I360" s="480"/>
    </row>
    <row r="361" spans="1:9">
      <c r="A361" s="476"/>
      <c r="B361" s="476"/>
      <c r="C361" s="476"/>
      <c r="D361" s="447"/>
      <c r="E361" s="447"/>
      <c r="F361" s="446"/>
      <c r="I361" s="490"/>
    </row>
    <row r="362" spans="1:9">
      <c r="A362" s="476"/>
      <c r="B362" s="485" t="s">
        <v>307</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1836</v>
      </c>
      <c r="E380" s="524"/>
      <c r="F380" s="524"/>
      <c r="I380" s="490"/>
    </row>
    <row r="381" spans="1:9">
      <c r="A381" s="476"/>
      <c r="B381" s="476"/>
      <c r="C381" s="476"/>
      <c r="D381" s="402" t="s">
        <v>1837</v>
      </c>
      <c r="E381" s="524"/>
      <c r="F381" s="524"/>
      <c r="I381" s="490"/>
    </row>
    <row r="382" spans="1:9">
      <c r="A382" s="476"/>
      <c r="B382" s="476"/>
      <c r="C382" s="476"/>
      <c r="D382" s="402" t="s">
        <v>1838</v>
      </c>
      <c r="E382" s="524"/>
      <c r="F382" s="524"/>
      <c r="I382" s="490"/>
    </row>
    <row r="383" spans="1:9">
      <c r="A383" s="476"/>
      <c r="B383" s="476"/>
      <c r="C383" s="476"/>
      <c r="D383" s="402" t="s">
        <v>1839</v>
      </c>
      <c r="E383" s="524"/>
      <c r="F383" s="524"/>
      <c r="I383" s="490"/>
    </row>
    <row r="384" spans="1:9">
      <c r="A384" s="476"/>
      <c r="B384" s="476"/>
      <c r="C384" s="476"/>
      <c r="D384" s="402" t="s">
        <v>1840</v>
      </c>
      <c r="E384" s="524"/>
      <c r="F384" s="524"/>
      <c r="I384" s="490"/>
    </row>
    <row r="385" spans="1:9">
      <c r="A385" s="476"/>
      <c r="B385" s="476"/>
      <c r="C385" s="476"/>
      <c r="D385" s="402" t="s">
        <v>1841</v>
      </c>
      <c r="E385" s="524"/>
      <c r="F385" s="524"/>
      <c r="I385" s="490"/>
    </row>
    <row r="386" spans="1:9">
      <c r="A386" s="476"/>
      <c r="B386" s="476"/>
      <c r="C386" s="476"/>
      <c r="E386" s="447"/>
      <c r="F386" s="446"/>
      <c r="I386" s="490"/>
    </row>
    <row r="387" spans="1:9" ht="14.25">
      <c r="A387" s="484"/>
      <c r="B387" s="485" t="s">
        <v>307</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307</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307</v>
      </c>
      <c r="D423" s="1263" t="s">
        <v>1883</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307</v>
      </c>
      <c r="C429" s="476"/>
      <c r="D429" s="1263" t="s">
        <v>1242</v>
      </c>
      <c r="E429" s="1263"/>
      <c r="F429" s="1263"/>
      <c r="I429" s="490"/>
    </row>
    <row r="430" spans="1:9" ht="14.25">
      <c r="A430" s="497"/>
      <c r="B430" s="497"/>
      <c r="C430" s="476"/>
      <c r="D430" s="1263"/>
      <c r="E430" s="1263"/>
      <c r="F430" s="1263"/>
      <c r="I430" s="490"/>
    </row>
    <row r="431" spans="1:9" ht="14.25">
      <c r="A431" s="497"/>
      <c r="B431" s="497"/>
      <c r="C431" s="476"/>
      <c r="D431" s="1263"/>
      <c r="E431" s="1263"/>
      <c r="F431" s="1263"/>
      <c r="I431" s="490"/>
    </row>
    <row r="432" spans="1:9" ht="14.25">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25">
      <c r="A435" s="484"/>
      <c r="B435" s="485" t="s">
        <v>307</v>
      </c>
      <c r="C435" s="487"/>
      <c r="D435" s="1283" t="s">
        <v>2060</v>
      </c>
      <c r="E435" s="1283"/>
      <c r="F435" s="1283"/>
      <c r="I435" s="490"/>
    </row>
    <row r="436" spans="1:9" ht="14.25">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ht="14.25">
      <c r="A467" s="484"/>
      <c r="B467" s="485" t="s">
        <v>307</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25">
      <c r="B471" s="485" t="s">
        <v>307</v>
      </c>
      <c r="C471" s="484"/>
      <c r="D471" s="1283" t="s">
        <v>1198</v>
      </c>
      <c r="E471" s="1283"/>
      <c r="F471" s="1283"/>
      <c r="I471" s="490"/>
    </row>
    <row r="472" spans="1:9">
      <c r="D472" s="1283"/>
      <c r="E472" s="1283"/>
      <c r="F472" s="1283"/>
      <c r="I472" s="490"/>
    </row>
    <row r="473" spans="1:9">
      <c r="D473" s="446"/>
      <c r="E473" s="446"/>
      <c r="F473" s="446"/>
      <c r="I473" s="490"/>
    </row>
    <row r="474" spans="1:9" ht="14.25">
      <c r="B474" s="485" t="s">
        <v>307</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307</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307</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307</v>
      </c>
      <c r="C486" s="402"/>
      <c r="D486" s="1283"/>
      <c r="E486" s="1283"/>
      <c r="F486" s="1283"/>
      <c r="I486" s="490"/>
    </row>
    <row r="487" spans="1:9">
      <c r="A487" s="402"/>
      <c r="C487" s="402"/>
      <c r="D487" s="1283"/>
      <c r="E487" s="1283"/>
      <c r="F487" s="1283"/>
      <c r="I487" s="490"/>
    </row>
    <row r="488" spans="1:9">
      <c r="A488" s="402"/>
      <c r="B488" s="485" t="s">
        <v>307</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307</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25">
      <c r="A499" s="484"/>
      <c r="B499" s="484"/>
      <c r="D499" s="1295" t="s">
        <v>1142</v>
      </c>
      <c r="E499" s="1295"/>
      <c r="F499" s="1295"/>
      <c r="I499" s="490"/>
    </row>
    <row r="500" spans="1:9" ht="14.25">
      <c r="A500" s="484"/>
      <c r="B500" s="484"/>
      <c r="D500" s="447"/>
      <c r="I500" s="490"/>
    </row>
    <row r="501" spans="1:9" ht="14.25">
      <c r="A501" s="484"/>
      <c r="B501" s="485" t="s">
        <v>307</v>
      </c>
      <c r="D501" s="1263" t="s">
        <v>1143</v>
      </c>
      <c r="E501" s="1263"/>
      <c r="F501" s="1263"/>
      <c r="I501" s="490"/>
    </row>
    <row r="502" spans="1:9" ht="14.25">
      <c r="A502" s="484"/>
      <c r="B502" s="484"/>
      <c r="D502" s="1263"/>
      <c r="E502" s="1263"/>
      <c r="F502" s="1263"/>
      <c r="I502" s="490"/>
    </row>
    <row r="503" spans="1:9" ht="14.25">
      <c r="A503" s="484"/>
      <c r="B503" s="484"/>
      <c r="D503" s="446"/>
      <c r="I503" s="490"/>
    </row>
    <row r="504" spans="1:9" ht="12.75" customHeight="1">
      <c r="B504" s="485" t="s">
        <v>307</v>
      </c>
      <c r="D504" s="1287" t="s">
        <v>1275</v>
      </c>
      <c r="E504" s="1287"/>
      <c r="F504" s="1287"/>
      <c r="I504" s="490"/>
    </row>
    <row r="505" spans="1:9" ht="14.25">
      <c r="A505" s="484"/>
      <c r="D505" s="1287"/>
      <c r="E505" s="1287"/>
      <c r="F505" s="1287"/>
      <c r="I505" s="490"/>
    </row>
    <row r="506" spans="1:9" ht="14.25">
      <c r="A506" s="484"/>
      <c r="B506" s="484"/>
      <c r="D506" s="1287"/>
      <c r="E506" s="1287"/>
      <c r="F506" s="1287"/>
      <c r="I506" s="490"/>
    </row>
    <row r="507" spans="1:9" ht="14.25">
      <c r="A507" s="484"/>
      <c r="B507" s="484"/>
      <c r="D507" s="1287"/>
      <c r="E507" s="1287"/>
      <c r="F507" s="1287"/>
      <c r="I507" s="490"/>
    </row>
    <row r="508" spans="1:9" ht="14.25">
      <c r="A508" s="484"/>
      <c r="D508" s="520"/>
      <c r="E508" s="520"/>
      <c r="F508" s="520"/>
      <c r="I508" s="490"/>
    </row>
    <row r="509" spans="1:9" ht="14.25">
      <c r="A509" s="484"/>
      <c r="B509" s="485" t="s">
        <v>307</v>
      </c>
      <c r="D509" s="1284" t="s">
        <v>1144</v>
      </c>
      <c r="E509" s="1284"/>
      <c r="F509" s="1284"/>
      <c r="I509" s="490"/>
    </row>
    <row r="510" spans="1:9" ht="14.25">
      <c r="A510" s="484"/>
      <c r="B510" s="484"/>
      <c r="D510" s="446"/>
      <c r="I510" s="490"/>
    </row>
    <row r="511" spans="1:9" ht="14.25">
      <c r="A511" s="484"/>
      <c r="B511" s="485" t="s">
        <v>307</v>
      </c>
      <c r="D511" s="1283" t="s">
        <v>1145</v>
      </c>
      <c r="E511" s="1283"/>
      <c r="F511" s="1283"/>
      <c r="I511" s="490"/>
    </row>
    <row r="512" spans="1:9" ht="14.25">
      <c r="A512" s="484"/>
      <c r="D512" s="1283"/>
      <c r="E512" s="1283"/>
      <c r="F512" s="1283"/>
      <c r="I512" s="490"/>
    </row>
    <row r="513" spans="1:9">
      <c r="A513" s="490"/>
      <c r="B513" s="490"/>
      <c r="D513" s="447"/>
      <c r="I513" s="490"/>
    </row>
    <row r="514" spans="1:9">
      <c r="A514" s="490"/>
      <c r="B514" s="485" t="s">
        <v>307</v>
      </c>
      <c r="D514" s="1284" t="s">
        <v>1146</v>
      </c>
      <c r="E514" s="1284"/>
      <c r="F514" s="1284"/>
      <c r="I514" s="490"/>
    </row>
    <row r="515" spans="1:9">
      <c r="D515" s="446"/>
      <c r="E515" s="446"/>
      <c r="F515" s="446"/>
      <c r="I515" s="490"/>
    </row>
    <row r="516" spans="1:9">
      <c r="B516" s="485" t="s">
        <v>307</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25">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307</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307</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7" customHeight="1">
      <c r="A548" s="484"/>
      <c r="B548" s="485" t="s">
        <v>307</v>
      </c>
      <c r="C548" s="487"/>
      <c r="D548" s="1284" t="s">
        <v>885</v>
      </c>
      <c r="E548" s="1284"/>
      <c r="F548" s="1284"/>
      <c r="I548" s="490"/>
    </row>
    <row r="549" spans="1:9" ht="13.7" customHeight="1">
      <c r="A549" s="487"/>
      <c r="B549" s="487"/>
      <c r="C549" s="487"/>
      <c r="D549" s="446"/>
      <c r="I549" s="490"/>
    </row>
    <row r="550" spans="1:9" ht="14.25">
      <c r="A550" s="484"/>
      <c r="B550" s="485" t="s">
        <v>307</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25">
      <c r="A553" s="484"/>
      <c r="B553" s="485" t="s">
        <v>307</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25">
      <c r="A556" s="484"/>
      <c r="B556" s="485" t="s">
        <v>307</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25">
      <c r="A559" s="484"/>
      <c r="B559" s="485" t="s">
        <v>307</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25">
      <c r="A563" s="484"/>
      <c r="B563" s="485" t="s">
        <v>307</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25">
      <c r="A566" s="484"/>
      <c r="B566" s="485" t="s">
        <v>307</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25">
      <c r="A569" s="484"/>
      <c r="B569" s="485" t="s">
        <v>307</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307</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25">
      <c r="A578" s="484"/>
      <c r="B578" s="485" t="s">
        <v>307</v>
      </c>
      <c r="C578" s="487"/>
      <c r="D578" s="1283" t="s">
        <v>2064</v>
      </c>
      <c r="E578" s="1283"/>
      <c r="F578" s="1283"/>
      <c r="I578" s="490"/>
    </row>
    <row r="579" spans="1:9" ht="14.25">
      <c r="A579" s="484"/>
      <c r="B579" s="484"/>
      <c r="C579" s="487"/>
      <c r="D579" s="1283"/>
      <c r="E579" s="1283"/>
      <c r="F579" s="1283"/>
      <c r="I579" s="490"/>
    </row>
    <row r="580" spans="1:9" ht="14.25">
      <c r="A580" s="484"/>
      <c r="B580" s="484"/>
      <c r="C580" s="487"/>
      <c r="D580" s="1283"/>
      <c r="E580" s="1283"/>
      <c r="F580" s="1283"/>
      <c r="I580" s="490"/>
    </row>
    <row r="581" spans="1:9" ht="14.25">
      <c r="A581" s="484"/>
      <c r="B581" s="484"/>
      <c r="C581" s="487"/>
      <c r="D581" s="1283"/>
      <c r="E581" s="1283"/>
      <c r="F581" s="1283"/>
      <c r="I581" s="490"/>
    </row>
    <row r="582" spans="1:9" ht="14.25">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307</v>
      </c>
      <c r="D588" s="1287" t="s">
        <v>889</v>
      </c>
      <c r="E588" s="1287"/>
      <c r="F588" s="1287"/>
      <c r="I588" s="490"/>
    </row>
    <row r="589" spans="1:9">
      <c r="A589" s="490"/>
      <c r="B589" s="490"/>
      <c r="D589" s="476"/>
      <c r="I589" s="490"/>
    </row>
    <row r="590" spans="1:9">
      <c r="A590" s="490"/>
      <c r="B590" s="485" t="s">
        <v>307</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307</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307</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307</v>
      </c>
      <c r="D602" s="1287" t="s">
        <v>1070</v>
      </c>
      <c r="E602" s="1287"/>
      <c r="F602" s="1287"/>
      <c r="I602" s="490"/>
    </row>
    <row r="603" spans="1:9">
      <c r="A603" s="490"/>
      <c r="B603" s="490"/>
      <c r="D603" s="1287"/>
      <c r="E603" s="1287"/>
      <c r="F603" s="1287"/>
      <c r="I603" s="490"/>
    </row>
    <row r="604" spans="1:9" ht="14.25">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307</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307</v>
      </c>
      <c r="D620" s="1308" t="s">
        <v>1112</v>
      </c>
      <c r="E620" s="1308"/>
      <c r="F620" s="1308"/>
      <c r="I620" s="490"/>
    </row>
    <row r="621" spans="1:9">
      <c r="D621" s="1308"/>
      <c r="E621" s="1308"/>
      <c r="F621" s="1308"/>
      <c r="I621" s="490"/>
    </row>
    <row r="622" spans="1:9">
      <c r="I622" s="490"/>
    </row>
    <row r="623" spans="1:9">
      <c r="B623" s="485" t="s">
        <v>307</v>
      </c>
      <c r="D623" s="1308" t="s">
        <v>1113</v>
      </c>
      <c r="E623" s="1308"/>
      <c r="F623" s="1308"/>
      <c r="I623" s="490"/>
    </row>
    <row r="624" spans="1:9">
      <c r="C624" s="500"/>
      <c r="D624" s="1308"/>
      <c r="E624" s="1308"/>
      <c r="F624" s="1308"/>
      <c r="I624" s="490"/>
    </row>
    <row r="625" spans="1:9">
      <c r="C625" s="500"/>
      <c r="I625" s="490"/>
    </row>
    <row r="626" spans="1:9">
      <c r="B626" s="485" t="s">
        <v>307</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307</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25">
      <c r="A640" s="484"/>
      <c r="B640" s="485" t="s">
        <v>307</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25">
      <c r="A643" s="484"/>
      <c r="B643" s="485" t="s">
        <v>307</v>
      </c>
      <c r="C643" s="487"/>
      <c r="D643" s="1283" t="s">
        <v>1227</v>
      </c>
      <c r="E643" s="1283"/>
      <c r="F643" s="1283"/>
      <c r="I643" s="490"/>
    </row>
    <row r="644" spans="1:9" ht="14.25">
      <c r="A644" s="484"/>
      <c r="B644" s="484"/>
      <c r="C644" s="487"/>
      <c r="D644" s="1283"/>
      <c r="E644" s="1283"/>
      <c r="F644" s="1283"/>
      <c r="I644" s="490"/>
    </row>
    <row r="645" spans="1:9" ht="14.25">
      <c r="A645" s="484"/>
      <c r="B645" s="484"/>
      <c r="C645" s="487"/>
      <c r="D645" s="1283"/>
      <c r="E645" s="1283"/>
      <c r="F645" s="1283"/>
      <c r="I645" s="490"/>
    </row>
    <row r="646" spans="1:9">
      <c r="A646" s="487"/>
      <c r="B646" s="485" t="s">
        <v>307</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307</v>
      </c>
      <c r="C653" s="487"/>
      <c r="D653" s="1283" t="s">
        <v>1283</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307</v>
      </c>
      <c r="C658" s="487"/>
      <c r="D658" s="1283" t="s">
        <v>1285</v>
      </c>
      <c r="E658" s="1283"/>
      <c r="F658" s="1283"/>
      <c r="I658" s="490"/>
    </row>
    <row r="659" spans="1:9" ht="14.25">
      <c r="A659" s="483"/>
      <c r="B659" s="484"/>
      <c r="C659" s="487"/>
      <c r="D659" s="1283"/>
      <c r="E659" s="1283"/>
      <c r="F659" s="1283"/>
      <c r="I659" s="490"/>
    </row>
    <row r="660" spans="1:9" ht="14.25">
      <c r="A660" s="483"/>
      <c r="B660" s="484"/>
      <c r="C660" s="487"/>
      <c r="D660" s="1283"/>
      <c r="E660" s="1283"/>
      <c r="F660" s="1283"/>
      <c r="I660" s="490"/>
    </row>
    <row r="661" spans="1:9" ht="14.25">
      <c r="A661" s="483"/>
      <c r="B661" s="484"/>
      <c r="C661" s="487"/>
      <c r="D661" s="1283"/>
      <c r="E661" s="1283"/>
      <c r="F661" s="1283"/>
      <c r="I661" s="490"/>
    </row>
    <row r="662" spans="1:9" ht="14.25">
      <c r="A662" s="483"/>
      <c r="B662" s="484"/>
      <c r="C662" s="487"/>
      <c r="D662" s="1283"/>
      <c r="E662" s="1283"/>
      <c r="F662" s="1283"/>
      <c r="I662" s="490"/>
    </row>
    <row r="663" spans="1:9" ht="14.25" customHeight="1">
      <c r="A663" s="483"/>
      <c r="B663" s="484"/>
      <c r="C663" s="487"/>
      <c r="F663" s="386"/>
      <c r="I663" s="490"/>
    </row>
    <row r="664" spans="1:9" ht="12.75" customHeight="1">
      <c r="A664" s="483"/>
      <c r="B664" s="485" t="s">
        <v>307</v>
      </c>
      <c r="C664" s="487"/>
      <c r="D664" s="1283" t="s">
        <v>1284</v>
      </c>
      <c r="E664" s="1283"/>
      <c r="F664" s="1283"/>
      <c r="I664" s="490"/>
    </row>
    <row r="665" spans="1:9" ht="14.25">
      <c r="A665" s="483"/>
      <c r="B665" s="484"/>
      <c r="C665" s="487"/>
      <c r="D665" s="1283"/>
      <c r="E665" s="1283"/>
      <c r="F665" s="1283"/>
      <c r="I665" s="490"/>
    </row>
    <row r="666" spans="1:9" ht="14.25">
      <c r="A666" s="484"/>
      <c r="B666" s="484"/>
      <c r="C666" s="487"/>
      <c r="D666" s="1283"/>
      <c r="E666" s="1283"/>
      <c r="F666" s="1283"/>
      <c r="I666" s="490"/>
    </row>
    <row r="667" spans="1:9" ht="14.25">
      <c r="A667" s="484"/>
      <c r="B667" s="484"/>
      <c r="C667" s="487"/>
      <c r="D667" s="1283"/>
      <c r="E667" s="1283"/>
      <c r="F667" s="1283"/>
      <c r="I667" s="490"/>
    </row>
    <row r="668" spans="1:9" ht="14.25">
      <c r="A668" s="484"/>
      <c r="B668" s="484"/>
      <c r="C668" s="487"/>
      <c r="D668" s="445"/>
      <c r="E668" s="445"/>
      <c r="F668" s="445"/>
      <c r="I668" s="490"/>
    </row>
    <row r="669" spans="1:9" ht="12.75" customHeight="1">
      <c r="A669" s="483"/>
      <c r="B669" s="485" t="s">
        <v>307</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25">
      <c r="A685" s="484"/>
      <c r="B685" s="485" t="s">
        <v>307</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25">
      <c r="A694" s="484"/>
      <c r="B694" s="485" t="s">
        <v>307</v>
      </c>
      <c r="C694" s="483"/>
      <c r="D694" s="1284" t="s">
        <v>918</v>
      </c>
      <c r="E694" s="1284"/>
      <c r="F694" s="1284"/>
      <c r="H694" s="501"/>
      <c r="I694" s="483"/>
      <c r="J694" s="501"/>
      <c r="K694" s="501"/>
    </row>
    <row r="695" spans="1:11" ht="14.25">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4" t="s">
        <v>2470</v>
      </c>
      <c r="E698" s="1284"/>
      <c r="F698" s="1284"/>
      <c r="H698" s="501"/>
      <c r="I698" s="483"/>
      <c r="J698" s="501"/>
      <c r="K698" s="501"/>
    </row>
    <row r="699" spans="1:11" ht="14.25">
      <c r="A699" s="484"/>
      <c r="B699" s="484"/>
      <c r="C699" s="483"/>
      <c r="D699" s="1284" t="s">
        <v>895</v>
      </c>
      <c r="E699" s="1284"/>
      <c r="F699" s="1284"/>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307</v>
      </c>
      <c r="C725" s="483"/>
      <c r="D725" s="1283" t="s">
        <v>2463</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3" t="s">
        <v>2462</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307</v>
      </c>
      <c r="C733" s="483"/>
      <c r="D733" s="1283" t="s">
        <v>2461</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25">
      <c r="A738" s="484"/>
      <c r="B738" s="485" t="s">
        <v>307</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25">
      <c r="A744" s="484"/>
      <c r="B744" s="485" t="s">
        <v>307</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25">
      <c r="A758" s="484"/>
      <c r="B758" s="485" t="s">
        <v>307</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3" t="s">
        <v>1243</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25">
      <c r="A770" s="484"/>
      <c r="B770" s="485" t="s">
        <v>307</v>
      </c>
      <c r="C770" s="504"/>
      <c r="D770" s="1308" t="s">
        <v>1244</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307</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307</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1803</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1757</v>
      </c>
      <c r="E784" s="1295"/>
      <c r="F784" s="1295"/>
      <c r="G784" s="3"/>
      <c r="I784" s="490"/>
    </row>
    <row r="785" spans="1:9">
      <c r="A785" s="57"/>
      <c r="B785" s="57"/>
      <c r="C785" s="354"/>
      <c r="D785" s="447"/>
      <c r="E785" s="447"/>
      <c r="F785" s="447"/>
      <c r="G785" s="3"/>
      <c r="I785" s="490"/>
    </row>
    <row r="786" spans="1:9">
      <c r="A786" s="57"/>
      <c r="B786" s="485" t="s">
        <v>307</v>
      </c>
      <c r="C786" s="354"/>
      <c r="D786" s="1316" t="s">
        <v>1758</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307</v>
      </c>
      <c r="C790" s="172"/>
      <c r="D790" s="1316" t="s">
        <v>1759</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25">
      <c r="A794" s="175"/>
      <c r="B794" s="485" t="s">
        <v>307</v>
      </c>
      <c r="C794" s="989"/>
      <c r="D794" s="1316" t="s">
        <v>1760</v>
      </c>
      <c r="E794" s="1316"/>
      <c r="F794" s="1316"/>
      <c r="G794" s="988"/>
      <c r="I794" s="483"/>
    </row>
    <row r="795" spans="1:9" ht="14.25">
      <c r="A795" s="175"/>
      <c r="B795" s="175"/>
      <c r="C795" s="989"/>
      <c r="D795" s="1316"/>
      <c r="E795" s="1316"/>
      <c r="F795" s="1316"/>
      <c r="G795" s="988"/>
      <c r="I795" s="490"/>
    </row>
    <row r="796" spans="1:9" ht="14.25">
      <c r="A796" s="175"/>
      <c r="B796" s="175"/>
      <c r="C796" s="989"/>
      <c r="D796" s="1316"/>
      <c r="E796" s="1316"/>
      <c r="F796" s="1316"/>
      <c r="G796" s="988"/>
      <c r="I796" s="490"/>
    </row>
    <row r="797" spans="1:9" ht="14.25">
      <c r="A797" s="175"/>
      <c r="B797" s="175"/>
      <c r="C797" s="989"/>
      <c r="D797" s="118"/>
      <c r="E797" s="3"/>
      <c r="F797" s="3"/>
      <c r="G797" s="988"/>
      <c r="I797" s="490"/>
    </row>
    <row r="798" spans="1:9" ht="14.25">
      <c r="A798" s="175"/>
      <c r="B798" s="485" t="s">
        <v>307</v>
      </c>
      <c r="C798" s="989"/>
      <c r="D798" s="1316" t="s">
        <v>1761</v>
      </c>
      <c r="E798" s="1316"/>
      <c r="F798" s="1316"/>
      <c r="G798" s="988"/>
      <c r="I798" s="483"/>
    </row>
    <row r="799" spans="1:9" ht="14.25">
      <c r="A799" s="175"/>
      <c r="B799" s="175"/>
      <c r="C799" s="989"/>
      <c r="D799" s="1316"/>
      <c r="E799" s="1316"/>
      <c r="F799" s="1316"/>
      <c r="G799" s="988"/>
      <c r="I799" s="490"/>
    </row>
    <row r="800" spans="1:9" ht="14.25">
      <c r="A800" s="175"/>
      <c r="B800" s="175"/>
      <c r="C800" s="989"/>
      <c r="D800" s="1316"/>
      <c r="E800" s="1316"/>
      <c r="F800" s="1316"/>
      <c r="G800" s="988"/>
      <c r="I800" s="490"/>
    </row>
    <row r="801" spans="1:9" ht="14.25">
      <c r="A801" s="175"/>
      <c r="B801" s="175"/>
      <c r="C801" s="989"/>
      <c r="D801" s="1316"/>
      <c r="E801" s="1316"/>
      <c r="F801" s="1316"/>
      <c r="G801" s="988"/>
      <c r="I801" s="490"/>
    </row>
    <row r="802" spans="1:9" ht="14.25">
      <c r="A802" s="175"/>
      <c r="B802" s="175"/>
      <c r="C802" s="989"/>
      <c r="D802" s="1316"/>
      <c r="E802" s="1316"/>
      <c r="F802" s="1316"/>
      <c r="G802" s="988"/>
      <c r="I802" s="490"/>
    </row>
    <row r="803" spans="1:9" ht="14.25">
      <c r="A803" s="175"/>
      <c r="B803" s="175"/>
      <c r="C803" s="989"/>
      <c r="D803" s="1316"/>
      <c r="E803" s="1316"/>
      <c r="F803" s="1316"/>
      <c r="G803" s="988"/>
      <c r="I803" s="490"/>
    </row>
    <row r="804" spans="1:9" ht="14.25">
      <c r="A804" s="175"/>
      <c r="B804" s="175"/>
      <c r="C804" s="989"/>
      <c r="D804" s="1316" t="s">
        <v>1804</v>
      </c>
      <c r="E804" s="1316"/>
      <c r="F804" s="1316"/>
      <c r="G804" s="988"/>
      <c r="I804" s="490"/>
    </row>
    <row r="805" spans="1:9" ht="14.25">
      <c r="A805" s="175"/>
      <c r="B805" s="175"/>
      <c r="C805" s="989"/>
      <c r="D805" s="1316"/>
      <c r="E805" s="1316"/>
      <c r="F805" s="1316"/>
      <c r="G805" s="988"/>
      <c r="I805" s="490"/>
    </row>
    <row r="806" spans="1:9" ht="14.25">
      <c r="A806" s="175"/>
      <c r="B806" s="175"/>
      <c r="C806" s="989"/>
      <c r="D806" s="1316"/>
      <c r="E806" s="1316"/>
      <c r="F806" s="1316"/>
      <c r="G806" s="988"/>
      <c r="I806" s="490"/>
    </row>
    <row r="807" spans="1:9" ht="14.25">
      <c r="A807" s="175"/>
      <c r="B807" s="354"/>
      <c r="C807" s="989"/>
      <c r="D807" s="990"/>
      <c r="E807" s="990"/>
      <c r="F807" s="990"/>
      <c r="G807" s="988"/>
      <c r="I807" s="490"/>
    </row>
    <row r="808" spans="1:9" ht="14.25">
      <c r="A808" s="175"/>
      <c r="B808" s="485" t="s">
        <v>307</v>
      </c>
      <c r="C808" s="989"/>
      <c r="D808" s="1316" t="s">
        <v>1762</v>
      </c>
      <c r="E808" s="1316"/>
      <c r="F808" s="1316"/>
      <c r="G808" s="988"/>
      <c r="I808" s="483"/>
    </row>
    <row r="809" spans="1:9" ht="14.25">
      <c r="A809" s="175"/>
      <c r="B809" s="175"/>
      <c r="C809" s="989"/>
      <c r="D809" s="1316"/>
      <c r="E809" s="1316"/>
      <c r="F809" s="1316"/>
      <c r="G809" s="988"/>
      <c r="I809" s="490"/>
    </row>
    <row r="810" spans="1:9" ht="14.25">
      <c r="A810" s="175"/>
      <c r="B810" s="175"/>
      <c r="C810" s="989"/>
      <c r="D810" s="1316"/>
      <c r="E810" s="1316"/>
      <c r="F810" s="1316"/>
      <c r="G810" s="988"/>
      <c r="I810" s="490"/>
    </row>
    <row r="811" spans="1:9" ht="14.25">
      <c r="A811" s="175"/>
      <c r="B811" s="175"/>
      <c r="C811" s="989"/>
      <c r="D811" s="1316"/>
      <c r="E811" s="1316"/>
      <c r="F811" s="1316"/>
      <c r="G811" s="988"/>
      <c r="I811" s="490"/>
    </row>
    <row r="812" spans="1:9" ht="14.25">
      <c r="A812" s="175"/>
      <c r="B812" s="175"/>
      <c r="C812" s="989"/>
      <c r="D812" s="1316"/>
      <c r="E812" s="1316"/>
      <c r="F812" s="1316"/>
      <c r="G812" s="988"/>
      <c r="I812" s="490"/>
    </row>
    <row r="813" spans="1:9" ht="14.25">
      <c r="A813" s="175"/>
      <c r="B813" s="175"/>
      <c r="C813" s="989"/>
      <c r="D813" s="1316"/>
      <c r="E813" s="1316"/>
      <c r="F813" s="1316"/>
      <c r="G813" s="988"/>
      <c r="I813" s="490"/>
    </row>
    <row r="814" spans="1:9" ht="14.25">
      <c r="A814" s="175"/>
      <c r="B814" s="175"/>
      <c r="C814" s="989"/>
      <c r="D814" s="982"/>
      <c r="E814" s="982"/>
      <c r="F814" s="982"/>
      <c r="G814" s="988"/>
      <c r="I814" s="490"/>
    </row>
    <row r="815" spans="1:9" ht="14.25">
      <c r="A815" s="175"/>
      <c r="B815" s="485" t="s">
        <v>307</v>
      </c>
      <c r="C815" s="989"/>
      <c r="D815" s="1316" t="s">
        <v>1763</v>
      </c>
      <c r="E815" s="1316"/>
      <c r="F815" s="1316"/>
      <c r="G815" s="988"/>
      <c r="I815" s="483"/>
    </row>
    <row r="816" spans="1:9" ht="14.25">
      <c r="A816" s="175"/>
      <c r="B816" s="175"/>
      <c r="C816" s="989"/>
      <c r="D816" s="1316"/>
      <c r="E816" s="1316"/>
      <c r="F816" s="1316"/>
      <c r="G816" s="988"/>
      <c r="I816" s="490"/>
    </row>
    <row r="817" spans="1:9" ht="14.25">
      <c r="A817" s="175"/>
      <c r="B817" s="175"/>
      <c r="C817" s="989"/>
      <c r="D817" s="1316"/>
      <c r="E817" s="1316"/>
      <c r="F817" s="1316"/>
      <c r="G817" s="988"/>
      <c r="I817" s="490"/>
    </row>
    <row r="818" spans="1:9" ht="14.25">
      <c r="A818" s="175"/>
      <c r="B818" s="175"/>
      <c r="C818" s="989"/>
      <c r="D818" s="1316"/>
      <c r="E818" s="1316"/>
      <c r="F818" s="1316"/>
      <c r="G818" s="988"/>
      <c r="I818" s="490"/>
    </row>
    <row r="819" spans="1:9" ht="14.25">
      <c r="A819" s="175"/>
      <c r="B819" s="175"/>
      <c r="C819" s="989"/>
      <c r="D819" s="1316"/>
      <c r="E819" s="1316"/>
      <c r="F819" s="1316"/>
      <c r="G819" s="988"/>
      <c r="I819" s="490"/>
    </row>
    <row r="820" spans="1:9" ht="14.25">
      <c r="A820" s="175"/>
      <c r="B820" s="175"/>
      <c r="C820" s="989"/>
      <c r="D820" s="1316"/>
      <c r="E820" s="1316"/>
      <c r="F820" s="1316"/>
      <c r="G820" s="988"/>
      <c r="I820" s="490"/>
    </row>
    <row r="821" spans="1:9" ht="14.25">
      <c r="A821" s="175"/>
      <c r="B821" s="175"/>
      <c r="C821" s="989"/>
      <c r="D821" s="982"/>
      <c r="E821" s="982"/>
      <c r="F821" s="982"/>
      <c r="G821" s="988"/>
      <c r="I821" s="490"/>
    </row>
    <row r="822" spans="1:9" ht="14.25">
      <c r="A822" s="175"/>
      <c r="B822" s="485" t="s">
        <v>307</v>
      </c>
      <c r="C822" s="989"/>
      <c r="D822" s="1288" t="s">
        <v>1764</v>
      </c>
      <c r="E822" s="1288"/>
      <c r="F822" s="1288"/>
      <c r="G822" s="988"/>
      <c r="I822" s="483"/>
    </row>
    <row r="823" spans="1:9" ht="14.25">
      <c r="A823" s="175"/>
      <c r="B823" s="175"/>
      <c r="C823" s="989"/>
      <c r="D823" s="1288"/>
      <c r="E823" s="1288"/>
      <c r="F823" s="1288"/>
      <c r="G823" s="988"/>
      <c r="I823" s="490"/>
    </row>
    <row r="824" spans="1:9">
      <c r="A824" s="13"/>
      <c r="B824" s="13"/>
      <c r="C824" s="989"/>
      <c r="D824" s="1288"/>
      <c r="E824" s="1288"/>
      <c r="F824" s="1288"/>
      <c r="G824" s="988"/>
      <c r="I824" s="490"/>
    </row>
    <row r="825" spans="1:9" ht="14.25">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1765</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1805</v>
      </c>
      <c r="E831" s="1313"/>
      <c r="F831" s="1313"/>
      <c r="G831" s="3"/>
      <c r="I831" s="490"/>
    </row>
    <row r="832" spans="1:9" ht="14.25" customHeight="1">
      <c r="A832" s="175"/>
      <c r="B832" s="175"/>
      <c r="C832" s="354"/>
      <c r="D832" s="1260" t="s">
        <v>1766</v>
      </c>
      <c r="E832" s="1260"/>
      <c r="F832" s="1260"/>
      <c r="G832" s="3"/>
      <c r="I832" s="490"/>
    </row>
    <row r="833" spans="1:9" ht="12.75" customHeight="1">
      <c r="A833" s="175"/>
      <c r="B833" s="175"/>
      <c r="C833" s="354"/>
      <c r="D833" s="441"/>
      <c r="E833" s="441"/>
      <c r="F833" s="441"/>
      <c r="G833" s="3"/>
      <c r="I833" s="490"/>
    </row>
    <row r="834" spans="1:9" ht="12.75" customHeight="1">
      <c r="A834" s="354"/>
      <c r="B834" s="485" t="s">
        <v>307</v>
      </c>
      <c r="C834" s="989"/>
      <c r="D834" s="1260" t="s">
        <v>1767</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307</v>
      </c>
      <c r="C848" s="989"/>
      <c r="D848" s="1260" t="s">
        <v>1768</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307</v>
      </c>
      <c r="C852" s="989"/>
      <c r="D852" s="1313" t="s">
        <v>1769</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307</v>
      </c>
      <c r="C861" s="989"/>
      <c r="D861" s="1260" t="s">
        <v>1770</v>
      </c>
      <c r="E861" s="1260"/>
      <c r="F861" s="1260"/>
      <c r="G861" s="3"/>
      <c r="I861" s="490" t="s">
        <v>1882</v>
      </c>
    </row>
    <row r="862" spans="1:9" ht="12.75" customHeight="1">
      <c r="A862" s="175"/>
      <c r="B862" s="175"/>
      <c r="C862" s="989"/>
      <c r="D862" s="1260" t="s">
        <v>1771</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0" t="s">
        <v>1772</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1773</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1806</v>
      </c>
      <c r="E872" s="1322"/>
      <c r="F872" s="1322"/>
      <c r="G872" s="988"/>
      <c r="I872" s="490"/>
    </row>
    <row r="873" spans="1:9" ht="12.75" customHeight="1">
      <c r="A873" s="354"/>
      <c r="B873" s="354"/>
      <c r="C873" s="174"/>
      <c r="D873" s="1317" t="s">
        <v>1774</v>
      </c>
      <c r="E873" s="1317"/>
      <c r="F873" s="1317"/>
      <c r="G873" s="988"/>
      <c r="I873" s="490"/>
    </row>
    <row r="874" spans="1:9" ht="12.75" customHeight="1">
      <c r="A874" s="354"/>
      <c r="B874" s="354"/>
      <c r="C874" s="174"/>
      <c r="D874" s="995"/>
      <c r="E874" s="995"/>
      <c r="F874" s="995"/>
      <c r="G874" s="988"/>
      <c r="I874" s="490"/>
    </row>
    <row r="875" spans="1:9" ht="12.75" customHeight="1">
      <c r="A875" s="175"/>
      <c r="B875" s="485" t="s">
        <v>307</v>
      </c>
      <c r="C875" s="354"/>
      <c r="D875" s="1300" t="s">
        <v>1775</v>
      </c>
      <c r="E875" s="1300"/>
      <c r="F875" s="1300"/>
      <c r="G875" s="988"/>
      <c r="I875" s="490" t="s">
        <v>1882</v>
      </c>
    </row>
    <row r="876" spans="1:9" ht="12.75" customHeight="1">
      <c r="A876" s="354"/>
      <c r="B876" s="354"/>
      <c r="C876" s="354"/>
      <c r="D876" s="2" t="s">
        <v>1750</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0" t="s">
        <v>1776</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307</v>
      </c>
      <c r="C881" s="354"/>
      <c r="D881" s="1311" t="s">
        <v>1777</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307</v>
      </c>
      <c r="C890" s="354"/>
      <c r="D890" s="1301" t="s">
        <v>1770</v>
      </c>
      <c r="E890" s="1301"/>
      <c r="F890" s="1301"/>
      <c r="G890" s="988"/>
      <c r="I890" s="490"/>
    </row>
    <row r="891" spans="1:9" ht="12.75" customHeight="1">
      <c r="A891" s="175"/>
      <c r="B891" s="175"/>
      <c r="C891" s="354"/>
      <c r="D891" s="1301" t="s">
        <v>1771</v>
      </c>
      <c r="E891" s="1301"/>
      <c r="F891" s="1301"/>
      <c r="G891" s="988"/>
      <c r="I891" s="490"/>
    </row>
    <row r="892" spans="1:9" ht="12.75" customHeight="1">
      <c r="A892" s="175"/>
      <c r="B892" s="175"/>
      <c r="C892" s="354"/>
      <c r="D892" s="2" t="s">
        <v>1272</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0" t="s">
        <v>1772</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1807</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1813</v>
      </c>
      <c r="E901" s="1325"/>
      <c r="F901" s="1325"/>
      <c r="G901" s="57"/>
      <c r="I901" s="490"/>
    </row>
    <row r="902" spans="1:9" ht="12.75" customHeight="1">
      <c r="A902" s="57"/>
      <c r="B902" s="57"/>
      <c r="C902" s="57"/>
      <c r="D902" s="981"/>
      <c r="E902" s="981"/>
      <c r="F902" s="981"/>
      <c r="G902" s="57"/>
      <c r="I902" s="490"/>
    </row>
    <row r="903" spans="1:9" ht="12.75" customHeight="1">
      <c r="A903" s="57"/>
      <c r="B903" s="485" t="s">
        <v>307</v>
      </c>
      <c r="C903" s="57"/>
      <c r="D903" s="984" t="s">
        <v>1814</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1808</v>
      </c>
      <c r="E905" s="1325"/>
      <c r="F905" s="1325"/>
      <c r="G905" s="988"/>
      <c r="I905" s="490"/>
    </row>
    <row r="906" spans="1:9" ht="12.75" customHeight="1">
      <c r="A906" s="172"/>
      <c r="B906" s="172"/>
      <c r="C906" s="172"/>
      <c r="D906" s="1300" t="s">
        <v>1778</v>
      </c>
      <c r="E906" s="1300"/>
      <c r="F906" s="1300"/>
      <c r="G906" s="988"/>
      <c r="I906" s="490"/>
    </row>
    <row r="907" spans="1:9" ht="12.75" customHeight="1">
      <c r="A907" s="989"/>
      <c r="B907" s="989"/>
      <c r="C907" s="989"/>
      <c r="D907" s="2"/>
      <c r="E907" s="988"/>
      <c r="F907" s="988"/>
      <c r="G907" s="988"/>
      <c r="I907" s="490"/>
    </row>
    <row r="908" spans="1:9" ht="12.75" customHeight="1">
      <c r="A908" s="175"/>
      <c r="B908" s="485" t="s">
        <v>307</v>
      </c>
      <c r="C908" s="354"/>
      <c r="D908" s="1260" t="s">
        <v>1782</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1781</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307</v>
      </c>
      <c r="C913" s="174"/>
      <c r="D913" s="1264" t="s">
        <v>1779</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307</v>
      </c>
      <c r="C922" s="989"/>
      <c r="D922" s="1260" t="s">
        <v>1783</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307</v>
      </c>
      <c r="C925" s="989"/>
      <c r="D925" s="1288" t="s">
        <v>1784</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307</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307</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307</v>
      </c>
      <c r="C934" s="998"/>
      <c r="D934" s="1264" t="s">
        <v>1780</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307</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8" t="s">
        <v>1785</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1786</v>
      </c>
      <c r="E969" s="1322"/>
      <c r="F969" s="1322"/>
      <c r="G969" s="3"/>
      <c r="I969" s="490"/>
    </row>
    <row r="970" spans="1:9" ht="12.75" customHeight="1">
      <c r="A970" s="175"/>
      <c r="B970" s="485" t="s">
        <v>307</v>
      </c>
      <c r="C970" s="354"/>
      <c r="D970" s="1300" t="s">
        <v>1809</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1787</v>
      </c>
      <c r="E972" s="1322"/>
      <c r="F972" s="1322"/>
      <c r="G972"/>
      <c r="I972" s="490"/>
    </row>
    <row r="973" spans="1:9" ht="12.75" customHeight="1">
      <c r="A973" s="175"/>
      <c r="B973" s="485" t="s">
        <v>307</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1788</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1810</v>
      </c>
      <c r="E991" s="1322"/>
      <c r="F991" s="1322"/>
      <c r="G991" s="3"/>
      <c r="I991" s="490"/>
    </row>
    <row r="992" spans="1:9" ht="12.75" customHeight="1">
      <c r="A992" s="172"/>
      <c r="B992" s="172"/>
      <c r="C992" s="172"/>
      <c r="D992" s="1300" t="s">
        <v>1789</v>
      </c>
      <c r="E992" s="1300"/>
      <c r="F992" s="1300"/>
      <c r="G992" s="3"/>
      <c r="I992" s="490"/>
    </row>
    <row r="993" spans="1:9" ht="12.75" customHeight="1">
      <c r="A993" s="172"/>
      <c r="B993" s="172"/>
      <c r="C993" s="172"/>
      <c r="D993" s="3"/>
      <c r="E993" s="3"/>
      <c r="F993" s="988"/>
      <c r="G993"/>
      <c r="I993" s="490"/>
    </row>
    <row r="994" spans="1:9" ht="12.75" customHeight="1">
      <c r="A994" s="354"/>
      <c r="B994" s="485" t="s">
        <v>307</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0" t="s">
        <v>1790</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0" t="s">
        <v>1791</v>
      </c>
      <c r="E1010" s="1300"/>
      <c r="F1010" s="1300"/>
      <c r="G1010"/>
      <c r="I1010" s="490"/>
    </row>
    <row r="1011" spans="1:9" ht="12.75" customHeight="1">
      <c r="A1011" s="354"/>
      <c r="B1011" s="354"/>
      <c r="C1011" s="354"/>
      <c r="D1011" s="3"/>
      <c r="E1011" s="3"/>
      <c r="F1011" s="3"/>
      <c r="G1011"/>
      <c r="I1011" s="490"/>
    </row>
    <row r="1012" spans="1:9" ht="12.75" customHeight="1">
      <c r="A1012" s="175"/>
      <c r="B1012" s="485" t="s">
        <v>307</v>
      </c>
      <c r="C1012" s="354"/>
      <c r="D1012" s="1300" t="s">
        <v>1792</v>
      </c>
      <c r="E1012" s="1300"/>
      <c r="F1012" s="1300"/>
      <c r="G1012"/>
      <c r="I1012" s="490"/>
    </row>
    <row r="1013" spans="1:9" ht="12.75" customHeight="1">
      <c r="A1013" s="354"/>
      <c r="B1013" s="354"/>
      <c r="C1013" s="354"/>
      <c r="D1013" s="118"/>
      <c r="E1013" s="3"/>
      <c r="F1013" s="3"/>
      <c r="G1013"/>
      <c r="I1013" s="490"/>
    </row>
    <row r="1014" spans="1:9" ht="12.75" customHeight="1">
      <c r="A1014" s="175"/>
      <c r="B1014" s="485" t="s">
        <v>307</v>
      </c>
      <c r="C1014" s="354"/>
      <c r="D1014" s="1300" t="s">
        <v>1793</v>
      </c>
      <c r="E1014" s="1300"/>
      <c r="F1014" s="1300"/>
      <c r="G1014"/>
      <c r="I1014" s="490"/>
    </row>
    <row r="1015" spans="1:9" ht="12.75" customHeight="1">
      <c r="A1015" s="354"/>
      <c r="B1015" s="354"/>
      <c r="C1015" s="354"/>
      <c r="D1015" s="118"/>
      <c r="E1015" s="3"/>
      <c r="F1015" s="3"/>
      <c r="G1015"/>
      <c r="I1015" s="490"/>
    </row>
    <row r="1016" spans="1:9" ht="12.75" customHeight="1">
      <c r="A1016" s="175"/>
      <c r="B1016" s="485" t="s">
        <v>307</v>
      </c>
      <c r="C1016" s="354"/>
      <c r="D1016" s="1260" t="s">
        <v>1794</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6" t="s">
        <v>1795</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3" t="s">
        <v>1796</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0" t="s">
        <v>1797</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0" t="s">
        <v>1798</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1799</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1800</v>
      </c>
      <c r="E1031" s="1325"/>
      <c r="F1031" s="1325"/>
      <c r="G1031" s="3"/>
      <c r="I1031" s="490"/>
    </row>
    <row r="1032" spans="1:9" ht="12.75" customHeight="1">
      <c r="A1032" s="354"/>
      <c r="B1032" s="354"/>
      <c r="C1032" s="354"/>
      <c r="D1032" s="1323" t="s">
        <v>1801</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1815</v>
      </c>
      <c r="E1034" s="1325"/>
      <c r="F1034" s="1325"/>
      <c r="G1034" s="3"/>
      <c r="I1034" s="490"/>
    </row>
    <row r="1035" spans="1:9" ht="12.75" customHeight="1">
      <c r="A1035" s="354"/>
      <c r="B1035" s="485" t="s">
        <v>307</v>
      </c>
      <c r="C1035" s="354"/>
      <c r="D1035" s="1323" t="s">
        <v>1273</v>
      </c>
      <c r="E1035" s="1323"/>
      <c r="F1035" s="1323"/>
      <c r="G1035" s="3"/>
      <c r="I1035" s="490"/>
    </row>
    <row r="1036" spans="1:9" ht="12.75" customHeight="1">
      <c r="A1036" s="354"/>
      <c r="B1036" s="175"/>
      <c r="C1036" s="354"/>
      <c r="D1036" s="1323" t="s">
        <v>1802</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1811</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1274</v>
      </c>
      <c r="E1040" s="1330"/>
      <c r="F1040" s="1330"/>
      <c r="G1040" s="3"/>
      <c r="I1040" s="490"/>
    </row>
    <row r="1041" spans="1:9" ht="12.75" hidden="1" customHeight="1">
      <c r="A1041" s="118"/>
      <c r="B1041" s="485" t="s">
        <v>307</v>
      </c>
      <c r="D1041" s="1292" t="s">
        <v>1273</v>
      </c>
      <c r="E1041" s="1292"/>
      <c r="F1041" s="1292"/>
      <c r="G1041" s="3"/>
      <c r="I1041" s="490"/>
    </row>
    <row r="1042" spans="1:9" ht="12.75" hidden="1" customHeight="1">
      <c r="A1042" s="118"/>
      <c r="B1042" s="402"/>
      <c r="D1042" s="1292" t="s">
        <v>1812</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307</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1832</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1818</v>
      </c>
      <c r="I1051" s="490"/>
    </row>
    <row r="1052" spans="1:9">
      <c r="A1052" s="402"/>
      <c r="B1052" s="402"/>
      <c r="C1052" s="402"/>
      <c r="D1052" s="402" t="s">
        <v>1817</v>
      </c>
      <c r="I1052" s="490"/>
    </row>
    <row r="1053" spans="1:9">
      <c r="A1053" s="402"/>
      <c r="B1053" s="402"/>
      <c r="C1053" s="402"/>
      <c r="D1053" s="404"/>
      <c r="I1053" s="490"/>
    </row>
    <row r="1054" spans="1:9">
      <c r="A1054" s="402"/>
      <c r="B1054" s="485" t="s">
        <v>307</v>
      </c>
      <c r="C1054" s="402"/>
      <c r="D1054" s="1327" t="s">
        <v>1816</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1315</v>
      </c>
      <c r="I1059" s="490"/>
    </row>
    <row r="1060" spans="1:9">
      <c r="A1060" s="402"/>
      <c r="B1060" s="402"/>
      <c r="C1060" s="402"/>
      <c r="D1060" s="402" t="s">
        <v>1819</v>
      </c>
      <c r="I1060" s="490"/>
    </row>
    <row r="1061" spans="1:9">
      <c r="A1061" s="402"/>
      <c r="B1061" s="402"/>
      <c r="C1061" s="402"/>
      <c r="I1061" s="490"/>
    </row>
    <row r="1062" spans="1:9">
      <c r="A1062" s="402"/>
      <c r="B1062" s="485" t="s">
        <v>307</v>
      </c>
      <c r="C1062" s="402"/>
      <c r="D1062" s="402" t="s">
        <v>1814</v>
      </c>
      <c r="I1062" s="490"/>
    </row>
    <row r="1063" spans="1:9">
      <c r="A1063" s="402"/>
      <c r="B1063" s="402"/>
      <c r="C1063" s="402"/>
      <c r="I1063" s="490"/>
    </row>
    <row r="1064" spans="1:9">
      <c r="A1064" s="402"/>
      <c r="B1064" s="485" t="s">
        <v>307</v>
      </c>
      <c r="C1064" s="402"/>
      <c r="D1064" s="1327" t="s">
        <v>1820</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1821</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1824</v>
      </c>
      <c r="I1073" s="490"/>
    </row>
    <row r="1074" spans="1:9">
      <c r="A1074" s="402"/>
      <c r="B1074" s="402"/>
      <c r="C1074" s="402"/>
      <c r="D1074" s="527" t="s">
        <v>1826</v>
      </c>
      <c r="I1074" s="490"/>
    </row>
    <row r="1075" spans="1:9">
      <c r="A1075" s="402"/>
      <c r="B1075" s="402"/>
      <c r="C1075" s="402"/>
      <c r="D1075" s="527"/>
      <c r="I1075" s="490"/>
    </row>
    <row r="1076" spans="1:9">
      <c r="A1076" s="402"/>
      <c r="B1076" s="485" t="s">
        <v>307</v>
      </c>
      <c r="C1076" s="402"/>
      <c r="D1076" s="527" t="s">
        <v>1827</v>
      </c>
      <c r="I1076" s="490"/>
    </row>
    <row r="1077" spans="1:9">
      <c r="A1077" s="402"/>
      <c r="B1077" s="402"/>
      <c r="C1077" s="402"/>
      <c r="D1077" s="527" t="s">
        <v>1825</v>
      </c>
      <c r="I1077" s="490"/>
    </row>
    <row r="1078" spans="1:9">
      <c r="A1078" s="402"/>
      <c r="B1078" s="402"/>
      <c r="C1078" s="402"/>
      <c r="D1078" s="527"/>
      <c r="I1078" s="490"/>
    </row>
    <row r="1079" spans="1:9">
      <c r="A1079" s="402"/>
      <c r="B1079" s="485" t="s">
        <v>307</v>
      </c>
      <c r="C1079" s="402"/>
      <c r="D1079" s="119" t="s">
        <v>1830</v>
      </c>
      <c r="I1079" s="490"/>
    </row>
    <row r="1080" spans="1:9">
      <c r="A1080" s="402"/>
      <c r="B1080" s="402"/>
      <c r="C1080" s="402"/>
      <c r="D1080" s="1260" t="s">
        <v>1831</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1829</v>
      </c>
      <c r="I1084" s="490"/>
    </row>
    <row r="1085" spans="1:9">
      <c r="A1085" s="402"/>
      <c r="B1085" s="402"/>
      <c r="C1085" s="402"/>
      <c r="D1085" s="119"/>
      <c r="I1085" s="490"/>
    </row>
    <row r="1086" spans="1:9">
      <c r="A1086" s="402"/>
      <c r="B1086" s="402"/>
      <c r="C1086" s="402"/>
      <c r="D1086" s="527" t="s">
        <v>1822</v>
      </c>
      <c r="I1086" s="490"/>
    </row>
    <row r="1087" spans="1:9">
      <c r="A1087" s="402"/>
      <c r="B1087" s="485" t="s">
        <v>307</v>
      </c>
      <c r="C1087" s="402"/>
      <c r="D1087" s="1326" t="s">
        <v>1823</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1828</v>
      </c>
      <c r="I1092" s="490"/>
    </row>
    <row r="1093" spans="1:9">
      <c r="A1093" s="402"/>
      <c r="B1093" s="402"/>
      <c r="C1093" s="402"/>
      <c r="I1093" s="490"/>
    </row>
    <row r="1094" spans="1:9">
      <c r="A1094" s="402"/>
      <c r="B1094" s="485" t="s">
        <v>307</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1833</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307</v>
      </c>
      <c r="C1105" s="402"/>
      <c r="D1105" s="1326" t="s">
        <v>1834</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307</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307</v>
      </c>
      <c r="C1115" s="402"/>
      <c r="D1115" s="1326" t="s">
        <v>1835</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307</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307</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389" workbookViewId="0">
      <selection activeCell="I422" sqref="I42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17</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2511</v>
      </c>
      <c r="BE8" s="1249">
        <f>SUMIF($AC$718:$AC$752,"&lt;=35%",$G$718:G$752)-SUM($BE$5:BE7)</f>
        <v>0</v>
      </c>
    </row>
    <row r="9" spans="1:58" ht="12.95" customHeight="1">
      <c r="A9" s="1838" t="s">
        <v>2078</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8" t="s">
        <v>2503</v>
      </c>
      <c r="BE9" s="1249">
        <f>SUMIF($AC$718:$AC$752,"&lt;=40%",$G$718:G$752)-SUM($BE$5:BE8)</f>
        <v>0</v>
      </c>
    </row>
    <row r="10" spans="1:58" ht="12.95" customHeight="1">
      <c r="A10" s="1838" t="s">
        <v>2460</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2512</v>
      </c>
      <c r="BE10" s="1249">
        <f>SUMIF($AC$718:$AC$752,"&lt;=45%",$G$718:G$752)-SUM($BE$5:BE9)</f>
        <v>0</v>
      </c>
    </row>
    <row r="11" spans="1:58" ht="12.95" customHeight="1">
      <c r="A11" s="1838" t="s">
        <v>2606</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7" t="s">
        <v>2504</v>
      </c>
      <c r="BE11" s="1249">
        <f>SUMIF($AC$718:$AC$752,"&lt;=50%",$G$718:G$752)-SUM($BE$5:BE10)</f>
        <v>17</v>
      </c>
    </row>
    <row r="12" spans="1:58" ht="12.95" customHeight="1">
      <c r="A12" s="1839" t="s">
        <v>2612</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2513</v>
      </c>
      <c r="BE12" s="1249">
        <f>SUMIF($AC$718:$AC$752,"&lt;=55%",$G$718:G$752)-SUM($BE$5:BE11)</f>
        <v>0</v>
      </c>
    </row>
    <row r="13" spans="1:58" ht="12.95"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2505</v>
      </c>
      <c r="BE13" s="1249">
        <f>SUMIF($AC$718:$AC$752,"&lt;=60%",$G$718:G$752)-SUM($BE$5:BE12)</f>
        <v>115</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2506</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2080</v>
      </c>
      <c r="C16" s="4"/>
      <c r="D16" s="4"/>
      <c r="E16" s="4"/>
      <c r="F16" s="4"/>
      <c r="G16" s="4"/>
      <c r="H16" s="1569" t="s">
        <v>2621</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8" t="s">
        <v>657</v>
      </c>
      <c r="BE16" s="1249" t="str">
        <f>Application!H18</f>
        <v>The Perlman</v>
      </c>
    </row>
    <row r="17" spans="1:58" ht="12.95" customHeight="1">
      <c r="BD17" s="1247" t="s">
        <v>2520</v>
      </c>
      <c r="BE17" s="1249">
        <f>Application!AA934</f>
        <v>0</v>
      </c>
    </row>
    <row r="18" spans="1:58" ht="12.95" customHeight="1">
      <c r="A18" s="57" t="s">
        <v>101</v>
      </c>
      <c r="C18" s="4"/>
      <c r="D18" s="4"/>
      <c r="E18" s="4"/>
      <c r="F18" s="4"/>
      <c r="G18" s="4"/>
      <c r="H18" s="1407" t="s">
        <v>2614</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2521</v>
      </c>
      <c r="BE18" s="1249">
        <f>'CalHFA Addendum'!N11</f>
        <v>0</v>
      </c>
    </row>
    <row r="19" spans="1:58" ht="12.95" customHeight="1">
      <c r="BD19" s="1247" t="s">
        <v>2522</v>
      </c>
      <c r="BE19" s="1249">
        <f>Application!M26</f>
        <v>3222718</v>
      </c>
    </row>
    <row r="20" spans="1:58" ht="12.95" customHeight="1">
      <c r="A20" s="1840" t="s">
        <v>874</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48" t="s">
        <v>2523</v>
      </c>
      <c r="BE20" s="1249">
        <f>Application!M27</f>
        <v>0</v>
      </c>
    </row>
    <row r="21" spans="1:58" ht="12.95" customHeight="1">
      <c r="A21" s="1843" t="s">
        <v>1010</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2524</v>
      </c>
      <c r="BE21" s="1249">
        <f>Application!AM554</f>
        <v>18349851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64808294</v>
      </c>
      <c r="BF22" s="3" t="s">
        <v>2597</v>
      </c>
    </row>
    <row r="23" spans="1:58" ht="12.95"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2525</v>
      </c>
      <c r="BE23" s="1249">
        <f>'Sources and Uses Budget'!B4</f>
        <v>1300000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2526</v>
      </c>
      <c r="BE24" s="1249">
        <f>Application!AG450</f>
        <v>150740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2.95" customHeight="1">
      <c r="A26" s="4"/>
      <c r="C26" s="4"/>
      <c r="D26" s="4"/>
      <c r="E26" s="4"/>
      <c r="F26" s="4"/>
      <c r="G26" s="4"/>
      <c r="H26" s="4"/>
      <c r="I26" s="4"/>
      <c r="J26" s="4"/>
      <c r="K26" s="4"/>
      <c r="L26" s="4"/>
      <c r="M26" s="1842">
        <f>'Basis &amp; Credits'!AB56</f>
        <v>3222718</v>
      </c>
      <c r="N26" s="1842"/>
      <c r="O26" s="1842"/>
      <c r="P26" s="1842"/>
      <c r="Q26" s="1842"/>
      <c r="R26" s="4" t="s">
        <v>760</v>
      </c>
      <c r="S26" s="4"/>
      <c r="T26" s="4"/>
      <c r="U26" s="4"/>
      <c r="V26" s="4"/>
      <c r="W26" s="4"/>
      <c r="X26" s="4"/>
      <c r="Y26" s="4"/>
      <c r="Z26" s="4"/>
      <c r="AF26" s="4"/>
      <c r="AG26" s="4"/>
      <c r="AH26" s="4"/>
      <c r="AI26" s="4"/>
      <c r="AJ26" s="4"/>
      <c r="AK26" s="4"/>
      <c r="BD26" s="1248" t="s">
        <v>1641</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1269</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537" t="s">
        <v>2149</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7" t="s">
        <v>2529</v>
      </c>
      <c r="BE29" s="1249" t="b">
        <f>Application!M358="Yes"</f>
        <v>0</v>
      </c>
    </row>
    <row r="30" spans="1:58" ht="12.95"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8" t="s">
        <v>28</v>
      </c>
      <c r="BE30" s="1249" t="b">
        <f>Application!AJ355="Yes"</f>
        <v>0</v>
      </c>
    </row>
    <row r="31" spans="1:58" ht="12.95"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7" t="s">
        <v>2530</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1280</v>
      </c>
      <c r="C33" s="519"/>
      <c r="D33" s="519"/>
      <c r="E33" s="519"/>
      <c r="F33" s="519"/>
      <c r="G33" s="519"/>
      <c r="H33" s="519"/>
      <c r="I33" s="519"/>
      <c r="J33" s="519"/>
      <c r="K33" s="519"/>
      <c r="L33" s="519"/>
      <c r="M33" s="519"/>
      <c r="N33" s="519"/>
      <c r="O33" s="1416" t="s">
        <v>546</v>
      </c>
      <c r="P33" s="1416"/>
      <c r="Q33" s="1841" t="s">
        <v>2150</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7" t="s">
        <v>2598</v>
      </c>
      <c r="BE33" s="1249" t="str">
        <f>Application!D220</f>
        <v>Central Coast Region: Monterey, San Luis Obispo, Santa Barbara, Santa Cruz, and Ventura Counties</v>
      </c>
    </row>
    <row r="34" spans="1:57" ht="12.95" customHeight="1">
      <c r="A34" s="1537" t="s">
        <v>2151</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8" t="s">
        <v>2532</v>
      </c>
      <c r="BE34" s="1249" t="str">
        <f>Application!I185</f>
        <v>100 N Broadway</v>
      </c>
    </row>
    <row r="35" spans="1:57" ht="12.95"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7" t="s">
        <v>2533</v>
      </c>
      <c r="BE35" s="1249" t="str">
        <f>IF(Application!E187="","",Application!E187)</f>
        <v/>
      </c>
    </row>
    <row r="36" spans="1:57" ht="12.95"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8" t="s">
        <v>2534</v>
      </c>
      <c r="BE36" s="1249" t="str">
        <f>Application!I189</f>
        <v>Santa Maria</v>
      </c>
    </row>
    <row r="37" spans="1:57" ht="12.95"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7" t="s">
        <v>2535</v>
      </c>
      <c r="BE37" s="1249" t="str">
        <f>Application!T189</f>
        <v>Santa Barbara</v>
      </c>
    </row>
    <row r="38" spans="1:57" ht="12.95" customHeight="1">
      <c r="A38" s="3"/>
      <c r="AZ38" s="20"/>
      <c r="BD38" s="1248" t="s">
        <v>2536</v>
      </c>
      <c r="BE38" s="1249">
        <f>Application!I190</f>
        <v>93454</v>
      </c>
    </row>
    <row r="39" spans="1:57" ht="12.95"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2537</v>
      </c>
      <c r="BE39" s="1249">
        <f>Application!AG437</f>
        <v>150</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149</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2538</v>
      </c>
      <c r="BE42" s="1251">
        <f>Application!AC753</f>
        <v>0.55436241610738257</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2539</v>
      </c>
      <c r="BE43" s="1251">
        <f>Application!AH753</f>
        <v>0.50404524510565285</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2540</v>
      </c>
      <c r="BE44" s="1249">
        <f>Application!AC454</f>
        <v>432055.29333333333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0</v>
      </c>
    </row>
    <row r="46" spans="1:57" ht="12.95"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2542</v>
      </c>
      <c r="BE46" s="1249" t="b">
        <f>Application!T195="Yes"</f>
        <v>0</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2543</v>
      </c>
      <c r="BE47" s="1249" t="b">
        <f>Application!T196="Yes"</f>
        <v>1</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2544</v>
      </c>
      <c r="BE48" s="1249" t="str">
        <f>Application!M243</f>
        <v>Community Revitalization and Development Corporation</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2545</v>
      </c>
      <c r="BE49" s="1249" t="str">
        <f>Application!M246</f>
        <v>David Rutledge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2.95"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2547</v>
      </c>
      <c r="BE51" s="1249" t="str">
        <f>Application!M251</f>
        <v>Santa Maria North Broadway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2548</v>
      </c>
      <c r="BE52" s="1249" t="str">
        <f>Application!M254</f>
        <v>Chris Dart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Johnson &amp; Johnson Investments, LLC</v>
      </c>
    </row>
    <row r="54" spans="1:57" ht="12.95"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2550</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2551</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2552</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2553</v>
      </c>
      <c r="BE57" s="1249" t="str">
        <f>Application!H287</f>
        <v>Danco Communities</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2554</v>
      </c>
      <c r="BE58" s="1249" t="str">
        <f>Application!H288</f>
        <v>5251 Ericson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Arcata, CA 95521</v>
      </c>
    </row>
    <row r="60" spans="1:57" ht="12.95"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2556</v>
      </c>
      <c r="BE60" s="1249" t="str">
        <f>Application!H290</f>
        <v>Chris Dart</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2557</v>
      </c>
      <c r="BE61" s="1249" t="str">
        <f>Application!H293</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0.86500003000000003</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1252</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546" t="s">
        <v>2158</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2595</v>
      </c>
      <c r="BE65" s="1249" t="str">
        <f>Z205</f>
        <v>$500M</v>
      </c>
    </row>
    <row r="66" spans="1:57"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2560</v>
      </c>
      <c r="BE66" s="1249" t="b">
        <f>Application!Z205="State Farmworker Credit"</f>
        <v>0</v>
      </c>
    </row>
    <row r="67" spans="1:57"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2561</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546" t="s">
        <v>2159</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2563</v>
      </c>
      <c r="BE69" s="1249" t="str">
        <f>Application!W700</f>
        <v>CMFA</v>
      </c>
    </row>
    <row r="70" spans="1:57"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2564</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5" customHeight="1">
      <c r="A72" s="1537" t="s">
        <v>2160</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8" t="s">
        <v>2566</v>
      </c>
      <c r="BE72" s="1249">
        <f>'Points System'!AF805</f>
        <v>10</v>
      </c>
    </row>
    <row r="73" spans="1:57" ht="12.9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545" t="s">
        <v>2161</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2569</v>
      </c>
      <c r="BE75" s="1249">
        <f>'Points System'!AF808</f>
        <v>10</v>
      </c>
    </row>
    <row r="76" spans="1:57"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2570</v>
      </c>
      <c r="BE76" s="1249">
        <f>'Points System'!AF811</f>
        <v>10</v>
      </c>
    </row>
    <row r="77" spans="1:57"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546" t="s">
        <v>2162</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2573</v>
      </c>
      <c r="BE79" s="1249">
        <f>'Points System'!AF815</f>
        <v>9</v>
      </c>
    </row>
    <row r="80" spans="1:57"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2574</v>
      </c>
      <c r="BE80" s="1249">
        <f>'Points System'!AF817</f>
        <v>10</v>
      </c>
    </row>
    <row r="81" spans="1:57"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2577</v>
      </c>
      <c r="BE83" s="1253">
        <f>'Tie Breaker'!H5</f>
        <v>2.4592972114872773</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2578</v>
      </c>
      <c r="BE84" s="1249" t="str">
        <f>Application!O153</f>
        <v>City of Santa Maria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David Rowlands</v>
      </c>
    </row>
    <row r="86" spans="1:57" ht="12.95"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2580</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2581</v>
      </c>
      <c r="BE87" s="1249" t="str">
        <f>Application!O156</f>
        <v>110 East Cook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Santa Maria</v>
      </c>
    </row>
    <row r="89" spans="1:57" ht="12.95" customHeight="1">
      <c r="A89" s="1555" t="s">
        <v>2165</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c r="BD89" s="1247" t="s">
        <v>2583</v>
      </c>
      <c r="BE89" s="1249">
        <f>Application!O158</f>
        <v>93454</v>
      </c>
    </row>
    <row r="90" spans="1:57"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c r="BD90" s="1248" t="s">
        <v>2584</v>
      </c>
      <c r="BE90" s="1249" t="str">
        <f>Application!H16</f>
        <v>Community Revitalization &amp;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1918 West Street</v>
      </c>
    </row>
    <row r="92" spans="1:57" ht="12.95" customHeight="1">
      <c r="A92" s="1545" t="s">
        <v>2166</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2586</v>
      </c>
      <c r="BE92" s="1249" t="str">
        <f>Application!M234</f>
        <v>Redding</v>
      </c>
    </row>
    <row r="93" spans="1:57"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2587</v>
      </c>
      <c r="BE93" s="1249" t="str">
        <f>Application!W234</f>
        <v>CA</v>
      </c>
    </row>
    <row r="94" spans="1:57"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2588</v>
      </c>
      <c r="BE94" s="1249">
        <f>Application!AC234</f>
        <v>96001</v>
      </c>
    </row>
    <row r="95" spans="1:57"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2589</v>
      </c>
      <c r="BE95" s="1249" t="str">
        <f>Application!M235</f>
        <v>David Rutledge</v>
      </c>
    </row>
    <row r="96" spans="1:57"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2590</v>
      </c>
      <c r="BE96" s="1249" t="str">
        <f>Application!M237</f>
        <v>david@crdc-housing.org</v>
      </c>
    </row>
    <row r="97" spans="1:57"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2591</v>
      </c>
      <c r="BE97" s="1249" t="str">
        <f>Application!M248</f>
        <v>david@crdc-housing,org</v>
      </c>
    </row>
    <row r="98" spans="1:57"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2592</v>
      </c>
      <c r="BE98" s="1249" t="str">
        <f>Application!M256</f>
        <v>cdart@danco-group,com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556" t="s">
        <v>2167</v>
      </c>
      <c r="B100" s="1556"/>
      <c r="C100" s="1556"/>
      <c r="D100" s="1556"/>
      <c r="E100" s="1556"/>
      <c r="F100" s="1556"/>
      <c r="G100" s="1556"/>
      <c r="H100" s="1556"/>
      <c r="I100" s="1556"/>
      <c r="J100" s="1556"/>
      <c r="K100" s="1556"/>
      <c r="L100" s="1556"/>
      <c r="M100" s="1556"/>
      <c r="N100" s="1556"/>
      <c r="O100" s="1556"/>
      <c r="P100" s="1556"/>
      <c r="Q100" s="1556"/>
      <c r="R100" s="1556"/>
      <c r="S100" s="1556"/>
      <c r="T100" s="1556"/>
      <c r="U100" s="1556"/>
      <c r="V100" s="1556"/>
      <c r="W100" s="1556"/>
      <c r="X100" s="1556"/>
      <c r="Y100" s="1556"/>
      <c r="Z100" s="1556"/>
      <c r="AA100" s="1556"/>
      <c r="AB100" s="1556"/>
      <c r="AC100" s="1556"/>
      <c r="AD100" s="1556"/>
      <c r="AE100" s="1556"/>
      <c r="AF100" s="1556"/>
      <c r="AG100" s="1556"/>
      <c r="AH100" s="1556"/>
      <c r="AI100" s="1556"/>
      <c r="AJ100" s="1556"/>
      <c r="AK100" s="1556"/>
      <c r="AL100" s="1556"/>
      <c r="AM100" s="1556"/>
      <c r="AN100" s="1556"/>
      <c r="AO100" s="1556"/>
      <c r="AP100" s="1556"/>
      <c r="AQ100" s="1556"/>
      <c r="AR100" s="1556"/>
      <c r="AS100" s="1556"/>
      <c r="AT100" s="1556"/>
      <c r="AU100" s="20"/>
      <c r="AV100" s="20"/>
      <c r="AW100" s="20"/>
      <c r="AX100" s="20"/>
      <c r="AY100" s="20"/>
      <c r="AZ100" s="20"/>
      <c r="BD100" s="1248" t="s">
        <v>2594</v>
      </c>
      <c r="BE100" s="1249">
        <f>Application!L279</f>
        <v>0</v>
      </c>
    </row>
    <row r="101" spans="1:57" ht="12.95" customHeight="1">
      <c r="A101" s="1556"/>
      <c r="B101" s="1556"/>
      <c r="C101" s="1556"/>
      <c r="D101" s="1556"/>
      <c r="E101" s="1556"/>
      <c r="F101" s="1556"/>
      <c r="G101" s="1556"/>
      <c r="H101" s="1556"/>
      <c r="I101" s="1556"/>
      <c r="J101" s="1556"/>
      <c r="K101" s="1556"/>
      <c r="L101" s="1556"/>
      <c r="M101" s="1556"/>
      <c r="N101" s="1556"/>
      <c r="O101" s="1556"/>
      <c r="P101" s="1556"/>
      <c r="Q101" s="1556"/>
      <c r="R101" s="1556"/>
      <c r="S101" s="1556"/>
      <c r="T101" s="1556"/>
      <c r="U101" s="1556"/>
      <c r="V101" s="1556"/>
      <c r="W101" s="1556"/>
      <c r="X101" s="1556"/>
      <c r="Y101" s="1556"/>
      <c r="Z101" s="1556"/>
      <c r="AA101" s="1556"/>
      <c r="AB101" s="1556"/>
      <c r="AC101" s="1556"/>
      <c r="AD101" s="1556"/>
      <c r="AE101" s="1556"/>
      <c r="AF101" s="1556"/>
      <c r="AG101" s="1556"/>
      <c r="AH101" s="1556"/>
      <c r="AI101" s="1556"/>
      <c r="AJ101" s="1556"/>
      <c r="AK101" s="1556"/>
      <c r="AL101" s="1556"/>
      <c r="AM101" s="1556"/>
      <c r="AN101" s="1556"/>
      <c r="AO101" s="1556"/>
      <c r="AP101" s="1556"/>
      <c r="AQ101" s="1556"/>
      <c r="AR101" s="1556"/>
      <c r="AS101" s="1556"/>
      <c r="AT101" s="1556"/>
      <c r="AU101" s="20"/>
      <c r="AV101" s="20"/>
      <c r="AW101" s="20"/>
      <c r="AX101" s="20"/>
      <c r="AY101" s="20"/>
      <c r="AZ101" s="20"/>
      <c r="BD101" s="3" t="s">
        <v>2599</v>
      </c>
      <c r="BE101">
        <f>'Sources and Uses Budget'!C105</f>
        <v>64808294</v>
      </c>
    </row>
    <row r="102" spans="1:57" ht="12.95" customHeight="1">
      <c r="A102" s="1556"/>
      <c r="B102" s="1556"/>
      <c r="C102" s="1556"/>
      <c r="D102" s="1556"/>
      <c r="E102" s="1556"/>
      <c r="F102" s="1556"/>
      <c r="G102" s="1556"/>
      <c r="H102" s="1556"/>
      <c r="I102" s="1556"/>
      <c r="J102" s="1556"/>
      <c r="K102" s="1556"/>
      <c r="L102" s="1556"/>
      <c r="M102" s="1556"/>
      <c r="N102" s="1556"/>
      <c r="O102" s="1556"/>
      <c r="P102" s="1556"/>
      <c r="Q102" s="1556"/>
      <c r="R102" s="1556"/>
      <c r="S102" s="1556"/>
      <c r="T102" s="1556"/>
      <c r="U102" s="1556"/>
      <c r="V102" s="1556"/>
      <c r="W102" s="1556"/>
      <c r="X102" s="1556"/>
      <c r="Y102" s="1556"/>
      <c r="Z102" s="1556"/>
      <c r="AA102" s="1556"/>
      <c r="AB102" s="1556"/>
      <c r="AC102" s="1556"/>
      <c r="AD102" s="1556"/>
      <c r="AE102" s="1556"/>
      <c r="AF102" s="1556"/>
      <c r="AG102" s="1556"/>
      <c r="AH102" s="1556"/>
      <c r="AI102" s="1556"/>
      <c r="AJ102" s="1556"/>
      <c r="AK102" s="1556"/>
      <c r="AL102" s="1556"/>
      <c r="AM102" s="1556"/>
      <c r="AN102" s="1556"/>
      <c r="AO102" s="1556"/>
      <c r="AP102" s="1556"/>
      <c r="AQ102" s="1556"/>
      <c r="AR102" s="1556"/>
      <c r="AS102" s="1556"/>
      <c r="AT102" s="1556"/>
      <c r="AU102" s="20"/>
      <c r="AV102" s="20"/>
      <c r="AW102" s="20"/>
      <c r="AX102" s="20"/>
      <c r="AY102" s="20"/>
      <c r="AZ102" s="20"/>
      <c r="BD102" s="3" t="s">
        <v>2600</v>
      </c>
      <c r="BE102" t="b">
        <f>T197="Yes"</f>
        <v>0</v>
      </c>
    </row>
    <row r="103" spans="1:57" ht="12.95" customHeight="1">
      <c r="A103" s="1556"/>
      <c r="B103" s="1556"/>
      <c r="C103" s="1556"/>
      <c r="D103" s="1556"/>
      <c r="E103" s="1556"/>
      <c r="F103" s="1556"/>
      <c r="G103" s="1556"/>
      <c r="H103" s="1556"/>
      <c r="I103" s="1556"/>
      <c r="J103" s="1556"/>
      <c r="K103" s="1556"/>
      <c r="L103" s="1556"/>
      <c r="M103" s="1556"/>
      <c r="N103" s="1556"/>
      <c r="O103" s="1556"/>
      <c r="P103" s="1556"/>
      <c r="Q103" s="1556"/>
      <c r="R103" s="1556"/>
      <c r="S103" s="1556"/>
      <c r="T103" s="1556"/>
      <c r="U103" s="1556"/>
      <c r="V103" s="1556"/>
      <c r="W103" s="1556"/>
      <c r="X103" s="1556"/>
      <c r="Y103" s="1556"/>
      <c r="Z103" s="1556"/>
      <c r="AA103" s="1556"/>
      <c r="AB103" s="1556"/>
      <c r="AC103" s="1556"/>
      <c r="AD103" s="1556"/>
      <c r="AE103" s="1556"/>
      <c r="AF103" s="1556"/>
      <c r="AG103" s="1556"/>
      <c r="AH103" s="1556"/>
      <c r="AI103" s="1556"/>
      <c r="AJ103" s="1556"/>
      <c r="AK103" s="1556"/>
      <c r="AL103" s="1556"/>
      <c r="AM103" s="1556"/>
      <c r="AN103" s="1556"/>
      <c r="AO103" s="1556"/>
      <c r="AP103" s="1556"/>
      <c r="AQ103" s="1556"/>
      <c r="AR103" s="1556"/>
      <c r="AS103" s="1556"/>
      <c r="AT103" s="1556"/>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6" t="s">
        <v>2168</v>
      </c>
      <c r="B105" s="1556"/>
      <c r="C105" s="1556"/>
      <c r="D105" s="1556"/>
      <c r="E105" s="1556"/>
      <c r="F105" s="1556"/>
      <c r="G105" s="1556"/>
      <c r="H105" s="1556"/>
      <c r="I105" s="1556"/>
      <c r="J105" s="1556"/>
      <c r="K105" s="1556"/>
      <c r="L105" s="1556"/>
      <c r="M105" s="1556"/>
      <c r="N105" s="1556"/>
      <c r="O105" s="1556"/>
      <c r="P105" s="1556"/>
      <c r="Q105" s="1556"/>
      <c r="R105" s="1556"/>
      <c r="S105" s="1556"/>
      <c r="T105" s="1556"/>
      <c r="U105" s="1556"/>
      <c r="V105" s="1556"/>
      <c r="W105" s="1556"/>
      <c r="X105" s="1556"/>
      <c r="Y105" s="1556"/>
      <c r="Z105" s="1556"/>
      <c r="AA105" s="1556"/>
      <c r="AB105" s="1556"/>
      <c r="AC105" s="1556"/>
      <c r="AD105" s="1556"/>
      <c r="AE105" s="1556"/>
      <c r="AF105" s="1556"/>
      <c r="AG105" s="1556"/>
      <c r="AH105" s="1556"/>
      <c r="AI105" s="1556"/>
      <c r="AJ105" s="1556"/>
      <c r="AK105" s="1556"/>
      <c r="AL105" s="1556"/>
      <c r="AM105" s="1556"/>
      <c r="AN105" s="1556"/>
      <c r="AO105" s="1556"/>
      <c r="AP105" s="1556"/>
      <c r="AQ105" s="1556"/>
      <c r="AR105" s="1556"/>
      <c r="AS105" s="1556"/>
      <c r="AT105" s="1556"/>
      <c r="AU105" s="20"/>
      <c r="AV105" s="20"/>
      <c r="AW105" s="20"/>
      <c r="AX105" s="20"/>
      <c r="AY105" s="20"/>
    </row>
    <row r="106" spans="1:57" ht="12.95" customHeight="1">
      <c r="A106" s="1556"/>
      <c r="B106" s="1556"/>
      <c r="C106" s="1556"/>
      <c r="D106" s="1556"/>
      <c r="E106" s="1556"/>
      <c r="F106" s="1556"/>
      <c r="G106" s="1556"/>
      <c r="H106" s="1556"/>
      <c r="I106" s="1556"/>
      <c r="J106" s="1556"/>
      <c r="K106" s="1556"/>
      <c r="L106" s="1556"/>
      <c r="M106" s="1556"/>
      <c r="N106" s="1556"/>
      <c r="O106" s="1556"/>
      <c r="P106" s="1556"/>
      <c r="Q106" s="1556"/>
      <c r="R106" s="1556"/>
      <c r="S106" s="1556"/>
      <c r="T106" s="1556"/>
      <c r="U106" s="1556"/>
      <c r="V106" s="1556"/>
      <c r="W106" s="1556"/>
      <c r="X106" s="1556"/>
      <c r="Y106" s="1556"/>
      <c r="Z106" s="1556"/>
      <c r="AA106" s="1556"/>
      <c r="AB106" s="1556"/>
      <c r="AC106" s="1556"/>
      <c r="AD106" s="1556"/>
      <c r="AE106" s="1556"/>
      <c r="AF106" s="1556"/>
      <c r="AG106" s="1556"/>
      <c r="AH106" s="1556"/>
      <c r="AI106" s="1556"/>
      <c r="AJ106" s="1556"/>
      <c r="AK106" s="1556"/>
      <c r="AL106" s="1556"/>
      <c r="AM106" s="1556"/>
      <c r="AN106" s="1556"/>
      <c r="AO106" s="1556"/>
      <c r="AP106" s="1556"/>
      <c r="AQ106" s="1556"/>
      <c r="AR106" s="1556"/>
      <c r="AS106" s="1556"/>
      <c r="AT106" s="1556"/>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8">
        <v>5</v>
      </c>
      <c r="H113" s="1548"/>
      <c r="I113" s="3" t="s">
        <v>182</v>
      </c>
      <c r="L113" s="1548" t="s">
        <v>2619</v>
      </c>
      <c r="M113" s="1548"/>
      <c r="N113" s="1548"/>
      <c r="O113" s="1548"/>
      <c r="P113" s="1564" t="s">
        <v>2241</v>
      </c>
      <c r="Q113" s="1564"/>
      <c r="R113" s="1564"/>
      <c r="S113" s="156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9" t="s">
        <v>2620</v>
      </c>
      <c r="D115" s="1549"/>
      <c r="E115" s="1549"/>
      <c r="F115" s="1549"/>
      <c r="G115" s="1549"/>
      <c r="H115" s="1549"/>
      <c r="I115" s="1549"/>
      <c r="J115" s="1549"/>
      <c r="K115" s="1549"/>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8"/>
      <c r="Z117" s="1548"/>
      <c r="AA117" s="1548"/>
      <c r="AB117" s="1548"/>
      <c r="AC117" s="1548"/>
      <c r="AD117" s="1548"/>
      <c r="AE117" s="1548"/>
      <c r="AF117" s="1548"/>
      <c r="AG117" s="1548"/>
      <c r="AH117" s="1548"/>
      <c r="AI117" s="1548"/>
      <c r="AJ117" s="1548"/>
      <c r="AK117" s="1548"/>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8" t="s">
        <v>2617</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5" t="s">
        <v>470</v>
      </c>
      <c r="CV122" s="1696"/>
      <c r="CW122" s="14"/>
      <c r="CX122" s="14" t="s">
        <v>635</v>
      </c>
      <c r="CY122" s="14"/>
      <c r="CZ122" s="14"/>
      <c r="DA122" s="14"/>
      <c r="DB122" s="14"/>
      <c r="DC122" s="14"/>
      <c r="DD122" s="14"/>
      <c r="DE122" s="14"/>
      <c r="DF122" s="14"/>
      <c r="DG122" s="1692" t="str">
        <f>T189</f>
        <v>Santa Barbara</v>
      </c>
      <c r="DH122" s="1693"/>
      <c r="DI122" s="1693"/>
      <c r="DJ122" s="1693"/>
      <c r="DK122" s="1693"/>
      <c r="DL122" s="1693"/>
      <c r="DM122" s="1694"/>
    </row>
    <row r="123" spans="1:117" ht="12.95" customHeight="1">
      <c r="A123" s="3"/>
      <c r="B123" s="3"/>
      <c r="T123" s="3"/>
      <c r="U123" s="3"/>
      <c r="V123" s="3"/>
      <c r="W123" s="3"/>
      <c r="X123" s="3"/>
      <c r="Y123" s="1548" t="s">
        <v>2618</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407" t="s">
        <v>2622</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525" t="s">
        <v>2623</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4" t="s">
        <v>441</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07" t="s">
        <v>2624</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2611</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07" t="s">
        <v>2616</v>
      </c>
      <c r="P157" s="1528"/>
      <c r="Q157" s="1528"/>
      <c r="R157" s="1528"/>
      <c r="S157" s="1528"/>
      <c r="T157" s="1528"/>
      <c r="U157" s="1528"/>
      <c r="V157" s="1528"/>
      <c r="W157" s="1528"/>
      <c r="X157" s="152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9">
        <v>93454</v>
      </c>
      <c r="P158" s="1559"/>
      <c r="Q158" s="1559"/>
      <c r="R158" s="1559"/>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4">
        <v>8059250951</v>
      </c>
      <c r="P159" s="1554"/>
      <c r="Q159" s="1554"/>
      <c r="R159" s="1554"/>
      <c r="S159" s="1554"/>
      <c r="T159" s="1554"/>
      <c r="V159" s="97" t="s">
        <v>271</v>
      </c>
      <c r="W159" s="1560">
        <v>2200</v>
      </c>
      <c r="X159" s="1560"/>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4">
        <v>8053490657</v>
      </c>
      <c r="P160" s="1554"/>
      <c r="Q160" s="1554"/>
      <c r="R160" s="1554"/>
      <c r="S160" s="1554"/>
      <c r="T160" s="1554"/>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541" t="s">
        <v>2625</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550" t="s">
        <v>2218</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536" t="s">
        <v>540</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533" t="s">
        <v>371</v>
      </c>
      <c r="K173" s="1533"/>
      <c r="L173" s="1533"/>
      <c r="M173" s="1533"/>
      <c r="N173" s="1533"/>
      <c r="O173" s="1533"/>
      <c r="P173" s="1533"/>
      <c r="Q173" s="1533"/>
      <c r="R173" s="1533"/>
      <c r="S173" s="1533"/>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408" t="s">
        <v>2103</v>
      </c>
      <c r="K174" s="1408"/>
      <c r="L174" s="1408"/>
      <c r="M174" s="1408"/>
      <c r="N174" s="1408"/>
      <c r="O174" s="1408"/>
      <c r="P174" s="1408"/>
      <c r="Q174" s="1408"/>
      <c r="R174" s="1408"/>
      <c r="S174" s="1408"/>
      <c r="T174" s="1408"/>
      <c r="U174" s="1408"/>
      <c r="V174" s="1408"/>
      <c r="W174" s="1408"/>
      <c r="X174" s="1408"/>
      <c r="Y174" s="1408"/>
      <c r="Z174" s="1408"/>
      <c r="AA174" s="1408"/>
      <c r="AB174" s="1408"/>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416" t="s">
        <v>670</v>
      </c>
      <c r="V175" s="1416"/>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512"/>
      <c r="V176" s="1512"/>
      <c r="W176" s="1" t="s">
        <v>306</v>
      </c>
      <c r="X176" s="1568"/>
      <c r="Y176" s="1568"/>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416"/>
      <c r="S177" s="1416"/>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567"/>
      <c r="AG178" s="1567"/>
      <c r="AH178" s="1" t="s">
        <v>306</v>
      </c>
      <c r="AI178" s="1448"/>
      <c r="AJ178" s="1448"/>
      <c r="AK178" s="1448"/>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416" t="s">
        <v>670</v>
      </c>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486" t="str">
        <f>H18</f>
        <v>The Perlman</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71" t="s">
        <v>2615</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07" t="s">
        <v>2616</v>
      </c>
      <c r="J189" s="1408"/>
      <c r="K189" s="1408"/>
      <c r="L189" s="1408"/>
      <c r="M189" s="1408"/>
      <c r="N189" s="1408"/>
      <c r="O189" s="1408"/>
      <c r="P189" s="1408"/>
      <c r="Q189" t="s">
        <v>583</v>
      </c>
      <c r="T189" s="1408" t="s">
        <v>191</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71">
        <v>93454</v>
      </c>
      <c r="J190" s="1371"/>
      <c r="K190" s="1371"/>
      <c r="L190" s="1371"/>
      <c r="M190" s="1371"/>
      <c r="N190" s="1371"/>
      <c r="O190" t="s">
        <v>586</v>
      </c>
      <c r="T190" s="1557">
        <v>22.06</v>
      </c>
      <c r="U190" s="1557"/>
      <c r="V190" s="1557"/>
      <c r="W190" s="1557"/>
      <c r="X190" s="1557"/>
      <c r="Y190" s="1557"/>
      <c r="Z190" s="1557"/>
      <c r="AA190" s="1557"/>
      <c r="AB190" s="1557"/>
      <c r="AC190" s="1557"/>
      <c r="AD190" s="1557"/>
      <c r="AE190" s="1557"/>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553" t="s">
        <v>2626</v>
      </c>
      <c r="O191" s="1531"/>
      <c r="P191" s="1531"/>
      <c r="Q191" s="1531"/>
      <c r="R191" s="1531"/>
      <c r="S191" s="1531"/>
      <c r="T191" s="1531"/>
      <c r="U191" s="1531"/>
      <c r="V191" s="1531"/>
      <c r="W191" s="1531"/>
      <c r="X191" s="1531"/>
      <c r="Y191" s="1531"/>
      <c r="Z191" s="1531"/>
      <c r="AA191" s="1531"/>
      <c r="AB191" s="1531"/>
      <c r="AC191" s="1531"/>
      <c r="AD191" s="1531"/>
      <c r="AE191" s="1531"/>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1044</v>
      </c>
      <c r="BH192" s="3" t="s">
        <v>1366</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561" t="s">
        <v>2215</v>
      </c>
      <c r="U193" s="1562"/>
      <c r="V193" s="1562"/>
      <c r="W193" s="1562"/>
      <c r="X193" s="1562"/>
      <c r="Y193" s="1562"/>
      <c r="Z193" s="1562"/>
      <c r="AA193" s="1562"/>
      <c r="AB193" s="1562"/>
      <c r="AC193" s="1562"/>
      <c r="AD193" s="1562"/>
      <c r="AE193" s="1562"/>
      <c r="AF193" s="1562"/>
      <c r="AG193" s="1562"/>
      <c r="AH193" s="1562"/>
      <c r="AI193" s="1562"/>
      <c r="BC193" t="s">
        <v>1043</v>
      </c>
      <c r="BH193" s="3" t="s">
        <v>1631</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416" t="s">
        <v>670</v>
      </c>
      <c r="AI194" s="1416"/>
      <c r="BC194" t="s">
        <v>1366</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416" t="s">
        <v>670</v>
      </c>
      <c r="U195" s="1416"/>
      <c r="W195" t="s">
        <v>685</v>
      </c>
      <c r="AH195" s="1416">
        <v>24</v>
      </c>
      <c r="AI195" s="1416"/>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28" t="s">
        <v>546</v>
      </c>
      <c r="U196" s="1428"/>
      <c r="W196" t="s">
        <v>686</v>
      </c>
      <c r="AH196" s="1416">
        <v>37</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28" t="s">
        <v>670</v>
      </c>
      <c r="U197" s="1428"/>
      <c r="W197" t="s">
        <v>687</v>
      </c>
      <c r="AH197" s="1416">
        <v>21</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1654</v>
      </c>
      <c r="E198"/>
      <c r="F198"/>
      <c r="G198"/>
      <c r="H198"/>
      <c r="I198"/>
      <c r="J198"/>
      <c r="K198"/>
      <c r="L198"/>
      <c r="M198"/>
      <c r="N198"/>
      <c r="O198"/>
      <c r="P198"/>
      <c r="Q198"/>
      <c r="R198"/>
      <c r="S198"/>
      <c r="T198" s="1428"/>
      <c r="U198" s="1428"/>
      <c r="V198"/>
      <c r="X198" s="1537" t="s">
        <v>2515</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416" t="s">
        <v>670</v>
      </c>
      <c r="U199" s="1416"/>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486" t="s">
        <v>385</v>
      </c>
      <c r="E204" s="1486"/>
      <c r="F204" s="1486"/>
      <c r="G204" s="1486"/>
      <c r="H204" s="1486"/>
      <c r="I204" s="1486"/>
      <c r="J204" s="1486"/>
      <c r="K204" s="1486"/>
      <c r="L204" s="1486"/>
      <c r="M204" s="1486"/>
      <c r="P204" s="1551">
        <f>M26</f>
        <v>3222718</v>
      </c>
      <c r="Q204" s="1552"/>
      <c r="R204" s="1552"/>
      <c r="S204" s="1552"/>
      <c r="T204" s="1552"/>
      <c r="U204" s="1552"/>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539" t="s">
        <v>1249</v>
      </c>
      <c r="E205" s="1486"/>
      <c r="F205" s="1486"/>
      <c r="G205" s="1486"/>
      <c r="H205" s="1486"/>
      <c r="I205" s="1486"/>
      <c r="J205" s="1486"/>
      <c r="K205" s="1486"/>
      <c r="L205" s="1486"/>
      <c r="M205" s="1486"/>
      <c r="P205" s="1552">
        <f>M27</f>
        <v>0</v>
      </c>
      <c r="Q205" s="1552"/>
      <c r="R205" s="1552"/>
      <c r="S205" s="1552"/>
      <c r="T205" s="1552"/>
      <c r="U205" s="1552"/>
      <c r="V205" s="28"/>
      <c r="W205" s="3" t="s">
        <v>1722</v>
      </c>
      <c r="Z205" s="1535" t="s">
        <v>2221</v>
      </c>
      <c r="AA205" s="1535"/>
      <c r="AB205" s="1535"/>
      <c r="AC205" s="1535"/>
      <c r="AD205" s="1535"/>
      <c r="AE205" s="1535"/>
      <c r="AF205" s="1535"/>
      <c r="AG205" s="1535"/>
      <c r="AH205" s="1535"/>
      <c r="AI205" s="1535"/>
      <c r="AJ205" s="1535"/>
      <c r="AK205" s="1535"/>
      <c r="AL205" s="1535"/>
      <c r="AM205" s="1535"/>
      <c r="AN205" s="1535"/>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528" t="s">
        <v>2627</v>
      </c>
      <c r="E208" s="1528"/>
      <c r="F208" s="1528"/>
      <c r="G208" s="1528"/>
      <c r="H208" s="1528"/>
      <c r="I208" s="1528"/>
      <c r="J208" s="1528"/>
      <c r="K208" s="1528"/>
      <c r="L208" s="1528"/>
      <c r="M208" s="1528"/>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8" t="s">
        <v>1042</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416"/>
      <c r="R212" s="1416"/>
      <c r="T212" s="1565">
        <f>IFERROR(Q212/AG440,0)</f>
        <v>0</v>
      </c>
      <c r="U212" s="1566"/>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47" t="s">
        <v>592</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1655</v>
      </c>
      <c r="Z215" s="40"/>
      <c r="AB215" s="1522"/>
      <c r="AC215" s="1522"/>
      <c r="AD215" s="1522"/>
      <c r="AE215" s="1522"/>
      <c r="AF215" s="1522"/>
      <c r="AG215" s="1522"/>
      <c r="AH215" s="1522"/>
      <c r="AI215" s="1522"/>
      <c r="AJ215" s="1522"/>
      <c r="AK215" s="1522"/>
      <c r="AL215" s="1522"/>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1653</v>
      </c>
      <c r="Z216" s="40"/>
      <c r="AB216" s="1522"/>
      <c r="AC216" s="1522"/>
      <c r="AD216" s="1522"/>
      <c r="AE216" s="1522"/>
      <c r="AF216" s="1522"/>
      <c r="AG216" s="1522"/>
      <c r="AH216" s="1522"/>
      <c r="AI216" s="1522"/>
      <c r="AJ216" s="1522"/>
      <c r="AK216" s="1522"/>
      <c r="AL216" s="1522"/>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528" t="s">
        <v>2208</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38" t="s">
        <v>2466</v>
      </c>
      <c r="AD220" s="1538"/>
      <c r="AE220" s="1538"/>
      <c r="AF220" s="1538"/>
      <c r="AG220" s="1538"/>
      <c r="AH220" s="1538"/>
      <c r="AI220" s="1538"/>
      <c r="AJ220" s="1538"/>
      <c r="AK220" s="1538"/>
      <c r="AL220" s="1538"/>
      <c r="AM220" s="1538"/>
      <c r="AN220" s="1538"/>
      <c r="AO220" s="1538"/>
      <c r="AP220" s="1538"/>
      <c r="AQ220" s="1538"/>
      <c r="BA220" s="3"/>
      <c r="BC220" t="s">
        <v>300</v>
      </c>
    </row>
    <row r="221" spans="1:108" ht="12.95" customHeight="1">
      <c r="A221" s="2"/>
      <c r="B221" s="14"/>
      <c r="C221" s="2"/>
      <c r="BA221" s="3"/>
    </row>
    <row r="222" spans="1:108" ht="12.95" customHeight="1">
      <c r="A222" s="1536" t="s">
        <v>541</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2.9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546</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592</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558" t="str">
        <f>H16</f>
        <v>Community Revitalization &amp; Development Corporation</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05" t="s">
        <v>539</v>
      </c>
      <c r="BG232" s="241">
        <f>IF(AND(AND($M$249="nonprofit",$M$257="nonprofit",$M$265="for profit")),2,0)</f>
        <v>0</v>
      </c>
    </row>
    <row r="233" spans="1:59" ht="12.95" customHeight="1">
      <c r="D233" s="4" t="s">
        <v>85</v>
      </c>
      <c r="E233" s="4"/>
      <c r="F233" s="4"/>
      <c r="G233" s="4"/>
      <c r="H233" s="4"/>
      <c r="I233" s="4"/>
      <c r="J233" s="4"/>
      <c r="K233" s="4"/>
      <c r="M233" s="1407" t="s">
        <v>2628</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539</v>
      </c>
      <c r="BG233" s="241">
        <f>IF(AND(AND($M$249="nonprofit",$M$257="for profit",$M$265="nonprofit")),2,0)</f>
        <v>0</v>
      </c>
    </row>
    <row r="234" spans="1:59" ht="12.95" customHeight="1">
      <c r="D234" s="4" t="s">
        <v>581</v>
      </c>
      <c r="E234" s="4"/>
      <c r="M234" s="1407" t="s">
        <v>2629</v>
      </c>
      <c r="N234" s="1528"/>
      <c r="O234" s="1528"/>
      <c r="P234" s="1528"/>
      <c r="Q234" s="1528"/>
      <c r="R234" s="1528"/>
      <c r="S234" s="1528"/>
      <c r="T234" s="1528"/>
      <c r="V234" s="33" t="s">
        <v>86</v>
      </c>
      <c r="W234" s="1525" t="s">
        <v>2630</v>
      </c>
      <c r="X234" s="1474"/>
      <c r="Y234" s="4" t="s">
        <v>584</v>
      </c>
      <c r="AC234" s="1528">
        <v>96001</v>
      </c>
      <c r="AD234" s="1528"/>
      <c r="AE234" s="152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07" t="s">
        <v>2617</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2.95" customHeight="1">
      <c r="D236" s="4" t="s">
        <v>88</v>
      </c>
      <c r="E236" s="4"/>
      <c r="F236" s="4"/>
      <c r="M236" s="1490">
        <v>5302416960</v>
      </c>
      <c r="N236" s="1490"/>
      <c r="O236" s="1490"/>
      <c r="P236" s="1490"/>
      <c r="Q236" s="1490"/>
      <c r="R236" s="1490"/>
      <c r="S236" s="4" t="s">
        <v>206</v>
      </c>
      <c r="T236" s="4"/>
      <c r="U236" s="1474"/>
      <c r="V236" s="1474"/>
      <c r="W236" s="1474"/>
      <c r="X236" s="4" t="s">
        <v>89</v>
      </c>
      <c r="Z236" s="1490"/>
      <c r="AA236" s="1490"/>
      <c r="AB236" s="1490"/>
      <c r="AC236" s="1490"/>
      <c r="AD236" s="1490"/>
      <c r="AE236" s="1490"/>
      <c r="AU236" s="4"/>
      <c r="AV236" s="4"/>
      <c r="AW236" s="4"/>
      <c r="AX236" s="4"/>
      <c r="AY236" s="4"/>
      <c r="AZ236" s="4"/>
      <c r="BB236" s="204" t="s">
        <v>538</v>
      </c>
      <c r="BG236" s="241">
        <f>IF(AND(AND($M$249="nonprofit",$M$257="nonprofit",$M$265="(select one)")),1,0)</f>
        <v>0</v>
      </c>
    </row>
    <row r="237" spans="1:59" ht="12.95" customHeight="1">
      <c r="D237" s="4" t="s">
        <v>90</v>
      </c>
      <c r="E237" s="4"/>
      <c r="F237" s="4"/>
      <c r="M237" s="1541" t="s">
        <v>2631</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63"/>
      <c r="AB238" s="1563"/>
      <c r="AC238" s="1563"/>
      <c r="AD238" s="1563"/>
      <c r="AE238" s="1563"/>
      <c r="AF238" s="1563"/>
      <c r="AG238" s="1563"/>
      <c r="AH238" s="1563"/>
      <c r="AI238" s="1563"/>
      <c r="AJ238" s="1563"/>
      <c r="AK238" s="1563"/>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69" t="s">
        <v>2632</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2633</v>
      </c>
      <c r="AG243" s="1543"/>
      <c r="AH243" s="1543"/>
      <c r="AI243" s="1543"/>
      <c r="AJ243" s="1543"/>
      <c r="AK243" s="154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07" t="s">
        <v>2628</v>
      </c>
      <c r="N244" s="1528"/>
      <c r="O244" s="1528"/>
      <c r="P244" s="1528"/>
      <c r="Q244" s="1528"/>
      <c r="R244" s="1528"/>
      <c r="S244" s="1528"/>
      <c r="T244" s="1528"/>
      <c r="U244" s="1528"/>
      <c r="V244" s="1528"/>
      <c r="W244" s="1528"/>
      <c r="X244" s="1528"/>
      <c r="Y244" s="1528"/>
      <c r="Z244" s="1528"/>
      <c r="AA244" s="1528"/>
      <c r="AB244" s="1528"/>
      <c r="AC244" s="1528"/>
      <c r="AD244" s="1528"/>
      <c r="AE244" s="152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07" t="s">
        <v>2629</v>
      </c>
      <c r="N245" s="1528"/>
      <c r="O245" s="1528"/>
      <c r="P245" s="1528"/>
      <c r="Q245" s="1528"/>
      <c r="R245" s="1528"/>
      <c r="S245" s="1528"/>
      <c r="T245" s="1528"/>
      <c r="V245" s="33" t="s">
        <v>86</v>
      </c>
      <c r="W245" s="1525" t="s">
        <v>2630</v>
      </c>
      <c r="X245" s="1474"/>
      <c r="Y245" s="4" t="s">
        <v>584</v>
      </c>
      <c r="AC245" s="1528">
        <v>96001</v>
      </c>
      <c r="AD245" s="1528"/>
      <c r="AE245" s="1528"/>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07" t="s">
        <v>2617</v>
      </c>
      <c r="N246" s="1528"/>
      <c r="O246" s="1528"/>
      <c r="P246" s="1528"/>
      <c r="Q246" s="1528"/>
      <c r="R246" s="1528"/>
      <c r="S246" s="1528"/>
      <c r="T246" s="1528"/>
      <c r="U246" s="1528"/>
      <c r="V246" s="1528"/>
      <c r="W246" s="1528"/>
      <c r="X246" s="1528"/>
      <c r="Y246" s="1528"/>
      <c r="Z246" s="1528"/>
      <c r="AA246" s="1528"/>
      <c r="AB246" s="1528"/>
      <c r="AC246" s="1528"/>
      <c r="AD246" s="1528"/>
      <c r="AE246" s="1528"/>
      <c r="AH246" s="1540">
        <v>0.01</v>
      </c>
      <c r="AI246" s="1540"/>
      <c r="AJ246" s="1540"/>
      <c r="AK246" s="154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90">
        <v>5302416960</v>
      </c>
      <c r="N247" s="1490"/>
      <c r="O247" s="1490"/>
      <c r="P247" s="1490"/>
      <c r="Q247" s="1490"/>
      <c r="R247" s="1490"/>
      <c r="S247" s="4" t="s">
        <v>206</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2.95" customHeight="1">
      <c r="A248" s="19"/>
      <c r="B248" s="4"/>
      <c r="C248" s="4"/>
      <c r="D248" s="4" t="s">
        <v>90</v>
      </c>
      <c r="E248" s="4"/>
      <c r="F248" s="4"/>
      <c r="M248" s="1541" t="s">
        <v>2639</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3"/>
      <c r="AB249" s="1563"/>
      <c r="AC249" s="1563"/>
      <c r="AD249" s="1563"/>
      <c r="AE249" s="1563"/>
      <c r="AF249" s="1563"/>
      <c r="AG249" s="1563"/>
      <c r="AH249" s="1563"/>
      <c r="AI249" s="1563"/>
      <c r="AJ249" s="1563"/>
      <c r="AK249" s="1563"/>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69" t="s">
        <v>2729</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2634</v>
      </c>
      <c r="AG251" s="1543"/>
      <c r="AH251" s="1543"/>
      <c r="AI251" s="1543"/>
      <c r="AJ251" s="1543"/>
      <c r="AK251" s="1543"/>
      <c r="AU251" s="4"/>
      <c r="AV251" s="4"/>
      <c r="AW251" s="4"/>
      <c r="AX251" s="4"/>
      <c r="AY251" s="4"/>
      <c r="BN251" s="34"/>
    </row>
    <row r="252" spans="1:67" ht="12.95" customHeight="1">
      <c r="A252" s="19"/>
      <c r="B252" s="4"/>
      <c r="C252" s="4"/>
      <c r="D252" s="4" t="s">
        <v>85</v>
      </c>
      <c r="E252" s="4"/>
      <c r="F252" s="4"/>
      <c r="G252" s="4"/>
      <c r="H252" s="4"/>
      <c r="I252" s="4"/>
      <c r="J252" s="4"/>
      <c r="K252" s="4"/>
      <c r="L252" s="4"/>
      <c r="M252" s="1407" t="s">
        <v>2635</v>
      </c>
      <c r="N252" s="1528"/>
      <c r="O252" s="1528"/>
      <c r="P252" s="1528"/>
      <c r="Q252" s="1528"/>
      <c r="R252" s="1528"/>
      <c r="S252" s="1528"/>
      <c r="T252" s="1528"/>
      <c r="U252" s="1528"/>
      <c r="V252" s="1528"/>
      <c r="W252" s="1528"/>
      <c r="X252" s="1528"/>
      <c r="Y252" s="1528"/>
      <c r="Z252" s="1528"/>
      <c r="AA252" s="1528"/>
      <c r="AB252" s="1528"/>
      <c r="AC252" s="1528"/>
      <c r="AD252" s="1528"/>
      <c r="AE252" s="1528"/>
      <c r="AF252" s="3" t="s">
        <v>1180</v>
      </c>
      <c r="AL252" s="4"/>
      <c r="AM252" s="4"/>
      <c r="AN252" s="4"/>
      <c r="AO252" s="4"/>
      <c r="AP252" s="4"/>
      <c r="AQ252" s="4"/>
      <c r="AR252" s="4"/>
      <c r="AS252" s="4"/>
      <c r="AT252" s="4"/>
      <c r="BN252" s="34"/>
    </row>
    <row r="253" spans="1:67" ht="12.95" customHeight="1">
      <c r="A253" s="19"/>
      <c r="B253" s="4"/>
      <c r="C253" s="4"/>
      <c r="D253" s="4" t="s">
        <v>581</v>
      </c>
      <c r="E253" s="4"/>
      <c r="M253" s="1407" t="s">
        <v>2620</v>
      </c>
      <c r="N253" s="1528"/>
      <c r="O253" s="1528"/>
      <c r="P253" s="1528"/>
      <c r="Q253" s="1528"/>
      <c r="R253" s="1528"/>
      <c r="S253" s="1528"/>
      <c r="T253" s="1528"/>
      <c r="V253" s="33" t="s">
        <v>86</v>
      </c>
      <c r="W253" s="1525" t="s">
        <v>2630</v>
      </c>
      <c r="X253" s="1474"/>
      <c r="Y253" s="4" t="s">
        <v>584</v>
      </c>
      <c r="AC253" s="1528">
        <v>95521</v>
      </c>
      <c r="AD253" s="1528"/>
      <c r="AE253" s="152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07" t="s">
        <v>2636</v>
      </c>
      <c r="N254" s="1528"/>
      <c r="O254" s="1528"/>
      <c r="P254" s="1528"/>
      <c r="Q254" s="1528"/>
      <c r="R254" s="1528"/>
      <c r="S254" s="1528"/>
      <c r="T254" s="1528"/>
      <c r="U254" s="1528"/>
      <c r="V254" s="1528"/>
      <c r="W254" s="1528"/>
      <c r="X254" s="1528"/>
      <c r="Y254" s="1528"/>
      <c r="Z254" s="1528"/>
      <c r="AA254" s="1528"/>
      <c r="AB254" s="1528"/>
      <c r="AC254" s="1528"/>
      <c r="AD254" s="1528"/>
      <c r="AE254" s="1528"/>
      <c r="AH254" s="1540">
        <v>0.09</v>
      </c>
      <c r="AI254" s="1540"/>
      <c r="AJ254" s="1540"/>
      <c r="AK254" s="1540"/>
      <c r="AL254" s="4"/>
      <c r="AM254" s="4"/>
      <c r="AN254" s="4"/>
      <c r="AO254" s="4"/>
      <c r="AP254" s="4"/>
      <c r="AQ254" s="4"/>
      <c r="AR254" s="4"/>
      <c r="AS254" s="4"/>
      <c r="AT254" s="4"/>
    </row>
    <row r="255" spans="1:67" ht="12.95" customHeight="1">
      <c r="A255" s="19"/>
      <c r="B255" s="4"/>
      <c r="C255" s="4"/>
      <c r="D255" s="4" t="s">
        <v>88</v>
      </c>
      <c r="E255" s="4"/>
      <c r="F255" s="4"/>
      <c r="M255" s="1490">
        <v>7078229000</v>
      </c>
      <c r="N255" s="1490"/>
      <c r="O255" s="1490"/>
      <c r="P255" s="1490"/>
      <c r="Q255" s="1490"/>
      <c r="R255" s="1490"/>
      <c r="S255" s="4" t="s">
        <v>206</v>
      </c>
      <c r="T255" s="4"/>
      <c r="U255" s="1474"/>
      <c r="V255" s="1474"/>
      <c r="W255" s="1474"/>
      <c r="X255" s="4" t="s">
        <v>89</v>
      </c>
      <c r="Z255" s="1490"/>
      <c r="AA255" s="1490"/>
      <c r="AB255" s="1490"/>
      <c r="AC255" s="1490"/>
      <c r="AD255" s="1490"/>
      <c r="AE255" s="1490"/>
      <c r="AU255" s="4"/>
      <c r="AV255" s="4"/>
      <c r="AW255" s="4"/>
      <c r="AX255" s="4"/>
      <c r="AY255" s="4"/>
      <c r="BN255" s="34"/>
    </row>
    <row r="256" spans="1:67" ht="12.95" customHeight="1">
      <c r="A256" s="19"/>
      <c r="B256" s="4"/>
      <c r="C256" s="4"/>
      <c r="D256" s="4" t="s">
        <v>90</v>
      </c>
      <c r="E256" s="4"/>
      <c r="F256" s="4"/>
      <c r="M256" s="1541" t="s">
        <v>2637</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1" t="s">
        <v>537</v>
      </c>
      <c r="N257" s="1371"/>
      <c r="O257" s="1371"/>
      <c r="P257" s="1371"/>
      <c r="Q257" s="1371"/>
      <c r="R257" s="1371"/>
      <c r="S257" s="1371"/>
      <c r="T257" s="1371"/>
      <c r="U257" s="204" t="s">
        <v>907</v>
      </c>
      <c r="V257" s="204"/>
      <c r="W257" s="204"/>
      <c r="X257" s="204"/>
      <c r="Y257" s="204"/>
      <c r="Z257" s="204"/>
      <c r="AA257" s="1577" t="s">
        <v>2638</v>
      </c>
      <c r="AB257" s="1563"/>
      <c r="AC257" s="1563"/>
      <c r="AD257" s="1563"/>
      <c r="AE257" s="1563"/>
      <c r="AF257" s="1563"/>
      <c r="AG257" s="1563"/>
      <c r="AH257" s="1563"/>
      <c r="AI257" s="1563"/>
      <c r="AJ257" s="1563"/>
      <c r="AK257" s="1563"/>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8"/>
      <c r="N260" s="1528"/>
      <c r="O260" s="1528"/>
      <c r="P260" s="1528"/>
      <c r="Q260" s="1528"/>
      <c r="R260" s="1528"/>
      <c r="S260" s="1528"/>
      <c r="T260" s="1528"/>
      <c r="U260" s="1528"/>
      <c r="V260" s="1528"/>
      <c r="W260" s="1528"/>
      <c r="X260" s="1528"/>
      <c r="Y260" s="1528"/>
      <c r="Z260" s="1528"/>
      <c r="AA260" s="1528"/>
      <c r="AB260" s="1528"/>
      <c r="AC260" s="1528"/>
      <c r="AD260" s="1528"/>
      <c r="AE260" s="152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8"/>
      <c r="N261" s="1528"/>
      <c r="O261" s="1528"/>
      <c r="P261" s="1528"/>
      <c r="Q261" s="1528"/>
      <c r="R261" s="1528"/>
      <c r="S261" s="1528"/>
      <c r="T261" s="1528"/>
      <c r="V261" s="33" t="s">
        <v>86</v>
      </c>
      <c r="W261" s="1474"/>
      <c r="X261" s="1474"/>
      <c r="Y261" s="4" t="s">
        <v>584</v>
      </c>
      <c r="AC261" s="1528"/>
      <c r="AD261" s="1528"/>
      <c r="AE261" s="152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8"/>
      <c r="N262" s="1528"/>
      <c r="O262" s="1528"/>
      <c r="P262" s="1528"/>
      <c r="Q262" s="1528"/>
      <c r="R262" s="1528"/>
      <c r="S262" s="1528"/>
      <c r="T262" s="1528"/>
      <c r="U262" s="1528"/>
      <c r="V262" s="1528"/>
      <c r="W262" s="1528"/>
      <c r="X262" s="1528"/>
      <c r="Y262" s="1528"/>
      <c r="Z262" s="1528"/>
      <c r="AA262" s="1528"/>
      <c r="AB262" s="1528"/>
      <c r="AC262" s="1528"/>
      <c r="AD262" s="1528"/>
      <c r="AE262" s="1528"/>
      <c r="AH262" s="1540"/>
      <c r="AI262" s="1540"/>
      <c r="AJ262" s="1540"/>
      <c r="AK262" s="154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0"/>
      <c r="N263" s="1490"/>
      <c r="O263" s="1490"/>
      <c r="P263" s="1490"/>
      <c r="Q263" s="1490"/>
      <c r="R263" s="1490"/>
      <c r="S263" s="4" t="s">
        <v>206</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4" t="s">
        <v>907</v>
      </c>
      <c r="V265" s="204"/>
      <c r="W265" s="204"/>
      <c r="X265" s="204"/>
      <c r="Y265" s="204"/>
      <c r="Z265" s="204"/>
      <c r="AA265" s="1578"/>
      <c r="AB265" s="1578"/>
      <c r="AC265" s="1578"/>
      <c r="AD265" s="1578"/>
      <c r="AE265" s="1578"/>
      <c r="AF265" s="1578"/>
      <c r="AG265" s="1578"/>
      <c r="AH265" s="1578"/>
      <c r="AI265" s="1578"/>
      <c r="AJ265" s="1578"/>
      <c r="AK265" s="15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528" t="s">
        <v>173</v>
      </c>
      <c r="E270" s="1528"/>
      <c r="F270" s="1528"/>
      <c r="G270" s="1528"/>
      <c r="H270" s="1528"/>
      <c r="J270" t="s">
        <v>279</v>
      </c>
      <c r="X270" s="1509">
        <v>46023</v>
      </c>
      <c r="Y270" s="1509"/>
      <c r="Z270" s="1509"/>
      <c r="AA270" s="1509"/>
      <c r="AB270" s="1509"/>
      <c r="AC270" s="150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43" t="s">
        <v>2640</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7" t="s">
        <v>2641</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5" customHeight="1">
      <c r="D276" s="4" t="s">
        <v>581</v>
      </c>
      <c r="E276" s="4"/>
      <c r="L276" s="1407" t="s">
        <v>2642</v>
      </c>
      <c r="M276" s="1528"/>
      <c r="N276" s="1528"/>
      <c r="O276" s="1528"/>
      <c r="P276" s="1528"/>
      <c r="Q276" s="1528"/>
      <c r="R276" s="1528"/>
      <c r="S276" s="1528"/>
      <c r="U276" s="33" t="s">
        <v>86</v>
      </c>
      <c r="V276" s="1525" t="s">
        <v>2630</v>
      </c>
      <c r="W276" s="1474"/>
      <c r="X276" s="4" t="s">
        <v>584</v>
      </c>
      <c r="AB276" s="1528">
        <v>95521</v>
      </c>
      <c r="AC276" s="1528"/>
      <c r="AD276" s="152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7" t="s">
        <v>2643</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5" customHeight="1">
      <c r="D278" s="4" t="s">
        <v>88</v>
      </c>
      <c r="E278" s="4"/>
      <c r="F278" s="4"/>
      <c r="L278" s="1490"/>
      <c r="M278" s="1490"/>
      <c r="N278" s="1490"/>
      <c r="O278" s="1490"/>
      <c r="P278" s="1490"/>
      <c r="Q278" s="1490"/>
      <c r="R278" s="4" t="s">
        <v>206</v>
      </c>
      <c r="S278" s="4"/>
      <c r="T278" s="1474"/>
      <c r="U278" s="1474"/>
      <c r="V278" s="1474"/>
      <c r="W278" s="4" t="s">
        <v>89</v>
      </c>
      <c r="Y278" s="1490"/>
      <c r="Z278" s="1490"/>
      <c r="AA278" s="1490"/>
      <c r="AB278" s="1490"/>
      <c r="AC278" s="1490"/>
      <c r="AD278" s="1490"/>
    </row>
    <row r="279" spans="1:51" ht="12.95" customHeight="1">
      <c r="D279" s="4" t="s">
        <v>90</v>
      </c>
      <c r="E279" s="4"/>
      <c r="F279" s="4"/>
      <c r="L279" s="1541"/>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2.95" customHeight="1">
      <c r="D280" s="3" t="s">
        <v>624</v>
      </c>
      <c r="E280" s="3"/>
      <c r="F280" s="3"/>
      <c r="G280" s="3"/>
      <c r="H280" s="3"/>
      <c r="I280" s="3"/>
      <c r="L280" s="1525"/>
      <c r="M280" s="1525"/>
      <c r="N280" s="1525"/>
      <c r="O280" s="1525"/>
      <c r="P280" s="1525"/>
      <c r="Q280" s="1525"/>
      <c r="R280" s="1525"/>
      <c r="S280" s="1525"/>
      <c r="T280" s="1525"/>
      <c r="U280" s="1525"/>
      <c r="V280" s="1525"/>
      <c r="W280" s="1525"/>
      <c r="X280" s="1525"/>
      <c r="Y280" s="1525"/>
      <c r="Z280" s="1525"/>
      <c r="AA280" s="1525"/>
      <c r="AB280" s="1525"/>
      <c r="AC280" s="1525"/>
      <c r="AD280" s="1525"/>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6" t="s">
        <v>542</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2.9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8" t="s">
        <v>2644</v>
      </c>
      <c r="I287" s="1408"/>
      <c r="J287" s="1408"/>
      <c r="K287" s="1408"/>
      <c r="L287" s="1408"/>
      <c r="M287" s="1408"/>
      <c r="N287" s="1408"/>
      <c r="O287" s="1408"/>
      <c r="P287" s="1408"/>
      <c r="Q287" s="1408"/>
      <c r="R287" s="1408"/>
      <c r="T287" s="3" t="s">
        <v>568</v>
      </c>
      <c r="V287" s="3"/>
      <c r="W287" s="3"/>
      <c r="X287" s="3"/>
      <c r="Y287" s="3"/>
      <c r="AA287" s="1407" t="s">
        <v>2684</v>
      </c>
      <c r="AB287" s="1408"/>
      <c r="AC287" s="1408"/>
      <c r="AD287" s="1408"/>
      <c r="AE287" s="1408"/>
      <c r="AF287" s="1408"/>
      <c r="AG287" s="1408"/>
      <c r="AH287" s="1408"/>
      <c r="AI287" s="1408"/>
      <c r="AJ287" s="1408"/>
      <c r="AK287" s="1408"/>
    </row>
    <row r="288" spans="1:51" ht="12.95" customHeight="1">
      <c r="B288" s="3" t="s">
        <v>472</v>
      </c>
      <c r="C288" s="3"/>
      <c r="D288" s="3"/>
      <c r="E288" s="3"/>
      <c r="F288" s="3"/>
      <c r="H288" s="1371" t="s">
        <v>2641</v>
      </c>
      <c r="I288" s="1371"/>
      <c r="J288" s="1371"/>
      <c r="K288" s="1371"/>
      <c r="L288" s="1371"/>
      <c r="M288" s="1371"/>
      <c r="N288" s="1371"/>
      <c r="O288" s="1371"/>
      <c r="P288" s="1371"/>
      <c r="Q288" s="1371"/>
      <c r="R288" s="1371"/>
      <c r="T288" s="3" t="s">
        <v>472</v>
      </c>
      <c r="V288" s="3"/>
      <c r="W288" s="3"/>
      <c r="X288" s="3"/>
      <c r="Y288" s="3"/>
      <c r="AA288" s="1525" t="s">
        <v>2685</v>
      </c>
      <c r="AB288" s="1371"/>
      <c r="AC288" s="1371"/>
      <c r="AD288" s="1371"/>
      <c r="AE288" s="1371"/>
      <c r="AF288" s="1371"/>
      <c r="AG288" s="1371"/>
      <c r="AH288" s="1371"/>
      <c r="AI288" s="1371"/>
      <c r="AJ288" s="1371"/>
      <c r="AK288" s="1371"/>
    </row>
    <row r="289" spans="2:37" ht="12.95" customHeight="1">
      <c r="B289" s="3" t="s">
        <v>473</v>
      </c>
      <c r="C289" s="3"/>
      <c r="D289" s="3"/>
      <c r="E289" s="3"/>
      <c r="F289" s="3"/>
      <c r="H289" s="1371" t="s">
        <v>2645</v>
      </c>
      <c r="I289" s="1371"/>
      <c r="J289" s="1371"/>
      <c r="K289" s="1371"/>
      <c r="L289" s="1371"/>
      <c r="M289" s="1371"/>
      <c r="N289" s="1371"/>
      <c r="O289" s="1371"/>
      <c r="P289" s="1371"/>
      <c r="Q289" s="1371"/>
      <c r="R289" s="1371"/>
      <c r="T289" s="3" t="s">
        <v>75</v>
      </c>
      <c r="V289" s="3"/>
      <c r="W289" s="3"/>
      <c r="X289" s="3"/>
      <c r="Y289" s="3"/>
      <c r="AA289" s="1525" t="s">
        <v>2686</v>
      </c>
      <c r="AB289" s="1371"/>
      <c r="AC289" s="1371"/>
      <c r="AD289" s="1371"/>
      <c r="AE289" s="1371"/>
      <c r="AF289" s="1371"/>
      <c r="AG289" s="1371"/>
      <c r="AH289" s="1371"/>
      <c r="AI289" s="1371"/>
      <c r="AJ289" s="1371"/>
      <c r="AK289" s="1371"/>
    </row>
    <row r="290" spans="2:37" ht="12.95" customHeight="1">
      <c r="B290" s="3" t="s">
        <v>87</v>
      </c>
      <c r="C290" s="3"/>
      <c r="D290" s="3"/>
      <c r="E290" s="3"/>
      <c r="F290" s="3"/>
      <c r="H290" s="1371" t="s">
        <v>2636</v>
      </c>
      <c r="I290" s="1371"/>
      <c r="J290" s="1371"/>
      <c r="K290" s="1371"/>
      <c r="L290" s="1371"/>
      <c r="M290" s="1371"/>
      <c r="N290" s="1371"/>
      <c r="O290" s="1371"/>
      <c r="P290" s="1371"/>
      <c r="Q290" s="1371"/>
      <c r="R290" s="1371"/>
      <c r="T290" s="3" t="s">
        <v>87</v>
      </c>
      <c r="V290" s="3"/>
      <c r="W290" s="3"/>
      <c r="X290" s="3"/>
      <c r="Y290" s="3"/>
      <c r="AA290" s="1525" t="s">
        <v>2687</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4" t="s">
        <v>2646</v>
      </c>
      <c r="I291" s="1544"/>
      <c r="J291" s="1544"/>
      <c r="K291" s="1544"/>
      <c r="L291" s="1544"/>
      <c r="M291" s="1544"/>
      <c r="N291" s="4" t="s">
        <v>206</v>
      </c>
      <c r="O291" s="4"/>
      <c r="P291" s="1528"/>
      <c r="Q291" s="1528"/>
      <c r="R291" s="1528"/>
      <c r="S291" s="3"/>
      <c r="T291" s="3" t="s">
        <v>88</v>
      </c>
      <c r="V291" s="3"/>
      <c r="W291" s="3"/>
      <c r="X291" s="3"/>
      <c r="Y291" s="3"/>
      <c r="AA291" s="1570" t="s">
        <v>2688</v>
      </c>
      <c r="AB291" s="1544"/>
      <c r="AC291" s="1544"/>
      <c r="AD291" s="1544"/>
      <c r="AE291" s="1544"/>
      <c r="AF291" s="1544"/>
      <c r="AG291" s="4" t="s">
        <v>206</v>
      </c>
      <c r="AH291" s="4"/>
      <c r="AI291" s="1528"/>
      <c r="AJ291" s="1528"/>
      <c r="AK291" s="1528"/>
    </row>
    <row r="292" spans="2:37" ht="12.95" customHeight="1">
      <c r="B292" s="3" t="s">
        <v>89</v>
      </c>
      <c r="C292" s="3"/>
      <c r="D292" s="3"/>
      <c r="E292" s="3"/>
      <c r="F292" s="3"/>
      <c r="G292" s="3"/>
      <c r="H292" s="1490" t="s">
        <v>2647</v>
      </c>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2.95" customHeight="1">
      <c r="B293" s="3" t="s">
        <v>76</v>
      </c>
      <c r="C293" s="3"/>
      <c r="D293" s="3"/>
      <c r="E293" s="3"/>
      <c r="F293" s="3"/>
      <c r="G293" s="3"/>
      <c r="H293" s="1371" t="s">
        <v>2648</v>
      </c>
      <c r="I293" s="1371"/>
      <c r="J293" s="1371"/>
      <c r="K293" s="1371"/>
      <c r="L293" s="1371"/>
      <c r="M293" s="1371"/>
      <c r="N293" s="1408"/>
      <c r="O293" s="1408"/>
      <c r="P293" s="1408"/>
      <c r="Q293" s="1408"/>
      <c r="R293" s="1408"/>
      <c r="S293" s="3"/>
      <c r="T293" s="3" t="s">
        <v>76</v>
      </c>
      <c r="V293" s="3"/>
      <c r="W293" s="3"/>
      <c r="X293" s="3"/>
      <c r="Y293" s="3"/>
      <c r="AA293" s="1525" t="s">
        <v>2689</v>
      </c>
      <c r="AB293" s="1371"/>
      <c r="AC293" s="1371"/>
      <c r="AD293" s="1371"/>
      <c r="AE293" s="1371"/>
      <c r="AF293" s="1371"/>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8" t="s">
        <v>2649</v>
      </c>
      <c r="I295" s="1408"/>
      <c r="J295" s="1408"/>
      <c r="K295" s="1408"/>
      <c r="L295" s="1408"/>
      <c r="M295" s="1408"/>
      <c r="N295" s="1408"/>
      <c r="O295" s="1408"/>
      <c r="P295" s="1408"/>
      <c r="Q295" s="1408"/>
      <c r="R295" s="1408"/>
      <c r="T295" s="3" t="s">
        <v>364</v>
      </c>
      <c r="V295" s="3"/>
      <c r="W295" s="3"/>
      <c r="X295" s="3"/>
      <c r="Y295" s="3"/>
      <c r="AA295" s="1407" t="s">
        <v>2690</v>
      </c>
      <c r="AB295" s="1408"/>
      <c r="AC295" s="1408"/>
      <c r="AD295" s="1408"/>
      <c r="AE295" s="1408"/>
      <c r="AF295" s="1408"/>
      <c r="AG295" s="1408"/>
      <c r="AH295" s="1408"/>
      <c r="AI295" s="1408"/>
      <c r="AJ295" s="1408"/>
      <c r="AK295" s="1408"/>
    </row>
    <row r="296" spans="2:37" ht="12.95" customHeight="1">
      <c r="B296" s="3" t="s">
        <v>472</v>
      </c>
      <c r="C296" s="3"/>
      <c r="D296" s="3"/>
      <c r="E296" s="3"/>
      <c r="F296" s="3"/>
      <c r="H296" s="1371" t="s">
        <v>2650</v>
      </c>
      <c r="I296" s="1371"/>
      <c r="J296" s="1371"/>
      <c r="K296" s="1371"/>
      <c r="L296" s="1371"/>
      <c r="M296" s="1371"/>
      <c r="N296" s="1371"/>
      <c r="O296" s="1371"/>
      <c r="P296" s="1371"/>
      <c r="Q296" s="1371"/>
      <c r="R296" s="1371"/>
      <c r="T296" s="3" t="s">
        <v>472</v>
      </c>
      <c r="V296" s="3"/>
      <c r="W296" s="3"/>
      <c r="X296" s="3"/>
      <c r="Y296" s="3"/>
      <c r="AA296" s="1525" t="s">
        <v>2691</v>
      </c>
      <c r="AB296" s="1371"/>
      <c r="AC296" s="1371"/>
      <c r="AD296" s="1371"/>
      <c r="AE296" s="1371"/>
      <c r="AF296" s="1371"/>
      <c r="AG296" s="1371"/>
      <c r="AH296" s="1371"/>
      <c r="AI296" s="1371"/>
      <c r="AJ296" s="1371"/>
      <c r="AK296" s="1371"/>
    </row>
    <row r="297" spans="2:37" ht="12.95" customHeight="1">
      <c r="B297" s="3" t="s">
        <v>473</v>
      </c>
      <c r="C297" s="3"/>
      <c r="D297" s="3"/>
      <c r="E297" s="3"/>
      <c r="F297" s="3"/>
      <c r="H297" s="1371" t="s">
        <v>2651</v>
      </c>
      <c r="I297" s="1371"/>
      <c r="J297" s="1371"/>
      <c r="K297" s="1371"/>
      <c r="L297" s="1371"/>
      <c r="M297" s="1371"/>
      <c r="N297" s="1371"/>
      <c r="O297" s="1371"/>
      <c r="P297" s="1371"/>
      <c r="Q297" s="1371"/>
      <c r="R297" s="1371"/>
      <c r="T297" s="3" t="s">
        <v>75</v>
      </c>
      <c r="V297" s="3"/>
      <c r="W297" s="3"/>
      <c r="X297" s="3"/>
      <c r="Y297" s="3"/>
      <c r="AA297" s="1525" t="s">
        <v>2692</v>
      </c>
      <c r="AB297" s="1371"/>
      <c r="AC297" s="1371"/>
      <c r="AD297" s="1371"/>
      <c r="AE297" s="1371"/>
      <c r="AF297" s="1371"/>
      <c r="AG297" s="1371"/>
      <c r="AH297" s="1371"/>
      <c r="AI297" s="1371"/>
      <c r="AJ297" s="1371"/>
      <c r="AK297" s="1371"/>
    </row>
    <row r="298" spans="2:37" ht="12.95" customHeight="1">
      <c r="B298" s="3" t="s">
        <v>87</v>
      </c>
      <c r="C298" s="3"/>
      <c r="D298" s="3"/>
      <c r="E298" s="3"/>
      <c r="F298" s="3"/>
      <c r="H298" s="1371" t="s">
        <v>2652</v>
      </c>
      <c r="I298" s="1371"/>
      <c r="J298" s="1371"/>
      <c r="K298" s="1371"/>
      <c r="L298" s="1371"/>
      <c r="M298" s="1371"/>
      <c r="N298" s="1371"/>
      <c r="O298" s="1371"/>
      <c r="P298" s="1371"/>
      <c r="Q298" s="1371"/>
      <c r="R298" s="1371"/>
      <c r="T298" s="3" t="s">
        <v>87</v>
      </c>
      <c r="V298" s="3"/>
      <c r="W298" s="3"/>
      <c r="X298" s="3"/>
      <c r="Y298" s="3"/>
      <c r="AA298" s="1525" t="s">
        <v>2693</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4" t="s">
        <v>2653</v>
      </c>
      <c r="I299" s="1544"/>
      <c r="J299" s="1544"/>
      <c r="K299" s="1544"/>
      <c r="L299" s="1544"/>
      <c r="M299" s="1544"/>
      <c r="N299" s="4" t="s">
        <v>206</v>
      </c>
      <c r="O299" s="4"/>
      <c r="P299" s="1528"/>
      <c r="Q299" s="1528"/>
      <c r="R299" s="1528"/>
      <c r="S299" s="3"/>
      <c r="T299" s="3" t="s">
        <v>88</v>
      </c>
      <c r="V299" s="3"/>
      <c r="W299" s="3"/>
      <c r="X299" s="3"/>
      <c r="Y299" s="3"/>
      <c r="AA299" s="1544">
        <v>8059631244</v>
      </c>
      <c r="AB299" s="1544"/>
      <c r="AC299" s="1544"/>
      <c r="AD299" s="1544"/>
      <c r="AE299" s="1544"/>
      <c r="AF299" s="1544"/>
      <c r="AG299" s="4" t="s">
        <v>206</v>
      </c>
      <c r="AH299" s="4"/>
      <c r="AI299" s="1528"/>
      <c r="AJ299" s="1528"/>
      <c r="AK299" s="1528"/>
    </row>
    <row r="300" spans="2:37" ht="12.95"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2.95" customHeight="1">
      <c r="B301" s="3" t="s">
        <v>76</v>
      </c>
      <c r="C301" s="3"/>
      <c r="D301" s="3"/>
      <c r="E301" s="3"/>
      <c r="F301" s="3"/>
      <c r="G301" s="3"/>
      <c r="H301" s="1371" t="s">
        <v>2654</v>
      </c>
      <c r="I301" s="1371"/>
      <c r="J301" s="1371"/>
      <c r="K301" s="1371"/>
      <c r="L301" s="1371"/>
      <c r="M301" s="1371"/>
      <c r="N301" s="1408"/>
      <c r="O301" s="1408"/>
      <c r="P301" s="1408"/>
      <c r="Q301" s="1408"/>
      <c r="R301" s="1408"/>
      <c r="S301" s="3"/>
      <c r="T301" s="3" t="s">
        <v>76</v>
      </c>
      <c r="V301" s="3"/>
      <c r="W301" s="3"/>
      <c r="X301" s="3"/>
      <c r="Y301" s="3"/>
      <c r="AA301" s="1525" t="s">
        <v>2694</v>
      </c>
      <c r="AB301" s="1371"/>
      <c r="AC301" s="1371"/>
      <c r="AD301" s="1371"/>
      <c r="AE301" s="1371"/>
      <c r="AF301" s="1371"/>
      <c r="AG301" s="1408"/>
      <c r="AH301" s="1408"/>
      <c r="AI301" s="1408"/>
      <c r="AJ301" s="1408"/>
      <c r="AK301" s="1408"/>
    </row>
    <row r="302" spans="2:37" ht="12.95" customHeight="1"/>
    <row r="303" spans="2:37" ht="12.95" customHeight="1">
      <c r="B303" s="3" t="s">
        <v>77</v>
      </c>
      <c r="C303" s="3"/>
      <c r="D303" s="3"/>
      <c r="E303" s="3"/>
      <c r="F303" s="3"/>
      <c r="H303" s="1407" t="s">
        <v>2717</v>
      </c>
      <c r="I303" s="1408"/>
      <c r="J303" s="1408"/>
      <c r="K303" s="1408"/>
      <c r="L303" s="1408"/>
      <c r="M303" s="1408"/>
      <c r="N303" s="1408"/>
      <c r="O303" s="1408"/>
      <c r="P303" s="1408"/>
      <c r="Q303" s="1408"/>
      <c r="R303" s="1408"/>
      <c r="T303" s="4" t="s">
        <v>879</v>
      </c>
      <c r="V303" s="3"/>
      <c r="W303" s="3"/>
      <c r="X303" s="3"/>
      <c r="Y303" s="3"/>
      <c r="AA303" s="1408" t="s">
        <v>2655</v>
      </c>
      <c r="AB303" s="1408"/>
      <c r="AC303" s="1408"/>
      <c r="AD303" s="1408"/>
      <c r="AE303" s="1408"/>
      <c r="AF303" s="1408"/>
      <c r="AG303" s="1408"/>
      <c r="AH303" s="1408"/>
      <c r="AI303" s="1408"/>
      <c r="AJ303" s="1408"/>
      <c r="AK303" s="1408"/>
    </row>
    <row r="304" spans="2:37" ht="12.95" customHeight="1">
      <c r="B304" s="3" t="s">
        <v>472</v>
      </c>
      <c r="C304" s="3"/>
      <c r="D304" s="3"/>
      <c r="E304" s="3"/>
      <c r="F304" s="3"/>
      <c r="H304" s="1525" t="s">
        <v>2718</v>
      </c>
      <c r="I304" s="1371"/>
      <c r="J304" s="1371"/>
      <c r="K304" s="1371"/>
      <c r="L304" s="1371"/>
      <c r="M304" s="1371"/>
      <c r="N304" s="1371"/>
      <c r="O304" s="1371"/>
      <c r="P304" s="1371"/>
      <c r="Q304" s="1371"/>
      <c r="R304" s="1371"/>
      <c r="T304" s="3" t="s">
        <v>472</v>
      </c>
      <c r="V304" s="3"/>
      <c r="W304" s="3"/>
      <c r="X304" s="3"/>
      <c r="Y304" s="3"/>
      <c r="AA304" s="1371" t="s">
        <v>2656</v>
      </c>
      <c r="AB304" s="1371"/>
      <c r="AC304" s="1371"/>
      <c r="AD304" s="1371"/>
      <c r="AE304" s="1371"/>
      <c r="AF304" s="1371"/>
      <c r="AG304" s="1371"/>
      <c r="AH304" s="1371"/>
      <c r="AI304" s="1371"/>
      <c r="AJ304" s="1371"/>
      <c r="AK304" s="1371"/>
    </row>
    <row r="305" spans="2:37" ht="12.95" customHeight="1">
      <c r="B305" s="3" t="s">
        <v>473</v>
      </c>
      <c r="C305" s="3"/>
      <c r="D305" s="3"/>
      <c r="E305" s="3"/>
      <c r="F305" s="3"/>
      <c r="H305" s="1525" t="s">
        <v>2719</v>
      </c>
      <c r="I305" s="1371"/>
      <c r="J305" s="1371"/>
      <c r="K305" s="1371"/>
      <c r="L305" s="1371"/>
      <c r="M305" s="1371"/>
      <c r="N305" s="1371"/>
      <c r="O305" s="1371"/>
      <c r="P305" s="1371"/>
      <c r="Q305" s="1371"/>
      <c r="R305" s="1371"/>
      <c r="T305" s="3" t="s">
        <v>75</v>
      </c>
      <c r="V305" s="3"/>
      <c r="W305" s="3"/>
      <c r="X305" s="3"/>
      <c r="Y305" s="3"/>
      <c r="AA305" s="1371" t="s">
        <v>2645</v>
      </c>
      <c r="AB305" s="1371"/>
      <c r="AC305" s="1371"/>
      <c r="AD305" s="1371"/>
      <c r="AE305" s="1371"/>
      <c r="AF305" s="1371"/>
      <c r="AG305" s="1371"/>
      <c r="AH305" s="1371"/>
      <c r="AI305" s="1371"/>
      <c r="AJ305" s="1371"/>
      <c r="AK305" s="1371"/>
    </row>
    <row r="306" spans="2:37" ht="12.95" customHeight="1">
      <c r="B306" s="3" t="s">
        <v>87</v>
      </c>
      <c r="C306" s="3"/>
      <c r="D306" s="3"/>
      <c r="E306" s="3"/>
      <c r="F306" s="3"/>
      <c r="H306" s="1525" t="s">
        <v>2720</v>
      </c>
      <c r="I306" s="1371"/>
      <c r="J306" s="1371"/>
      <c r="K306" s="1371"/>
      <c r="L306" s="1371"/>
      <c r="M306" s="1371"/>
      <c r="N306" s="1371"/>
      <c r="O306" s="1371"/>
      <c r="P306" s="1371"/>
      <c r="Q306" s="1371"/>
      <c r="R306" s="1371"/>
      <c r="T306" s="3" t="s">
        <v>87</v>
      </c>
      <c r="V306" s="3"/>
      <c r="W306" s="3"/>
      <c r="X306" s="3"/>
      <c r="Y306" s="3"/>
      <c r="AA306" s="1371" t="s">
        <v>2657</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70" t="s">
        <v>2721</v>
      </c>
      <c r="I307" s="1544"/>
      <c r="J307" s="1544"/>
      <c r="K307" s="1544"/>
      <c r="L307" s="1544"/>
      <c r="M307" s="1544"/>
      <c r="N307" s="4" t="s">
        <v>206</v>
      </c>
      <c r="O307" s="4"/>
      <c r="P307" s="1528"/>
      <c r="Q307" s="1528"/>
      <c r="R307" s="1528"/>
      <c r="S307" s="3"/>
      <c r="T307" s="3" t="s">
        <v>88</v>
      </c>
      <c r="V307" s="3"/>
      <c r="W307" s="3"/>
      <c r="X307" s="3"/>
      <c r="Y307" s="3"/>
      <c r="AA307" s="1544" t="s">
        <v>2658</v>
      </c>
      <c r="AB307" s="1544"/>
      <c r="AC307" s="1544"/>
      <c r="AD307" s="1544"/>
      <c r="AE307" s="1544"/>
      <c r="AF307" s="1544"/>
      <c r="AG307" s="4" t="s">
        <v>206</v>
      </c>
      <c r="AH307" s="4"/>
      <c r="AI307" s="1528"/>
      <c r="AJ307" s="1528"/>
      <c r="AK307" s="1528"/>
    </row>
    <row r="308" spans="2:37" ht="12.95"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2.95" customHeight="1">
      <c r="B309" s="3" t="s">
        <v>76</v>
      </c>
      <c r="C309" s="3"/>
      <c r="D309" s="3"/>
      <c r="E309" s="3"/>
      <c r="F309" s="3"/>
      <c r="G309" s="3"/>
      <c r="H309" s="1525" t="s">
        <v>2722</v>
      </c>
      <c r="I309" s="1371"/>
      <c r="J309" s="1371"/>
      <c r="K309" s="1371"/>
      <c r="L309" s="1371"/>
      <c r="M309" s="1371"/>
      <c r="N309" s="1408"/>
      <c r="O309" s="1408"/>
      <c r="P309" s="1408"/>
      <c r="Q309" s="1408"/>
      <c r="R309" s="1408"/>
      <c r="S309" s="3"/>
      <c r="T309" s="3" t="s">
        <v>76</v>
      </c>
      <c r="V309" s="3"/>
      <c r="W309" s="3"/>
      <c r="X309" s="3"/>
      <c r="Y309" s="3"/>
      <c r="AA309" s="1371" t="s">
        <v>2659</v>
      </c>
      <c r="AB309" s="1371"/>
      <c r="AC309" s="1371"/>
      <c r="AD309" s="1371"/>
      <c r="AE309" s="1371"/>
      <c r="AF309" s="1371"/>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8"/>
      <c r="I311" s="1408"/>
      <c r="J311" s="1408"/>
      <c r="K311" s="1408"/>
      <c r="L311" s="1408"/>
      <c r="M311" s="1408"/>
      <c r="N311" s="1408"/>
      <c r="O311" s="1408"/>
      <c r="P311" s="1408"/>
      <c r="Q311" s="1408"/>
      <c r="R311" s="1408"/>
      <c r="S311" s="3"/>
      <c r="T311" s="3" t="s">
        <v>365</v>
      </c>
      <c r="V311" s="3"/>
      <c r="W311" s="3"/>
      <c r="X311" s="3"/>
      <c r="Y311" s="3"/>
      <c r="AA311" s="1408" t="s">
        <v>2660</v>
      </c>
      <c r="AB311" s="1408"/>
      <c r="AC311" s="1408"/>
      <c r="AD311" s="1408"/>
      <c r="AE311" s="1408"/>
      <c r="AF311" s="1408"/>
      <c r="AG311" s="1408"/>
      <c r="AH311" s="1408"/>
      <c r="AI311" s="1408"/>
      <c r="AJ311" s="1408"/>
      <c r="AK311" s="1408"/>
    </row>
    <row r="312" spans="2:37" ht="12.95" customHeight="1">
      <c r="B312" s="3" t="s">
        <v>472</v>
      </c>
      <c r="C312" s="3"/>
      <c r="D312" s="3"/>
      <c r="E312" s="3"/>
      <c r="F312" s="3"/>
      <c r="H312" s="1371"/>
      <c r="I312" s="1371"/>
      <c r="J312" s="1371"/>
      <c r="K312" s="1371"/>
      <c r="L312" s="1371"/>
      <c r="M312" s="1371"/>
      <c r="N312" s="1371"/>
      <c r="O312" s="1371"/>
      <c r="P312" s="1371"/>
      <c r="Q312" s="1371"/>
      <c r="R312" s="1371"/>
      <c r="S312" s="3"/>
      <c r="T312" s="3" t="s">
        <v>472</v>
      </c>
      <c r="V312" s="3"/>
      <c r="W312" s="3"/>
      <c r="X312" s="3"/>
      <c r="Y312" s="3"/>
      <c r="AA312" s="1371" t="s">
        <v>2661</v>
      </c>
      <c r="AB312" s="1371"/>
      <c r="AC312" s="1371"/>
      <c r="AD312" s="1371"/>
      <c r="AE312" s="1371"/>
      <c r="AF312" s="1371"/>
      <c r="AG312" s="1371"/>
      <c r="AH312" s="1371"/>
      <c r="AI312" s="1371"/>
      <c r="AJ312" s="1371"/>
      <c r="AK312" s="1371"/>
    </row>
    <row r="313" spans="2:37" ht="12.95" customHeight="1">
      <c r="B313" s="3" t="s">
        <v>473</v>
      </c>
      <c r="C313" s="3"/>
      <c r="D313" s="3"/>
      <c r="E313" s="3"/>
      <c r="F313" s="3"/>
      <c r="H313" s="1371"/>
      <c r="I313" s="1371"/>
      <c r="J313" s="1371"/>
      <c r="K313" s="1371"/>
      <c r="L313" s="1371"/>
      <c r="M313" s="1371"/>
      <c r="N313" s="1371"/>
      <c r="O313" s="1371"/>
      <c r="P313" s="1371"/>
      <c r="Q313" s="1371"/>
      <c r="R313" s="1371"/>
      <c r="S313" s="3"/>
      <c r="T313" s="3" t="s">
        <v>75</v>
      </c>
      <c r="V313" s="3"/>
      <c r="W313" s="3"/>
      <c r="X313" s="3"/>
      <c r="Y313" s="3"/>
      <c r="AA313" s="1371" t="s">
        <v>2662</v>
      </c>
      <c r="AB313" s="1371"/>
      <c r="AC313" s="1371"/>
      <c r="AD313" s="1371"/>
      <c r="AE313" s="1371"/>
      <c r="AF313" s="1371"/>
      <c r="AG313" s="1371"/>
      <c r="AH313" s="1371"/>
      <c r="AI313" s="1371"/>
      <c r="AJ313" s="1371"/>
      <c r="AK313" s="1371"/>
    </row>
    <row r="314" spans="2:37" ht="12.95" customHeight="1">
      <c r="B314" s="3" t="s">
        <v>87</v>
      </c>
      <c r="C314" s="3"/>
      <c r="D314" s="3"/>
      <c r="E314" s="3"/>
      <c r="F314" s="3"/>
      <c r="H314" s="1371"/>
      <c r="I314" s="1371"/>
      <c r="J314" s="1371"/>
      <c r="K314" s="1371"/>
      <c r="L314" s="1371"/>
      <c r="M314" s="1371"/>
      <c r="N314" s="1371"/>
      <c r="O314" s="1371"/>
      <c r="P314" s="1371"/>
      <c r="Q314" s="1371"/>
      <c r="R314" s="1371"/>
      <c r="S314" s="3"/>
      <c r="T314" s="3" t="s">
        <v>87</v>
      </c>
      <c r="V314" s="3"/>
      <c r="W314" s="3"/>
      <c r="X314" s="3"/>
      <c r="Y314" s="3"/>
      <c r="AA314" s="1371" t="s">
        <v>2663</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4"/>
      <c r="I315" s="1544"/>
      <c r="J315" s="1544"/>
      <c r="K315" s="1544"/>
      <c r="L315" s="1544"/>
      <c r="M315" s="1544"/>
      <c r="N315" s="4" t="s">
        <v>206</v>
      </c>
      <c r="O315" s="4"/>
      <c r="P315" s="1528"/>
      <c r="Q315" s="1528"/>
      <c r="R315" s="1528"/>
      <c r="S315" s="3"/>
      <c r="T315" s="3" t="s">
        <v>88</v>
      </c>
      <c r="V315" s="3"/>
      <c r="W315" s="3"/>
      <c r="X315" s="3"/>
      <c r="Y315" s="3"/>
      <c r="AA315" s="1544" t="s">
        <v>2664</v>
      </c>
      <c r="AB315" s="1544"/>
      <c r="AC315" s="1544"/>
      <c r="AD315" s="1544"/>
      <c r="AE315" s="1544"/>
      <c r="AF315" s="1544"/>
      <c r="AG315" s="4" t="s">
        <v>206</v>
      </c>
      <c r="AH315" s="4"/>
      <c r="AI315" s="1528"/>
      <c r="AJ315" s="1528"/>
      <c r="AK315" s="1528"/>
    </row>
    <row r="316" spans="2:37" ht="12.95"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2.95" customHeight="1">
      <c r="B317" s="3" t="s">
        <v>76</v>
      </c>
      <c r="C317" s="3"/>
      <c r="D317" s="3"/>
      <c r="E317" s="3"/>
      <c r="F317" s="3"/>
      <c r="G317" s="3"/>
      <c r="H317" s="1371"/>
      <c r="I317" s="1371"/>
      <c r="J317" s="1371"/>
      <c r="K317" s="1371"/>
      <c r="L317" s="1371"/>
      <c r="M317" s="1371"/>
      <c r="N317" s="1408"/>
      <c r="O317" s="1408"/>
      <c r="P317" s="1408"/>
      <c r="Q317" s="1408"/>
      <c r="R317" s="1408"/>
      <c r="S317" s="3"/>
      <c r="T317" s="3" t="s">
        <v>76</v>
      </c>
      <c r="V317" s="3"/>
      <c r="W317" s="3"/>
      <c r="X317" s="3"/>
      <c r="Y317" s="3"/>
      <c r="AA317" s="1371" t="s">
        <v>2665</v>
      </c>
      <c r="AB317" s="1371"/>
      <c r="AC317" s="1371"/>
      <c r="AD317" s="1371"/>
      <c r="AE317" s="1371"/>
      <c r="AF317" s="1371"/>
      <c r="AG317" s="1408"/>
      <c r="AH317" s="1408"/>
      <c r="AI317" s="1408"/>
      <c r="AJ317" s="1408"/>
      <c r="AK317" s="1408"/>
    </row>
    <row r="318" spans="2:37" ht="12.95" customHeight="1"/>
    <row r="319" spans="2:37" ht="12.95" customHeight="1">
      <c r="B319" s="4" t="s">
        <v>909</v>
      </c>
      <c r="C319" s="3"/>
      <c r="D319" s="3"/>
      <c r="E319" s="3"/>
      <c r="F319" s="3"/>
      <c r="H319" s="1408"/>
      <c r="I319" s="1408"/>
      <c r="J319" s="1408"/>
      <c r="K319" s="1408"/>
      <c r="L319" s="1408"/>
      <c r="M319" s="1408"/>
      <c r="N319" s="1408"/>
      <c r="O319" s="1408"/>
      <c r="P319" s="1408"/>
      <c r="Q319" s="1408"/>
      <c r="R319" s="1408"/>
      <c r="T319" s="3" t="s">
        <v>366</v>
      </c>
      <c r="V319" s="3"/>
      <c r="W319" s="3"/>
      <c r="X319" s="3"/>
      <c r="Y319" s="3"/>
      <c r="AA319" s="1408" t="s">
        <v>2666</v>
      </c>
      <c r="AB319" s="1408"/>
      <c r="AC319" s="1408"/>
      <c r="AD319" s="1408"/>
      <c r="AE319" s="1408"/>
      <c r="AF319" s="1408"/>
      <c r="AG319" s="1408"/>
      <c r="AH319" s="1408"/>
      <c r="AI319" s="1408"/>
      <c r="AJ319" s="1408"/>
      <c r="AK319" s="1408"/>
    </row>
    <row r="320" spans="2:37" ht="12.95"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2667</v>
      </c>
      <c r="AB320" s="1371"/>
      <c r="AC320" s="1371"/>
      <c r="AD320" s="1371"/>
      <c r="AE320" s="1371"/>
      <c r="AF320" s="1371"/>
      <c r="AG320" s="1371"/>
      <c r="AH320" s="1371"/>
      <c r="AI320" s="1371"/>
      <c r="AJ320" s="1371"/>
      <c r="AK320" s="1371"/>
    </row>
    <row r="321" spans="2:37" ht="12.95"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2668</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2669</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4"/>
      <c r="I323" s="1544"/>
      <c r="J323" s="1544"/>
      <c r="K323" s="1544"/>
      <c r="L323" s="1544"/>
      <c r="M323" s="1544"/>
      <c r="N323" s="4" t="s">
        <v>206</v>
      </c>
      <c r="O323" s="4"/>
      <c r="P323" s="1528"/>
      <c r="Q323" s="1528"/>
      <c r="R323" s="1528"/>
      <c r="S323" s="3"/>
      <c r="T323" s="3" t="s">
        <v>88</v>
      </c>
      <c r="V323" s="3"/>
      <c r="W323" s="3"/>
      <c r="X323" s="3"/>
      <c r="Y323" s="3"/>
      <c r="AA323" s="1544" t="s">
        <v>2670</v>
      </c>
      <c r="AB323" s="1544"/>
      <c r="AC323" s="1544"/>
      <c r="AD323" s="1544"/>
      <c r="AE323" s="1544"/>
      <c r="AF323" s="1544"/>
      <c r="AG323" s="4" t="s">
        <v>206</v>
      </c>
      <c r="AH323" s="4"/>
      <c r="AI323" s="1528"/>
      <c r="AJ323" s="1528"/>
      <c r="AK323" s="1528"/>
    </row>
    <row r="324" spans="2:37" ht="12.95"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t="s">
        <v>2671</v>
      </c>
      <c r="AB324" s="1490"/>
      <c r="AC324" s="1490"/>
      <c r="AD324" s="1490"/>
      <c r="AE324" s="1490"/>
      <c r="AF324" s="1490"/>
      <c r="AG324" s="4"/>
      <c r="AH324" s="4"/>
      <c r="AI324" s="35"/>
      <c r="AJ324" s="35"/>
      <c r="AK324" s="35"/>
    </row>
    <row r="325" spans="2:37" ht="12.95"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371" t="s">
        <v>2672</v>
      </c>
      <c r="AB325" s="1371"/>
      <c r="AC325" s="1371"/>
      <c r="AD325" s="1371"/>
      <c r="AE325" s="1371"/>
      <c r="AF325" s="1371"/>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8"/>
      <c r="I327" s="1408"/>
      <c r="J327" s="1408"/>
      <c r="K327" s="1408"/>
      <c r="L327" s="1408"/>
      <c r="M327" s="1408"/>
      <c r="N327" s="1408"/>
      <c r="O327" s="1408"/>
      <c r="P327" s="1408"/>
      <c r="Q327" s="1408"/>
      <c r="R327" s="1408"/>
      <c r="T327" s="3" t="s">
        <v>368</v>
      </c>
      <c r="V327" s="3"/>
      <c r="W327" s="3"/>
      <c r="X327" s="3"/>
      <c r="Y327" s="3"/>
      <c r="AA327" s="1408"/>
      <c r="AB327" s="1408"/>
      <c r="AC327" s="1408"/>
      <c r="AD327" s="1408"/>
      <c r="AE327" s="1408"/>
      <c r="AF327" s="1408"/>
      <c r="AG327" s="1408"/>
      <c r="AH327" s="1408"/>
      <c r="AI327" s="1408"/>
      <c r="AJ327" s="1408"/>
      <c r="AK327" s="1408"/>
    </row>
    <row r="328" spans="2:37" ht="12.95"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5"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4"/>
      <c r="I331" s="1544"/>
      <c r="J331" s="1544"/>
      <c r="K331" s="1544"/>
      <c r="L331" s="1544"/>
      <c r="M331" s="1544"/>
      <c r="N331" s="4" t="s">
        <v>206</v>
      </c>
      <c r="O331" s="4"/>
      <c r="P331" s="1528"/>
      <c r="Q331" s="1528"/>
      <c r="R331" s="1528"/>
      <c r="S331" s="3"/>
      <c r="T331" s="3" t="s">
        <v>88</v>
      </c>
      <c r="V331" s="3"/>
      <c r="W331" s="3"/>
      <c r="X331" s="3"/>
      <c r="Y331" s="3"/>
      <c r="AA331" s="1544"/>
      <c r="AB331" s="1544"/>
      <c r="AC331" s="1544"/>
      <c r="AD331" s="1544"/>
      <c r="AE331" s="1544"/>
      <c r="AF331" s="1544"/>
      <c r="AG331" s="4" t="s">
        <v>206</v>
      </c>
      <c r="AH331" s="4"/>
      <c r="AI331" s="1528"/>
      <c r="AJ331" s="1528"/>
      <c r="AK331" s="1528"/>
    </row>
    <row r="332" spans="2:37" ht="12.95"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2.95" customHeight="1">
      <c r="B333" s="3" t="s">
        <v>76</v>
      </c>
      <c r="C333" s="3"/>
      <c r="D333" s="3"/>
      <c r="E333" s="3"/>
      <c r="F333" s="3"/>
      <c r="G333" s="3"/>
      <c r="H333" s="1371"/>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8" t="s">
        <v>2673</v>
      </c>
      <c r="I335" s="1408"/>
      <c r="J335" s="1408"/>
      <c r="K335" s="1408"/>
      <c r="L335" s="1408"/>
      <c r="M335" s="1408"/>
      <c r="N335" s="1408"/>
      <c r="O335" s="1408"/>
      <c r="P335" s="1408"/>
      <c r="Q335" s="1408"/>
      <c r="R335" s="1408"/>
      <c r="T335" s="204" t="s">
        <v>887</v>
      </c>
      <c r="V335" s="3"/>
      <c r="W335" s="3"/>
      <c r="X335" s="3"/>
      <c r="Y335" s="3"/>
      <c r="AA335" s="1408" t="s">
        <v>2680</v>
      </c>
      <c r="AB335" s="1408"/>
      <c r="AC335" s="1408"/>
      <c r="AD335" s="1408"/>
      <c r="AE335" s="1408"/>
      <c r="AF335" s="1408"/>
      <c r="AG335" s="1408"/>
      <c r="AH335" s="1408"/>
      <c r="AI335" s="1408"/>
      <c r="AJ335" s="1408"/>
      <c r="AK335" s="1408"/>
    </row>
    <row r="336" spans="2:37" ht="12.95" customHeight="1">
      <c r="B336" s="3" t="s">
        <v>472</v>
      </c>
      <c r="C336" s="3"/>
      <c r="D336" s="3"/>
      <c r="E336" s="3"/>
      <c r="F336" s="3"/>
      <c r="H336" s="1371" t="s">
        <v>2674</v>
      </c>
      <c r="I336" s="1371"/>
      <c r="J336" s="1371"/>
      <c r="K336" s="1371"/>
      <c r="L336" s="1371"/>
      <c r="M336" s="1371"/>
      <c r="N336" s="1371"/>
      <c r="O336" s="1371"/>
      <c r="P336" s="1371"/>
      <c r="Q336" s="1371"/>
      <c r="R336" s="1371"/>
      <c r="T336" s="3" t="s">
        <v>472</v>
      </c>
      <c r="V336" s="3"/>
      <c r="W336" s="3"/>
      <c r="X336" s="3"/>
      <c r="Y336" s="3"/>
      <c r="AA336" s="1371" t="s">
        <v>2641</v>
      </c>
      <c r="AB336" s="1371"/>
      <c r="AC336" s="1371"/>
      <c r="AD336" s="1371"/>
      <c r="AE336" s="1371"/>
      <c r="AF336" s="1371"/>
      <c r="AG336" s="1371"/>
      <c r="AH336" s="1371"/>
      <c r="AI336" s="1371"/>
      <c r="AJ336" s="1371"/>
      <c r="AK336" s="1371"/>
    </row>
    <row r="337" spans="1:66" ht="12.95" customHeight="1">
      <c r="B337" s="3" t="s">
        <v>75</v>
      </c>
      <c r="C337" s="3"/>
      <c r="D337" s="3"/>
      <c r="E337" s="3"/>
      <c r="F337" s="3"/>
      <c r="H337" s="1371" t="s">
        <v>2675</v>
      </c>
      <c r="I337" s="1371"/>
      <c r="J337" s="1371"/>
      <c r="K337" s="1371"/>
      <c r="L337" s="1371"/>
      <c r="M337" s="1371"/>
      <c r="N337" s="1371"/>
      <c r="O337" s="1371"/>
      <c r="P337" s="1371"/>
      <c r="Q337" s="1371"/>
      <c r="R337" s="1371"/>
      <c r="T337" s="3" t="s">
        <v>75</v>
      </c>
      <c r="V337" s="3"/>
      <c r="W337" s="3"/>
      <c r="X337" s="3"/>
      <c r="Y337" s="3"/>
      <c r="AA337" s="1371" t="s">
        <v>2645</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371" t="s">
        <v>2676</v>
      </c>
      <c r="I338" s="1371"/>
      <c r="J338" s="1371"/>
      <c r="K338" s="1371"/>
      <c r="L338" s="1371"/>
      <c r="M338" s="1371"/>
      <c r="N338" s="1371"/>
      <c r="O338" s="1371"/>
      <c r="P338" s="1371"/>
      <c r="Q338" s="1371"/>
      <c r="R338" s="1371"/>
      <c r="T338" s="3" t="s">
        <v>87</v>
      </c>
      <c r="V338" s="3"/>
      <c r="W338" s="3"/>
      <c r="X338" s="3"/>
      <c r="Y338" s="3"/>
      <c r="AA338" s="1371" t="s">
        <v>2681</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4" t="s">
        <v>2677</v>
      </c>
      <c r="I339" s="1544"/>
      <c r="J339" s="1544"/>
      <c r="K339" s="1544"/>
      <c r="L339" s="1544"/>
      <c r="M339" s="1544"/>
      <c r="N339" s="4" t="s">
        <v>206</v>
      </c>
      <c r="O339" s="4"/>
      <c r="P339" s="1528"/>
      <c r="Q339" s="1528"/>
      <c r="R339" s="1528"/>
      <c r="S339" s="3"/>
      <c r="T339" s="3" t="s">
        <v>88</v>
      </c>
      <c r="V339" s="3"/>
      <c r="W339" s="3"/>
      <c r="X339" s="3"/>
      <c r="Y339" s="3"/>
      <c r="AA339" s="1544">
        <v>7078229000</v>
      </c>
      <c r="AB339" s="1544"/>
      <c r="AC339" s="1544"/>
      <c r="AD339" s="1544"/>
      <c r="AE339" s="1544"/>
      <c r="AF339" s="1544"/>
      <c r="AG339" s="4" t="s">
        <v>206</v>
      </c>
      <c r="AH339" s="4"/>
      <c r="AI339" s="1528"/>
      <c r="AJ339" s="1528"/>
      <c r="AK339" s="1528"/>
    </row>
    <row r="340" spans="1:66" ht="12.95" customHeight="1">
      <c r="B340" s="3" t="s">
        <v>89</v>
      </c>
      <c r="C340" s="3"/>
      <c r="D340" s="3"/>
      <c r="E340" s="3"/>
      <c r="F340" s="3"/>
      <c r="G340" s="3"/>
      <c r="H340" s="1490" t="s">
        <v>2678</v>
      </c>
      <c r="I340" s="1490"/>
      <c r="J340" s="1490"/>
      <c r="K340" s="1490"/>
      <c r="L340" s="1490"/>
      <c r="M340" s="1490"/>
      <c r="N340" s="4"/>
      <c r="O340" s="4"/>
      <c r="P340" s="35"/>
      <c r="Q340" s="35"/>
      <c r="R340" s="35"/>
      <c r="S340" s="3"/>
      <c r="T340" s="3" t="s">
        <v>89</v>
      </c>
      <c r="V340" s="3"/>
      <c r="W340" s="3"/>
      <c r="X340" s="3"/>
      <c r="Y340" s="3"/>
      <c r="AA340" s="1490" t="s">
        <v>2682</v>
      </c>
      <c r="AB340" s="1490"/>
      <c r="AC340" s="1490"/>
      <c r="AD340" s="1490"/>
      <c r="AE340" s="1490"/>
      <c r="AF340" s="1490"/>
      <c r="AG340" s="4"/>
      <c r="AH340" s="4"/>
      <c r="AI340" s="35"/>
      <c r="AJ340" s="35"/>
      <c r="AK340" s="35"/>
    </row>
    <row r="341" spans="1:66" ht="12.95" customHeight="1">
      <c r="B341" s="3" t="s">
        <v>76</v>
      </c>
      <c r="C341" s="3"/>
      <c r="D341" s="3"/>
      <c r="E341" s="3"/>
      <c r="F341" s="3"/>
      <c r="G341" s="3"/>
      <c r="H341" s="1371" t="s">
        <v>2679</v>
      </c>
      <c r="I341" s="1371"/>
      <c r="J341" s="1371"/>
      <c r="K341" s="1371"/>
      <c r="L341" s="1371"/>
      <c r="M341" s="1371"/>
      <c r="N341" s="1408"/>
      <c r="O341" s="1408"/>
      <c r="P341" s="1408"/>
      <c r="Q341" s="1408"/>
      <c r="R341" s="1408"/>
      <c r="S341" s="3"/>
      <c r="T341" s="3" t="s">
        <v>76</v>
      </c>
      <c r="V341" s="3"/>
      <c r="W341" s="3"/>
      <c r="X341" s="3"/>
      <c r="Y341" s="3"/>
      <c r="AA341" s="1371" t="s">
        <v>2683</v>
      </c>
      <c r="AB341" s="1371"/>
      <c r="AC341" s="1371"/>
      <c r="AD341" s="1371"/>
      <c r="AE341" s="1371"/>
      <c r="AF341" s="1371"/>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08"/>
      <c r="Q343" s="1408"/>
      <c r="R343" s="1408"/>
      <c r="S343" s="1408"/>
      <c r="T343" s="1408"/>
      <c r="U343" s="1408"/>
      <c r="V343" s="1408"/>
      <c r="W343" s="1408"/>
      <c r="X343" s="1408"/>
      <c r="Y343" s="1408"/>
      <c r="Z343" s="1408"/>
      <c r="AA343" s="1408"/>
      <c r="AB343" s="1408"/>
      <c r="AC343" s="1408"/>
      <c r="AD343" s="1408"/>
      <c r="AE343" s="1408"/>
      <c r="BN343" t="s">
        <v>670</v>
      </c>
    </row>
    <row r="344" spans="1:66" ht="12.95"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206</v>
      </c>
      <c r="AB347" s="4"/>
      <c r="AC347" s="1474"/>
      <c r="AD347" s="1474"/>
      <c r="AE347" s="1474"/>
      <c r="AF347" s="302"/>
      <c r="AG347" s="4"/>
      <c r="AH347" s="4"/>
      <c r="AI347" s="4"/>
      <c r="AJ347" s="4"/>
      <c r="AK347" s="4"/>
    </row>
    <row r="348" spans="1:66" ht="12.95"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6" t="s">
        <v>543</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2.9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416" t="s">
        <v>546</v>
      </c>
      <c r="N355" s="1416"/>
      <c r="P355" t="s">
        <v>1652</v>
      </c>
      <c r="AJ355" s="1416" t="s">
        <v>670</v>
      </c>
      <c r="AK355" s="1416"/>
    </row>
    <row r="356" spans="1:46" ht="12.95" customHeight="1">
      <c r="D356" s="3" t="s">
        <v>1641</v>
      </c>
      <c r="M356" s="1416" t="s">
        <v>592</v>
      </c>
      <c r="N356" s="1416"/>
      <c r="P356" s="3" t="s">
        <v>1721</v>
      </c>
      <c r="AJ356" s="1382"/>
      <c r="AK356" s="1382"/>
    </row>
    <row r="357" spans="1:46" ht="12.95" customHeight="1">
      <c r="D357" s="3" t="s">
        <v>705</v>
      </c>
      <c r="M357" s="1416" t="s">
        <v>592</v>
      </c>
      <c r="N357" s="1416"/>
      <c r="P357" t="s">
        <v>1651</v>
      </c>
      <c r="AJ357" s="1416" t="s">
        <v>670</v>
      </c>
      <c r="AK357" s="1416"/>
    </row>
    <row r="358" spans="1:46" ht="12.95" customHeight="1">
      <c r="D358" s="3" t="s">
        <v>706</v>
      </c>
      <c r="M358" s="1416" t="s">
        <v>592</v>
      </c>
      <c r="N358" s="1416"/>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2.95" customHeight="1">
      <c r="E364" t="s">
        <v>370</v>
      </c>
      <c r="Y364" s="1416" t="s">
        <v>592</v>
      </c>
      <c r="Z364" s="1416"/>
    </row>
    <row r="365" spans="1:46" ht="12.95" customHeight="1">
      <c r="D365" s="4" t="s">
        <v>979</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707</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5"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9"/>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2.95"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445"/>
      <c r="T377" s="1445"/>
      <c r="U377" s="1" t="s">
        <v>306</v>
      </c>
      <c r="V377" s="1445"/>
      <c r="W377" s="1445"/>
      <c r="Y377" t="s">
        <v>2081</v>
      </c>
      <c r="AC377" s="27" t="s">
        <v>305</v>
      </c>
      <c r="AD377" s="1445"/>
      <c r="AE377" s="1445"/>
      <c r="AF377" s="1" t="s">
        <v>306</v>
      </c>
      <c r="AG377" s="1445"/>
      <c r="AH377" s="1445"/>
    </row>
    <row r="378" spans="1:34" ht="12.95" customHeight="1">
      <c r="E378" s="4" t="s">
        <v>988</v>
      </c>
      <c r="F378" s="4"/>
      <c r="G378" s="4"/>
      <c r="H378" s="4"/>
      <c r="I378" s="4"/>
      <c r="J378" s="4"/>
      <c r="K378" s="4"/>
      <c r="L378" s="4"/>
      <c r="N378" s="1445"/>
      <c r="O378" s="1445"/>
      <c r="P378" s="1445"/>
    </row>
    <row r="379" spans="1:34" ht="12.95" customHeight="1">
      <c r="E379" s="204" t="s">
        <v>2087</v>
      </c>
      <c r="F379" s="4"/>
      <c r="G379" s="4"/>
      <c r="H379" s="4"/>
      <c r="I379" s="4"/>
      <c r="J379" s="4"/>
      <c r="K379" s="4"/>
      <c r="L379" s="4"/>
      <c r="AG379" s="1448" t="s">
        <v>592</v>
      </c>
      <c r="AH379" s="1448"/>
    </row>
    <row r="380" spans="1:34" ht="12.95" customHeight="1">
      <c r="E380" s="4"/>
      <c r="F380" s="4"/>
      <c r="G380" s="4" t="s">
        <v>2088</v>
      </c>
      <c r="H380" s="4"/>
      <c r="I380" s="4"/>
      <c r="J380" s="4"/>
      <c r="K380" s="4"/>
      <c r="L380" s="4"/>
      <c r="AG380" s="1448" t="s">
        <v>592</v>
      </c>
      <c r="AH380" s="1448"/>
    </row>
    <row r="381" spans="1:34" ht="12.95" customHeight="1">
      <c r="E381" s="4"/>
      <c r="F381" s="4"/>
      <c r="G381" s="320" t="s">
        <v>989</v>
      </c>
      <c r="H381" s="4"/>
      <c r="I381" s="4"/>
      <c r="J381" s="4"/>
      <c r="K381" s="4"/>
      <c r="L381" s="4"/>
      <c r="V381" s="1416" t="s">
        <v>592</v>
      </c>
      <c r="W381" s="1416"/>
      <c r="Y381" s="22" t="s">
        <v>981</v>
      </c>
    </row>
    <row r="382" spans="1:34" ht="12.95" customHeight="1">
      <c r="E382" s="4" t="s">
        <v>982</v>
      </c>
      <c r="F382" s="4"/>
      <c r="G382" s="4"/>
      <c r="H382" s="4"/>
      <c r="I382" s="4"/>
      <c r="J382" s="4"/>
      <c r="K382" s="4"/>
      <c r="L382" s="4"/>
      <c r="V382" s="1416" t="s">
        <v>592</v>
      </c>
      <c r="W382" s="1416"/>
      <c r="Y382" s="4" t="s">
        <v>983</v>
      </c>
    </row>
    <row r="383" spans="1:34" ht="12.95" customHeight="1"/>
    <row r="384" spans="1:34" ht="12.95" customHeight="1">
      <c r="A384" s="2" t="s">
        <v>78</v>
      </c>
      <c r="B384" s="2"/>
    </row>
    <row r="385" spans="4:36" ht="12.95" customHeight="1">
      <c r="D385" t="s">
        <v>428</v>
      </c>
      <c r="J385" s="1407" t="s">
        <v>2725</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2.95" customHeight="1">
      <c r="D386" s="3" t="s">
        <v>1183</v>
      </c>
      <c r="J386" s="1525" t="s">
        <v>2723</v>
      </c>
      <c r="K386" s="1371"/>
      <c r="L386" s="1371"/>
      <c r="M386" s="1371"/>
      <c r="N386" s="1371"/>
      <c r="O386" s="1371"/>
      <c r="P386" s="1371"/>
      <c r="Q386" s="1371"/>
      <c r="R386" s="1371"/>
      <c r="S386" s="1371"/>
      <c r="T386" s="1371"/>
      <c r="U386" s="1371"/>
      <c r="V386" s="3" t="s">
        <v>1183</v>
      </c>
      <c r="W386" s="8"/>
      <c r="X386" s="8"/>
      <c r="Y386" s="8"/>
      <c r="Z386" s="8"/>
      <c r="AA386" s="8"/>
      <c r="AB386" s="8"/>
      <c r="AC386" s="1408"/>
      <c r="AD386" s="1408"/>
      <c r="AE386" s="1408"/>
      <c r="AF386" s="1408"/>
      <c r="AG386" s="1408"/>
      <c r="AH386" s="1408"/>
      <c r="AI386" s="1408"/>
      <c r="AJ386" s="1408"/>
    </row>
    <row r="387" spans="4:36" ht="12.95" customHeight="1">
      <c r="D387" s="3" t="s">
        <v>442</v>
      </c>
      <c r="J387" s="1525" t="s">
        <v>2724</v>
      </c>
      <c r="K387" s="1371"/>
      <c r="L387" s="1371"/>
      <c r="M387" s="1371"/>
      <c r="N387" s="1371"/>
      <c r="O387" s="1371"/>
      <c r="P387" s="1371"/>
      <c r="Q387" s="1371"/>
      <c r="R387" s="1371"/>
      <c r="S387" s="1371"/>
      <c r="T387" s="1371"/>
      <c r="U387" s="1371"/>
      <c r="V387" s="3" t="s">
        <v>442</v>
      </c>
      <c r="W387" s="8"/>
      <c r="X387" s="8"/>
      <c r="Y387" s="8"/>
      <c r="Z387" s="8"/>
      <c r="AA387" s="8"/>
      <c r="AB387" s="8"/>
      <c r="AC387" s="1408"/>
      <c r="AD387" s="1408"/>
      <c r="AE387" s="1408"/>
      <c r="AF387" s="1408"/>
      <c r="AG387" s="1408"/>
      <c r="AH387" s="1408"/>
      <c r="AI387" s="1408"/>
      <c r="AJ387" s="1408"/>
    </row>
    <row r="388" spans="4:36" ht="12.95" customHeight="1">
      <c r="D388" t="s">
        <v>1179</v>
      </c>
      <c r="J388" s="1428"/>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5" customHeight="1">
      <c r="D389" t="s">
        <v>4</v>
      </c>
      <c r="Q389" s="1592">
        <v>45904</v>
      </c>
      <c r="R389" s="1592"/>
      <c r="S389" s="1592"/>
      <c r="T389" s="1592"/>
      <c r="U389" s="1592"/>
      <c r="V389" t="s">
        <v>309</v>
      </c>
      <c r="AI389" s="1416" t="s">
        <v>670</v>
      </c>
      <c r="AJ389" s="1416"/>
    </row>
    <row r="390" spans="4:36" ht="12.95" customHeight="1">
      <c r="D390" t="s">
        <v>5</v>
      </c>
      <c r="Q390" s="1523">
        <v>47118</v>
      </c>
      <c r="R390" s="1524"/>
      <c r="S390" s="1524"/>
      <c r="T390" s="1524"/>
      <c r="U390" s="1524"/>
      <c r="W390" s="21" t="s">
        <v>74</v>
      </c>
      <c r="AG390" s="1450"/>
      <c r="AH390" s="1450"/>
      <c r="AI390" s="1450"/>
      <c r="AJ390" s="1450"/>
    </row>
    <row r="391" spans="4:36" ht="12.95" customHeight="1">
      <c r="D391" t="s">
        <v>427</v>
      </c>
      <c r="Q391" s="1451">
        <v>1300000</v>
      </c>
      <c r="R391" s="1451"/>
      <c r="S391" s="1451"/>
      <c r="T391" s="1451"/>
      <c r="U391" s="1451"/>
      <c r="V391" s="3" t="s">
        <v>1182</v>
      </c>
      <c r="AG391" s="1521"/>
      <c r="AH391" s="1521"/>
      <c r="AI391" s="1521"/>
      <c r="AJ391" s="1521"/>
    </row>
    <row r="392" spans="4:36" ht="12.95" customHeight="1">
      <c r="D392" t="s">
        <v>88</v>
      </c>
      <c r="I392" s="1544"/>
      <c r="J392" s="1544"/>
      <c r="K392" s="1544"/>
      <c r="L392" s="1544"/>
      <c r="M392" s="1544"/>
      <c r="N392" s="1544"/>
      <c r="Q392" s="4" t="s">
        <v>206</v>
      </c>
      <c r="S392" s="1449"/>
      <c r="T392" s="1449"/>
      <c r="U392" s="1449"/>
      <c r="V392" t="s">
        <v>73</v>
      </c>
      <c r="AI392" s="1416" t="s">
        <v>670</v>
      </c>
      <c r="AJ392" s="1416"/>
    </row>
    <row r="393" spans="4:36" ht="12.95" customHeight="1">
      <c r="D393" t="s">
        <v>310</v>
      </c>
      <c r="Q393" s="1527"/>
      <c r="R393" s="1527"/>
      <c r="S393" s="1527"/>
      <c r="T393" s="1527"/>
      <c r="U393" s="1527"/>
      <c r="V393" t="s">
        <v>311</v>
      </c>
      <c r="AG393" s="1450"/>
      <c r="AH393" s="1450"/>
      <c r="AI393" s="1450"/>
      <c r="AJ393" s="1450"/>
    </row>
    <row r="394" spans="4:36" ht="12.95" customHeight="1">
      <c r="D394" t="s">
        <v>312</v>
      </c>
      <c r="Q394" s="1582"/>
      <c r="R394" s="1582"/>
      <c r="S394" s="1582"/>
      <c r="T394" s="1582"/>
      <c r="U394" s="1582"/>
      <c r="V394" t="s">
        <v>1164</v>
      </c>
      <c r="AG394" s="1450"/>
      <c r="AH394" s="1450"/>
      <c r="AI394" s="1450"/>
      <c r="AJ394" s="1450"/>
    </row>
    <row r="395" spans="4:36" ht="12.95" customHeight="1">
      <c r="D395" t="s">
        <v>1163</v>
      </c>
      <c r="AG395" s="1450"/>
      <c r="AH395" s="1450"/>
      <c r="AI395" s="1450"/>
      <c r="AJ395" s="1450"/>
    </row>
    <row r="396" spans="4:36" ht="12.95" customHeight="1">
      <c r="AG396" s="456"/>
      <c r="AH396" s="456"/>
      <c r="AI396" s="456"/>
      <c r="AJ396" s="456"/>
    </row>
    <row r="397" spans="4:36" ht="12.95" customHeight="1">
      <c r="D397" s="3" t="s">
        <v>2144</v>
      </c>
      <c r="AG397" s="456"/>
      <c r="AH397" s="456"/>
      <c r="AI397" s="1416" t="s">
        <v>670</v>
      </c>
      <c r="AJ397" s="1416"/>
    </row>
    <row r="398" spans="4:36" ht="12.95" customHeight="1">
      <c r="D398" s="3" t="s">
        <v>1669</v>
      </c>
      <c r="T398" s="1435"/>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1668</v>
      </c>
      <c r="T399" s="1435"/>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1662</v>
      </c>
      <c r="S401" s="1435" t="s">
        <v>670</v>
      </c>
      <c r="T401" s="1435"/>
      <c r="U401" s="1435"/>
      <c r="V401" t="s">
        <v>1663</v>
      </c>
      <c r="AG401" s="1526"/>
      <c r="AH401" s="1526"/>
      <c r="AI401" s="1526"/>
      <c r="AJ401" s="1526"/>
    </row>
    <row r="402" spans="1:36" ht="12.95" customHeight="1">
      <c r="D402" s="3" t="s">
        <v>1660</v>
      </c>
      <c r="S402" s="1435" t="s">
        <v>592</v>
      </c>
      <c r="T402" s="1435"/>
      <c r="U402" s="1435"/>
      <c r="V402" t="s">
        <v>1665</v>
      </c>
      <c r="AE402" s="1520"/>
      <c r="AF402" s="1520"/>
      <c r="AG402" s="1520"/>
      <c r="AH402" s="1520"/>
      <c r="AI402" s="1520"/>
      <c r="AJ402" s="1520"/>
    </row>
    <row r="403" spans="1:36" ht="12.95" customHeight="1">
      <c r="D403" s="3" t="s">
        <v>1661</v>
      </c>
      <c r="K403" s="1522"/>
      <c r="L403" s="1522"/>
      <c r="M403" s="1522"/>
      <c r="N403" s="1522"/>
      <c r="O403" s="1522"/>
      <c r="P403" s="1522"/>
      <c r="Q403" s="1522"/>
      <c r="R403" s="1522"/>
      <c r="S403" s="1522"/>
      <c r="T403" s="1522"/>
      <c r="U403" s="1522"/>
      <c r="V403" s="1522"/>
      <c r="W403" s="1522"/>
      <c r="X403" s="1522"/>
      <c r="Y403" s="1522"/>
      <c r="Z403" s="1522"/>
      <c r="AA403" s="1522"/>
      <c r="AB403" s="1522"/>
      <c r="AC403" s="1522"/>
      <c r="AD403" s="1522"/>
      <c r="AE403" s="1522"/>
      <c r="AF403" s="1522"/>
      <c r="AG403" s="1522"/>
      <c r="AH403" s="1522"/>
      <c r="AI403" s="1522"/>
      <c r="AJ403" s="1522"/>
    </row>
    <row r="404" spans="1:36" ht="12.95" customHeight="1">
      <c r="D404" s="3" t="s">
        <v>1664</v>
      </c>
      <c r="K404" s="1522"/>
      <c r="L404" s="1522"/>
      <c r="M404" s="1522"/>
      <c r="N404" s="1522"/>
      <c r="O404" s="1522"/>
      <c r="P404" s="1522"/>
      <c r="Q404" s="1522"/>
      <c r="R404" s="1522"/>
      <c r="S404" s="1522"/>
      <c r="T404" s="1522"/>
      <c r="U404" s="1522"/>
      <c r="V404" s="1522"/>
      <c r="W404" s="1522"/>
      <c r="X404" s="1522"/>
      <c r="Y404" s="1522"/>
      <c r="Z404" s="1522"/>
      <c r="AA404" s="1522"/>
      <c r="AB404" s="1522"/>
      <c r="AC404" s="1522"/>
      <c r="AD404" s="1522"/>
      <c r="AE404" s="1522"/>
      <c r="AF404" s="1522"/>
      <c r="AG404" s="1522"/>
      <c r="AH404" s="1522"/>
      <c r="AI404" s="1522"/>
      <c r="AJ404" s="1522"/>
    </row>
    <row r="405" spans="1:36" ht="12.95" customHeight="1">
      <c r="D405" s="3" t="s">
        <v>1667</v>
      </c>
      <c r="E405" s="477"/>
      <c r="F405" s="477"/>
      <c r="G405" s="477"/>
      <c r="H405" s="477"/>
      <c r="I405" s="477"/>
      <c r="J405" s="477"/>
      <c r="K405" s="477"/>
      <c r="L405" s="477"/>
      <c r="M405" s="477"/>
      <c r="N405" s="477"/>
      <c r="O405" s="477"/>
      <c r="P405" s="477"/>
      <c r="Q405" s="477"/>
      <c r="R405" s="477"/>
      <c r="S405" s="1447" t="s">
        <v>1185</v>
      </c>
      <c r="T405" s="1447"/>
      <c r="U405" s="1447"/>
      <c r="V405" s="1447"/>
      <c r="W405" s="1447"/>
      <c r="X405" s="1447"/>
      <c r="Y405" s="1447"/>
      <c r="Z405" s="1447"/>
      <c r="AA405" s="1447"/>
      <c r="AB405" s="1447"/>
      <c r="AC405" s="1447"/>
      <c r="AD405" s="1447"/>
      <c r="AE405" s="1447"/>
      <c r="AF405" s="1447"/>
      <c r="AG405" s="1447"/>
      <c r="AH405" s="1447"/>
      <c r="AI405" s="1447"/>
      <c r="AJ405" s="1447"/>
    </row>
    <row r="406" spans="1:36" ht="12.95" customHeight="1">
      <c r="D406" s="1266" t="s">
        <v>1666</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07" t="s">
        <v>1225</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6" t="s">
        <v>546</v>
      </c>
      <c r="S411" s="1416"/>
      <c r="AC411" s="27" t="s">
        <v>571</v>
      </c>
      <c r="AD411" s="1390">
        <v>6</v>
      </c>
      <c r="AE411" s="1390"/>
    </row>
    <row r="412" spans="1:36" ht="12.95" customHeight="1">
      <c r="E412" t="s">
        <v>107</v>
      </c>
      <c r="R412" s="1416" t="s">
        <v>592</v>
      </c>
      <c r="S412" s="1416"/>
      <c r="AC412" s="27" t="s">
        <v>571</v>
      </c>
      <c r="AD412" s="1390"/>
      <c r="AE412" s="1390"/>
    </row>
    <row r="413" spans="1:36" ht="12.95" customHeight="1">
      <c r="E413" t="s">
        <v>108</v>
      </c>
      <c r="S413" s="1416" t="s">
        <v>592</v>
      </c>
      <c r="T413" s="1416"/>
    </row>
    <row r="414" spans="1:36" ht="12.95" customHeight="1">
      <c r="E414" t="s">
        <v>170</v>
      </c>
      <c r="H414" s="1583" t="s">
        <v>2695</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5"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5" customHeight="1"/>
    <row r="417" spans="1:39" ht="12.95" customHeight="1">
      <c r="A417" s="2" t="s">
        <v>591</v>
      </c>
      <c r="B417" s="2"/>
      <c r="C417" s="2"/>
      <c r="D417" s="2" t="s">
        <v>114</v>
      </c>
      <c r="AF417" s="2" t="s">
        <v>958</v>
      </c>
    </row>
    <row r="418" spans="1:39" ht="12.95" customHeight="1">
      <c r="E418" s="1445"/>
      <c r="F418" s="1445"/>
      <c r="G418" s="1445"/>
      <c r="H418" s="13" t="s">
        <v>115</v>
      </c>
      <c r="I418" s="1445"/>
      <c r="J418" s="1445"/>
      <c r="K418" s="1445"/>
      <c r="L418" t="s">
        <v>116</v>
      </c>
      <c r="N418" s="27" t="s">
        <v>576</v>
      </c>
      <c r="P418" s="1586">
        <v>1.1200000000000001</v>
      </c>
      <c r="Q418" s="1586"/>
      <c r="R418" s="1586"/>
      <c r="S418" t="s">
        <v>117</v>
      </c>
      <c r="W418" s="1446">
        <f>IF(E418&gt;0,(E418*I418),(P418*43560))</f>
        <v>48787.200000000004</v>
      </c>
      <c r="X418" s="1446"/>
      <c r="Y418" s="1446"/>
      <c r="Z418" t="s">
        <v>118</v>
      </c>
      <c r="AF418" s="1587">
        <f>IFERROR(IF(P418&gt;0,(AG437/P418),(AG437/(W418/43560))),0)</f>
        <v>133.92857142857142</v>
      </c>
      <c r="AG418" s="1587"/>
      <c r="AH418" s="1587"/>
      <c r="AM418" s="3"/>
    </row>
    <row r="419" spans="1:39" ht="12.95" customHeight="1">
      <c r="E419" t="s">
        <v>51</v>
      </c>
    </row>
    <row r="420" spans="1:39" ht="12.95" customHeight="1">
      <c r="E420" s="1506"/>
      <c r="F420" s="1506"/>
      <c r="G420" s="1506"/>
      <c r="H420" s="1506"/>
      <c r="I420" s="1506"/>
      <c r="J420" s="1506"/>
      <c r="K420" s="1506"/>
      <c r="L420" s="1506"/>
      <c r="M420" s="1506"/>
      <c r="N420" s="1506"/>
      <c r="O420" s="1506"/>
      <c r="P420" s="1506"/>
      <c r="Q420" s="1506"/>
      <c r="R420" s="1506"/>
      <c r="S420" s="1506"/>
      <c r="T420" s="1506"/>
      <c r="U420" s="1506"/>
      <c r="V420" s="1506"/>
      <c r="W420" s="1506"/>
      <c r="X420" s="1506"/>
      <c r="Y420" s="1506"/>
      <c r="Z420" s="1506"/>
      <c r="AA420" s="1506"/>
      <c r="AB420" s="1506"/>
      <c r="AC420" s="1506"/>
      <c r="AD420" s="1506"/>
      <c r="AE420" s="1506"/>
      <c r="AF420" s="1506"/>
      <c r="AG420" s="1506"/>
      <c r="AH420" s="1506"/>
      <c r="AI420" s="1506"/>
      <c r="AJ420" s="1506"/>
    </row>
    <row r="421" spans="1:39" ht="12.95" customHeight="1">
      <c r="E421" s="118" t="s">
        <v>1738</v>
      </c>
      <c r="F421" s="1013"/>
      <c r="G421" s="1013"/>
      <c r="H421" s="1013"/>
      <c r="I421" s="1585">
        <v>1.1200000000000001</v>
      </c>
      <c r="J421" s="1585"/>
      <c r="K421" s="1585"/>
      <c r="L421" s="1013"/>
      <c r="M421" s="118"/>
      <c r="N421" s="1013"/>
      <c r="O421" s="1013"/>
      <c r="P421" s="1836">
        <f>(DU755+DU778+DU800)/I421</f>
        <v>246.42857142857142</v>
      </c>
      <c r="Q421" s="1836"/>
      <c r="R421" s="1836"/>
      <c r="S421" s="118" t="s">
        <v>1739</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416">
        <v>1</v>
      </c>
      <c r="Q424" s="1416"/>
      <c r="S424" t="s">
        <v>189</v>
      </c>
      <c r="AE424" s="1416">
        <v>0</v>
      </c>
      <c r="AF424" s="1416"/>
    </row>
    <row r="425" spans="1:39" ht="12.95" customHeight="1">
      <c r="E425" t="s">
        <v>190</v>
      </c>
      <c r="P425" s="1416">
        <v>0</v>
      </c>
      <c r="Q425" s="1416"/>
      <c r="S425" t="s">
        <v>131</v>
      </c>
      <c r="AE425" s="1416" t="s">
        <v>592</v>
      </c>
      <c r="AF425" s="1416"/>
    </row>
    <row r="426" spans="1:39" ht="12.95" customHeight="1">
      <c r="F426" s="28" t="s">
        <v>132</v>
      </c>
    </row>
    <row r="427" spans="1:39" ht="12.95"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5"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5" customHeight="1">
      <c r="E429" t="s">
        <v>609</v>
      </c>
      <c r="P429" s="1"/>
      <c r="Q429" s="1416" t="s">
        <v>546</v>
      </c>
      <c r="R429" s="1416"/>
    </row>
    <row r="430" spans="1:39" ht="12.95" customHeight="1">
      <c r="F430" t="s">
        <v>610</v>
      </c>
      <c r="P430" s="1"/>
      <c r="Q430" s="1"/>
      <c r="AF430" s="1416" t="s">
        <v>592</v>
      </c>
      <c r="AG430" s="1508"/>
    </row>
    <row r="431" spans="1:39" ht="12.95" customHeight="1"/>
    <row r="432" spans="1:39" ht="12.95" customHeight="1">
      <c r="A432" s="2"/>
      <c r="B432" s="2"/>
      <c r="C432" s="2"/>
      <c r="E432" s="4" t="s">
        <v>308</v>
      </c>
      <c r="Z432" s="1416" t="s">
        <v>670</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2.95" customHeight="1"/>
    <row r="436" spans="1:55" ht="12.95" customHeight="1">
      <c r="A436" s="2" t="s">
        <v>468</v>
      </c>
      <c r="B436" s="2"/>
      <c r="C436" s="2"/>
      <c r="D436" s="2" t="s">
        <v>765</v>
      </c>
      <c r="AF436" s="48"/>
    </row>
    <row r="437" spans="1:55" ht="12.95" customHeight="1">
      <c r="D437" s="1507"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5">
        <v>150</v>
      </c>
      <c r="AH437" s="1385"/>
      <c r="AI437" s="1385"/>
      <c r="AJ437" s="1385"/>
    </row>
    <row r="438" spans="1:55" ht="12.95"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6">
        <v>0</v>
      </c>
      <c r="AH438" s="1467"/>
      <c r="AI438" s="1467"/>
      <c r="AJ438" s="1467"/>
    </row>
    <row r="439" spans="1:55" ht="12.95"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149</v>
      </c>
      <c r="AH439" s="1385"/>
      <c r="AI439" s="1385"/>
      <c r="AJ439" s="1385"/>
    </row>
    <row r="440" spans="1:55" ht="12.95"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149</v>
      </c>
      <c r="AH440" s="1385"/>
      <c r="AI440" s="1385"/>
      <c r="AJ440" s="1385"/>
    </row>
    <row r="441" spans="1:55" ht="12.95"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109083-1105</f>
        <v>107978</v>
      </c>
      <c r="AH442" s="1417"/>
      <c r="AI442" s="1417"/>
      <c r="AJ442" s="1417"/>
    </row>
    <row r="443" spans="1:55" ht="12.95"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107978</v>
      </c>
      <c r="AH443" s="1417"/>
      <c r="AI443" s="1417"/>
      <c r="AJ443" s="1417"/>
    </row>
    <row r="444" spans="1:55" ht="12.95"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2089</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7">
        <v>2390</v>
      </c>
      <c r="AH446" s="1417"/>
      <c r="AI446" s="1417"/>
      <c r="AJ446" s="1417"/>
      <c r="AZ446" s="34"/>
      <c r="BA446" s="34"/>
      <c r="BB446" s="34"/>
      <c r="BC446" s="34"/>
    </row>
    <row r="447" spans="1:55" ht="12.95" customHeight="1">
      <c r="D447" s="1507" t="s">
        <v>570</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7">
        <v>0</v>
      </c>
      <c r="AH447" s="1417"/>
      <c r="AI447" s="1417"/>
      <c r="AJ447" s="1417"/>
      <c r="AZ447" s="3"/>
      <c r="BA447" s="3"/>
      <c r="BB447" s="3"/>
      <c r="BC447" s="3"/>
    </row>
    <row r="448" spans="1:55" ht="12.95" customHeight="1">
      <c r="D448" s="1419" t="s">
        <v>1206</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7">
        <v>1105</v>
      </c>
      <c r="AH448" s="1417"/>
      <c r="AI448" s="1417"/>
      <c r="AJ448" s="1417"/>
      <c r="AZ448" s="3"/>
      <c r="BA448" s="3"/>
      <c r="BB448" s="3"/>
      <c r="BC448" s="3"/>
    </row>
    <row r="449" spans="1:55" ht="12.95" customHeight="1">
      <c r="D449" s="1419" t="s">
        <v>1039</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7">
        <v>39267</v>
      </c>
      <c r="AH449" s="1417"/>
      <c r="AI449" s="1417"/>
      <c r="AJ449" s="1417"/>
      <c r="BB449" s="3"/>
      <c r="BC449" s="3"/>
    </row>
    <row r="450" spans="1:55" ht="12.95" customHeight="1">
      <c r="D450" s="1579" t="s">
        <v>1040</v>
      </c>
      <c r="E450" s="1580"/>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F450" s="1581"/>
      <c r="AG450" s="1430">
        <f>AG442+AG446+AG448+AG449</f>
        <v>150740</v>
      </c>
      <c r="AH450" s="1430"/>
      <c r="AI450" s="1430"/>
      <c r="AJ450" s="1430"/>
      <c r="AZ450" s="3"/>
      <c r="BA450" s="3"/>
      <c r="BB450" s="3"/>
      <c r="BC450" s="3"/>
    </row>
    <row r="451" spans="1:55" ht="12.95" customHeight="1">
      <c r="D451" s="1588" t="s">
        <v>1207</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5"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432055.29333333333</v>
      </c>
      <c r="AD454" s="1373"/>
      <c r="AE454" s="1373"/>
      <c r="AF454" s="1373"/>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432055.29333333333</v>
      </c>
      <c r="AD455" s="1373"/>
      <c r="AE455" s="1373"/>
      <c r="AF455" s="1373"/>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413168.98666666669</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1656</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73"/>
      <c r="H474" s="1674"/>
      <c r="I474" s="1674"/>
      <c r="J474" s="1674"/>
      <c r="K474" s="1674"/>
      <c r="L474" s="1674"/>
      <c r="M474" s="1674"/>
      <c r="N474" s="1674"/>
      <c r="O474" s="1674"/>
      <c r="P474" s="1674"/>
      <c r="Q474" s="1674"/>
      <c r="R474" s="1674"/>
      <c r="S474" s="1674"/>
      <c r="T474" s="1674"/>
      <c r="U474" s="1674"/>
      <c r="V474" s="1675"/>
      <c r="W474" s="1391">
        <v>0</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6" t="s">
        <v>811</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2.9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394</v>
      </c>
      <c r="C486" s="5"/>
      <c r="D486" s="5"/>
      <c r="E486" s="5"/>
      <c r="F486" s="5"/>
      <c r="G486" s="5"/>
      <c r="H486" s="5"/>
      <c r="I486" s="5"/>
      <c r="J486" s="5"/>
      <c r="K486" s="5"/>
      <c r="L486" s="5"/>
      <c r="M486" s="5"/>
      <c r="N486" s="5"/>
      <c r="O486" s="5"/>
      <c r="P486" s="5"/>
      <c r="Q486" s="1465" t="s">
        <v>2696</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395</v>
      </c>
      <c r="C487" s="5"/>
      <c r="D487" s="5"/>
      <c r="E487" s="5"/>
      <c r="F487" s="5"/>
      <c r="G487" s="5"/>
      <c r="H487" s="5"/>
      <c r="I487" s="5"/>
      <c r="J487" s="5"/>
      <c r="K487" s="5"/>
      <c r="L487" s="5"/>
      <c r="M487" s="5"/>
      <c r="N487" s="5"/>
      <c r="O487" s="5"/>
      <c r="P487" s="5"/>
      <c r="Q487" s="1465" t="s">
        <v>2726</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396</v>
      </c>
      <c r="C488" s="5"/>
      <c r="D488" s="5"/>
      <c r="E488" s="5"/>
      <c r="F488" s="5"/>
      <c r="G488" s="5"/>
      <c r="H488" s="5"/>
      <c r="I488" s="5"/>
      <c r="J488" s="5"/>
      <c r="K488" s="5"/>
      <c r="L488" s="5"/>
      <c r="M488" s="5"/>
      <c r="N488" s="5"/>
      <c r="O488" s="5"/>
      <c r="P488" s="5"/>
      <c r="Q488" s="1465" t="s">
        <v>2696</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5" t="s">
        <v>397</v>
      </c>
      <c r="C489" s="1456"/>
      <c r="D489" s="1456"/>
      <c r="E489" s="1456"/>
      <c r="F489" s="1456"/>
      <c r="G489" s="1456"/>
      <c r="H489" s="1456"/>
      <c r="I489" s="1456"/>
      <c r="J489" s="1456"/>
      <c r="K489" s="1456"/>
      <c r="L489" s="1456"/>
      <c r="M489" s="1456"/>
      <c r="N489" s="1456"/>
      <c r="O489" s="1456"/>
      <c r="P489" s="1457"/>
      <c r="Q489" s="1461" t="s">
        <v>670</v>
      </c>
      <c r="R489" s="1462"/>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5" customHeight="1">
      <c r="B490" s="1458"/>
      <c r="C490" s="1459"/>
      <c r="D490" s="1459"/>
      <c r="E490" s="1459"/>
      <c r="F490" s="1459"/>
      <c r="G490" s="1459"/>
      <c r="H490" s="1459"/>
      <c r="I490" s="1459"/>
      <c r="J490" s="1459"/>
      <c r="K490" s="1459"/>
      <c r="L490" s="1459"/>
      <c r="M490" s="1459"/>
      <c r="N490" s="1459"/>
      <c r="O490" s="1459"/>
      <c r="P490" s="1460"/>
      <c r="Q490" s="1463"/>
      <c r="R490" s="1464"/>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2.95" customHeight="1">
      <c r="B491" s="895" t="s">
        <v>1673</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398</v>
      </c>
      <c r="C492" s="5"/>
      <c r="D492" s="5"/>
      <c r="E492" s="5"/>
      <c r="F492" s="5"/>
      <c r="G492" s="5"/>
      <c r="H492" s="5"/>
      <c r="I492" s="5"/>
      <c r="J492" s="5"/>
      <c r="K492" s="5"/>
      <c r="L492" s="5"/>
      <c r="M492" s="5"/>
      <c r="N492" s="5"/>
      <c r="O492" s="5"/>
      <c r="P492" s="5"/>
      <c r="Q492" s="1465" t="s">
        <v>2727</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70">
        <v>76</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1670</v>
      </c>
      <c r="C494" s="5"/>
      <c r="D494" s="5"/>
      <c r="E494" s="5"/>
      <c r="F494" s="5"/>
      <c r="G494" s="5"/>
      <c r="H494" s="5"/>
      <c r="I494" s="5"/>
      <c r="J494" s="5"/>
      <c r="K494" s="5"/>
      <c r="L494" s="5"/>
      <c r="M494" s="5"/>
      <c r="N494" s="5"/>
      <c r="O494" s="5"/>
      <c r="P494" s="5"/>
      <c r="Q494" s="1370">
        <v>78</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1671</v>
      </c>
      <c r="C495" s="5"/>
      <c r="D495" s="5"/>
      <c r="E495" s="5"/>
      <c r="F495" s="5"/>
      <c r="G495" s="5"/>
      <c r="H495" s="5"/>
      <c r="I495" s="5"/>
      <c r="J495" s="5"/>
      <c r="K495" s="5"/>
      <c r="L495" s="5"/>
      <c r="M495" s="1381">
        <v>78</v>
      </c>
      <c r="N495" s="1382"/>
      <c r="O495" s="1382"/>
      <c r="P495" s="1383"/>
      <c r="Q495" s="121" t="s">
        <v>1672</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8</v>
      </c>
      <c r="AD501" s="1390"/>
      <c r="AE501" s="1390"/>
      <c r="AF501" s="1390"/>
      <c r="AG501" s="13" t="s">
        <v>403</v>
      </c>
      <c r="AH501" s="1428">
        <v>2025</v>
      </c>
      <c r="AI501" s="1428"/>
      <c r="AJ501" s="1428"/>
      <c r="AK501" s="1429"/>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8</v>
      </c>
      <c r="AD502" s="1390"/>
      <c r="AE502" s="1390"/>
      <c r="AF502" s="1390"/>
      <c r="AG502" s="38" t="s">
        <v>403</v>
      </c>
      <c r="AH502" s="1428">
        <v>2025</v>
      </c>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411</v>
      </c>
      <c r="AC505" s="1389" t="s">
        <v>592</v>
      </c>
      <c r="AD505" s="1390"/>
      <c r="AE505" s="1390"/>
      <c r="AF505" s="1390"/>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412</v>
      </c>
      <c r="AC506" s="1389">
        <v>5</v>
      </c>
      <c r="AD506" s="1390"/>
      <c r="AE506" s="1390"/>
      <c r="AF506" s="1390"/>
      <c r="AG506" s="13" t="s">
        <v>403</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413</v>
      </c>
      <c r="AC507" s="1355">
        <v>5</v>
      </c>
      <c r="AD507" s="1356"/>
      <c r="AE507" s="1356"/>
      <c r="AF507" s="1356"/>
      <c r="AG507" s="13" t="s">
        <v>403</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592</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1677</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1674</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1675</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1676</v>
      </c>
      <c r="J512" s="48"/>
      <c r="K512" s="48"/>
      <c r="L512" s="48"/>
      <c r="M512" s="48"/>
      <c r="N512" s="48"/>
      <c r="O512" s="48"/>
      <c r="P512" s="48"/>
      <c r="Q512" s="48"/>
      <c r="R512" s="48"/>
      <c r="S512" s="48"/>
      <c r="T512" s="48"/>
      <c r="U512" s="48"/>
      <c r="V512" s="48"/>
      <c r="W512" s="48"/>
      <c r="X512" s="48"/>
      <c r="Y512" s="48"/>
      <c r="Z512" s="48"/>
      <c r="AA512" s="48"/>
      <c r="AB512" s="48"/>
      <c r="AC512" s="1452">
        <v>0.5</v>
      </c>
      <c r="AD512" s="1453"/>
      <c r="AE512" s="1453"/>
      <c r="AF512" s="1454"/>
      <c r="AG512" s="38"/>
      <c r="AH512" s="1590"/>
      <c r="AI512" s="1590"/>
      <c r="AJ512" s="1590"/>
      <c r="AK512" s="1591"/>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2106</v>
      </c>
    </row>
    <row r="514" spans="2:66" ht="12.95"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9</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2107</v>
      </c>
    </row>
    <row r="515" spans="2:66" ht="12.95" customHeight="1">
      <c r="B515" s="1399"/>
      <c r="C515" s="1400"/>
      <c r="D515" s="1400"/>
      <c r="E515" s="1400"/>
      <c r="F515" s="1400"/>
      <c r="G515" s="1400"/>
      <c r="H515" s="1401"/>
      <c r="I515" t="s">
        <v>416</v>
      </c>
      <c r="AC515" s="1389">
        <v>9</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2108</v>
      </c>
    </row>
    <row r="516" spans="2:66" ht="12.95"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2109</v>
      </c>
    </row>
    <row r="517" spans="2:66" ht="12.95"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9</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2110</v>
      </c>
    </row>
    <row r="518" spans="2:66" ht="12.95" customHeight="1">
      <c r="B518" s="1399"/>
      <c r="C518" s="1400"/>
      <c r="D518" s="1400"/>
      <c r="E518" s="1400"/>
      <c r="F518" s="1400"/>
      <c r="G518" s="1400"/>
      <c r="H518" s="1401"/>
      <c r="I518" t="s">
        <v>416</v>
      </c>
      <c r="AC518" s="1389">
        <v>9</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2111</v>
      </c>
    </row>
    <row r="519" spans="2:66" ht="12.95"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403</v>
      </c>
      <c r="AH519" s="1428">
        <v>2026</v>
      </c>
      <c r="AI519" s="1428"/>
      <c r="AJ519" s="1428"/>
      <c r="AK519" s="1429"/>
      <c r="BB519" s="3"/>
      <c r="BC519" s="3"/>
      <c r="BD519" s="3"/>
      <c r="BE519" s="3"/>
      <c r="BF519" s="3"/>
      <c r="BG519" s="3"/>
      <c r="BH519" s="3"/>
      <c r="BI519" s="3"/>
      <c r="BJ519" s="3"/>
      <c r="BK519" s="3"/>
      <c r="BL519" s="3"/>
      <c r="BM519" s="3"/>
      <c r="BN519" s="3" t="s">
        <v>2112</v>
      </c>
    </row>
    <row r="520" spans="2:66" ht="12.95" customHeight="1">
      <c r="B520" s="1396" t="s">
        <v>419</v>
      </c>
      <c r="C520" s="1397"/>
      <c r="D520" s="1397"/>
      <c r="E520" s="1397"/>
      <c r="F520" s="1397"/>
      <c r="G520" s="1397"/>
      <c r="H520" s="1398"/>
      <c r="I520" s="41" t="s">
        <v>420</v>
      </c>
      <c r="J520" s="42"/>
      <c r="K520" s="42"/>
      <c r="L520" s="42"/>
      <c r="M520" s="42"/>
      <c r="N520" s="42"/>
      <c r="O520" s="1434" t="s">
        <v>334</v>
      </c>
      <c r="P520" s="1435"/>
      <c r="Q520" s="1435"/>
      <c r="R520" s="1435"/>
      <c r="S520" s="1435"/>
      <c r="T520" s="1435"/>
      <c r="U520" s="1435"/>
      <c r="V520" s="1435"/>
      <c r="W520" s="1435"/>
      <c r="X520" s="1435"/>
      <c r="Y520" s="1435"/>
      <c r="Z520" s="1435"/>
      <c r="AA520" s="1435"/>
      <c r="AB520" s="58"/>
      <c r="AC520" s="1355" t="s">
        <v>592</v>
      </c>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2113</v>
      </c>
    </row>
    <row r="521" spans="2:66" ht="12.95" customHeight="1">
      <c r="B521" s="1399"/>
      <c r="C521" s="1400"/>
      <c r="D521" s="1400"/>
      <c r="E521" s="1400"/>
      <c r="F521" s="1400"/>
      <c r="G521" s="1400"/>
      <c r="H521" s="1401"/>
      <c r="I521" s="114" t="s">
        <v>421</v>
      </c>
      <c r="AB521" s="65"/>
      <c r="AC521" s="1389" t="s">
        <v>592</v>
      </c>
      <c r="AD521" s="1390"/>
      <c r="AE521" s="1390"/>
      <c r="AF521" s="1390"/>
      <c r="AG521" s="13" t="s">
        <v>403</v>
      </c>
      <c r="AH521" s="1428"/>
      <c r="AI521" s="1428"/>
      <c r="AJ521" s="1428"/>
      <c r="AK521" s="1429"/>
      <c r="AZ521" s="3"/>
      <c r="BB521" s="3"/>
      <c r="BC521" s="3"/>
      <c r="BD521" s="3"/>
      <c r="BE521" s="3"/>
      <c r="BF521" s="3"/>
      <c r="BG521" s="3"/>
      <c r="BH521" s="3"/>
      <c r="BI521" s="3"/>
      <c r="BJ521" s="3"/>
      <c r="BK521" s="3"/>
      <c r="BL521" s="3"/>
      <c r="BM521" s="3"/>
      <c r="BN521" s="3" t="s">
        <v>2114</v>
      </c>
    </row>
    <row r="522" spans="2:66" ht="12.95"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8"/>
      <c r="AI522" s="1428"/>
      <c r="AJ522" s="1428"/>
      <c r="AK522" s="1429"/>
      <c r="AZ522" s="3"/>
      <c r="BA522" s="3"/>
      <c r="BB522" s="3"/>
      <c r="BC522" s="3"/>
      <c r="BD522" s="3"/>
      <c r="BE522" s="3"/>
      <c r="BF522" s="3"/>
      <c r="BG522" s="3"/>
      <c r="BH522" s="3"/>
      <c r="BI522" s="3"/>
      <c r="BJ522" s="3"/>
      <c r="BK522" s="3"/>
      <c r="BL522" s="3"/>
      <c r="BM522" s="3"/>
      <c r="BN522" s="3" t="s">
        <v>2115</v>
      </c>
    </row>
    <row r="523" spans="2:66" ht="12.95" customHeight="1">
      <c r="B523" s="1399"/>
      <c r="C523" s="1400"/>
      <c r="D523" s="1400"/>
      <c r="E523" s="1400"/>
      <c r="F523" s="1400"/>
      <c r="G523" s="1400"/>
      <c r="H523" s="1401"/>
      <c r="I523" s="42" t="s">
        <v>423</v>
      </c>
      <c r="J523" s="42"/>
      <c r="K523" s="42"/>
      <c r="L523" s="42"/>
      <c r="M523" s="42"/>
      <c r="N523" s="42"/>
      <c r="O523" s="1434" t="s">
        <v>334</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2116</v>
      </c>
    </row>
    <row r="524" spans="2:66" ht="12.95" customHeight="1">
      <c r="B524" s="1399"/>
      <c r="C524" s="1400"/>
      <c r="D524" s="1400"/>
      <c r="E524" s="1400"/>
      <c r="F524" s="1400"/>
      <c r="G524" s="1400"/>
      <c r="H524" s="1401"/>
      <c r="I524" t="s">
        <v>421</v>
      </c>
      <c r="AC524" s="1389" t="s">
        <v>592</v>
      </c>
      <c r="AD524" s="1390"/>
      <c r="AE524" s="1390"/>
      <c r="AF524" s="1390"/>
      <c r="AG524" s="13" t="s">
        <v>403</v>
      </c>
      <c r="AH524" s="1428"/>
      <c r="AI524" s="1428"/>
      <c r="AJ524" s="1428"/>
      <c r="AK524" s="1429"/>
      <c r="AZ524" s="3"/>
      <c r="BA524" s="3"/>
      <c r="BB524" s="3"/>
      <c r="BC524" s="3"/>
      <c r="BD524" s="3"/>
      <c r="BE524" s="3"/>
      <c r="BF524" s="3"/>
      <c r="BG524" s="3"/>
      <c r="BH524" s="3"/>
      <c r="BI524" s="3"/>
      <c r="BJ524" s="3"/>
      <c r="BK524" s="3"/>
      <c r="BL524" s="3"/>
      <c r="BM524" s="3"/>
      <c r="BN524" s="3" t="s">
        <v>2117</v>
      </c>
    </row>
    <row r="525" spans="2:66" ht="12.95"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8"/>
      <c r="AI525" s="1428"/>
      <c r="AJ525" s="1428"/>
      <c r="AK525" s="1429"/>
      <c r="AZ525" s="3"/>
      <c r="BA525" s="3"/>
      <c r="BB525" s="3"/>
      <c r="BC525" s="3"/>
      <c r="BD525" s="3"/>
      <c r="BE525" s="3"/>
      <c r="BF525" s="3"/>
      <c r="BG525" s="3"/>
      <c r="BH525" s="3"/>
      <c r="BI525" s="3"/>
      <c r="BJ525" s="3"/>
      <c r="BK525" s="3"/>
      <c r="BL525" s="3"/>
      <c r="BM525" s="3"/>
      <c r="BN525" s="3" t="s">
        <v>2118</v>
      </c>
    </row>
    <row r="526" spans="2:66" ht="12.95" customHeight="1">
      <c r="B526" s="1399"/>
      <c r="C526" s="1400"/>
      <c r="D526" s="1400"/>
      <c r="E526" s="1400"/>
      <c r="F526" s="1400"/>
      <c r="G526" s="1400"/>
      <c r="H526" s="1401"/>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2119</v>
      </c>
    </row>
    <row r="527" spans="2:66" ht="12.95" customHeight="1">
      <c r="B527" s="1399"/>
      <c r="C527" s="1400"/>
      <c r="D527" s="1400"/>
      <c r="E527" s="1400"/>
      <c r="F527" s="1400"/>
      <c r="G527" s="1400"/>
      <c r="H527" s="1401"/>
      <c r="I527" t="s">
        <v>421</v>
      </c>
      <c r="AC527" s="1389" t="s">
        <v>592</v>
      </c>
      <c r="AD527" s="1390"/>
      <c r="AE527" s="1390"/>
      <c r="AF527" s="1390"/>
      <c r="AG527" s="13" t="s">
        <v>403</v>
      </c>
      <c r="AH527" s="1428"/>
      <c r="AI527" s="1428"/>
      <c r="AJ527" s="1428"/>
      <c r="AK527" s="1429"/>
      <c r="AZ527" s="3"/>
      <c r="BA527" s="3"/>
      <c r="BB527" s="3"/>
      <c r="BC527" s="3"/>
      <c r="BD527" s="3"/>
      <c r="BE527" s="3"/>
      <c r="BF527" s="3"/>
      <c r="BG527" s="3"/>
      <c r="BH527" s="3"/>
      <c r="BI527" s="3"/>
      <c r="BJ527" s="3"/>
      <c r="BK527" s="3"/>
      <c r="BL527" s="3"/>
      <c r="BM527" s="3"/>
      <c r="BN527" s="3" t="s">
        <v>2120</v>
      </c>
    </row>
    <row r="528" spans="2:66" ht="12.95"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8"/>
      <c r="AI528" s="1428"/>
      <c r="AJ528" s="1428"/>
      <c r="AK528" s="1429"/>
      <c r="AZ528" s="3"/>
      <c r="BA528" s="3"/>
      <c r="BB528" s="3"/>
      <c r="BC528" s="3"/>
      <c r="BD528" s="3"/>
      <c r="BE528" s="3"/>
      <c r="BF528" s="3"/>
      <c r="BG528" s="3"/>
      <c r="BH528" s="3"/>
      <c r="BI528" s="3"/>
      <c r="BJ528" s="3"/>
      <c r="BK528" s="3"/>
      <c r="BL528" s="3"/>
      <c r="BM528" s="3"/>
      <c r="BN528" s="3" t="s">
        <v>2121</v>
      </c>
    </row>
    <row r="529" spans="1:66" ht="12.95"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2122</v>
      </c>
    </row>
    <row r="530" spans="1:66" ht="12.95" customHeight="1">
      <c r="B530" s="1399"/>
      <c r="C530" s="1400"/>
      <c r="D530" s="1400"/>
      <c r="E530" s="1400"/>
      <c r="F530" s="1400"/>
      <c r="G530" s="1400"/>
      <c r="H530" s="1401"/>
      <c r="I530" t="s">
        <v>421</v>
      </c>
      <c r="AC530" s="1389" t="s">
        <v>592</v>
      </c>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2123</v>
      </c>
    </row>
    <row r="531" spans="1:66" ht="12.95"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2124</v>
      </c>
    </row>
    <row r="532" spans="1:66" ht="12.95"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2125</v>
      </c>
    </row>
    <row r="533" spans="1:66" ht="12.95" customHeight="1">
      <c r="B533" s="1399"/>
      <c r="C533" s="1400"/>
      <c r="D533" s="1400"/>
      <c r="E533" s="1400"/>
      <c r="F533" s="1400"/>
      <c r="G533" s="1400"/>
      <c r="H533" s="1401"/>
      <c r="I533" t="s">
        <v>421</v>
      </c>
      <c r="AC533" s="1389" t="s">
        <v>592</v>
      </c>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2126</v>
      </c>
    </row>
    <row r="534" spans="1:66" ht="12.95"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2127</v>
      </c>
    </row>
    <row r="535" spans="1:66" ht="12.95"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2128</v>
      </c>
    </row>
    <row r="536" spans="1:66" ht="12.95" customHeight="1">
      <c r="B536" s="1399"/>
      <c r="C536" s="1400"/>
      <c r="D536" s="1400"/>
      <c r="E536" s="1400"/>
      <c r="F536" s="1400"/>
      <c r="G536" s="1400"/>
      <c r="H536" s="1401"/>
      <c r="I536" t="s">
        <v>421</v>
      </c>
      <c r="AC536" s="1389" t="s">
        <v>592</v>
      </c>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2129</v>
      </c>
    </row>
    <row r="537" spans="1:66" ht="12.95"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2130</v>
      </c>
    </row>
    <row r="538" spans="1:66" ht="12.95"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5</v>
      </c>
      <c r="AD538" s="1390"/>
      <c r="AE538" s="1390"/>
      <c r="AF538" s="1390"/>
      <c r="AG538" s="38" t="s">
        <v>403</v>
      </c>
      <c r="AH538" s="1428">
        <v>2027</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564</v>
      </c>
      <c r="AC539" s="1389">
        <v>5</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565</v>
      </c>
      <c r="AC540" s="1389">
        <v>11</v>
      </c>
      <c r="AD540" s="1390"/>
      <c r="AE540" s="1390"/>
      <c r="AF540" s="1390"/>
      <c r="AG540" s="38" t="s">
        <v>403</v>
      </c>
      <c r="AH540" s="1428">
        <v>2027</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566</v>
      </c>
      <c r="AC541" s="1389">
        <v>12</v>
      </c>
      <c r="AD541" s="1390"/>
      <c r="AE541" s="1390"/>
      <c r="AF541" s="1390"/>
      <c r="AG541" s="38" t="s">
        <v>403</v>
      </c>
      <c r="AH541" s="1428">
        <v>2027</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12</v>
      </c>
      <c r="AD542" s="1390"/>
      <c r="AE542" s="1390"/>
      <c r="AF542" s="1390"/>
      <c r="AG542" s="38" t="s">
        <v>403</v>
      </c>
      <c r="AH542" s="1428">
        <v>2027</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1678</v>
      </c>
      <c r="AF551" s="1397"/>
      <c r="AG551" s="1397"/>
      <c r="AH551" s="1398"/>
      <c r="AI551" s="1396" t="s">
        <v>1679</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1" t="s">
        <v>2697</v>
      </c>
      <c r="D554" s="1441"/>
      <c r="E554" s="1441"/>
      <c r="F554" s="1441"/>
      <c r="G554" s="1441"/>
      <c r="H554" s="1441"/>
      <c r="I554" s="1441"/>
      <c r="J554" s="1441"/>
      <c r="K554" s="1441"/>
      <c r="L554" s="1441"/>
      <c r="M554" s="1441" t="s">
        <v>2121</v>
      </c>
      <c r="N554" s="1441"/>
      <c r="O554" s="1441"/>
      <c r="P554" s="1441"/>
      <c r="Q554" s="1426">
        <v>24</v>
      </c>
      <c r="R554" s="1426"/>
      <c r="S554" s="1427"/>
      <c r="T554" s="1425">
        <v>24</v>
      </c>
      <c r="U554" s="1426"/>
      <c r="V554" s="1427"/>
      <c r="W554" s="1422">
        <v>6.0600000000000001E-2</v>
      </c>
      <c r="X554" s="1423"/>
      <c r="Y554" s="1424"/>
      <c r="Z554" s="1431" t="s">
        <v>1185</v>
      </c>
      <c r="AA554" s="1431"/>
      <c r="AB554" s="1431"/>
      <c r="AC554" s="1431"/>
      <c r="AD554" s="1431"/>
      <c r="AE554" s="1413"/>
      <c r="AF554" s="1414"/>
      <c r="AG554" s="1414"/>
      <c r="AH554" s="1415"/>
      <c r="AI554" s="1438"/>
      <c r="AJ554" s="1439"/>
      <c r="AK554" s="1439"/>
      <c r="AL554" s="1440"/>
      <c r="AM554" s="1468">
        <v>18349851</v>
      </c>
      <c r="AN554" s="1469"/>
      <c r="AO554" s="1469"/>
      <c r="AP554" s="1469"/>
      <c r="AQ554" s="1469"/>
      <c r="AR554" s="1469"/>
      <c r="AS554" s="1470"/>
      <c r="AT554" s="1148"/>
      <c r="AU554" s="1147"/>
      <c r="BB554" s="3"/>
      <c r="BC554" s="3"/>
      <c r="BD554" s="3"/>
      <c r="BE554" s="3"/>
      <c r="BF554" s="3"/>
      <c r="BG554" s="3"/>
      <c r="BH554" s="3"/>
      <c r="BI554" s="3"/>
    </row>
    <row r="555" spans="1:61" ht="12.95" customHeight="1">
      <c r="B555" s="52" t="s">
        <v>113</v>
      </c>
      <c r="C555" s="1442" t="s">
        <v>2698</v>
      </c>
      <c r="D555" s="1442"/>
      <c r="E555" s="1442"/>
      <c r="F555" s="1442"/>
      <c r="G555" s="1442"/>
      <c r="H555" s="1442"/>
      <c r="I555" s="1442"/>
      <c r="J555" s="1442"/>
      <c r="K555" s="1442"/>
      <c r="L555" s="1442"/>
      <c r="M555" s="1441" t="s">
        <v>2120</v>
      </c>
      <c r="N555" s="1441"/>
      <c r="O555" s="1441"/>
      <c r="P555" s="1441"/>
      <c r="Q555" s="1425">
        <v>24</v>
      </c>
      <c r="R555" s="1426"/>
      <c r="S555" s="1427"/>
      <c r="T555" s="1425">
        <v>24</v>
      </c>
      <c r="U555" s="1426"/>
      <c r="V555" s="1427"/>
      <c r="W555" s="1422">
        <v>6.5000000000000002E-2</v>
      </c>
      <c r="X555" s="1423"/>
      <c r="Y555" s="1424"/>
      <c r="Z555" s="1431" t="s">
        <v>1185</v>
      </c>
      <c r="AA555" s="1431"/>
      <c r="AB555" s="1431"/>
      <c r="AC555" s="1431"/>
      <c r="AD555" s="1431"/>
      <c r="AE555" s="1413"/>
      <c r="AF555" s="1414"/>
      <c r="AG555" s="1414"/>
      <c r="AH555" s="1415"/>
      <c r="AI555" s="1438"/>
      <c r="AJ555" s="1439"/>
      <c r="AK555" s="1439"/>
      <c r="AL555" s="1440"/>
      <c r="AM555" s="1468">
        <v>28859761</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2.95" customHeight="1">
      <c r="B556" s="52" t="s">
        <v>119</v>
      </c>
      <c r="C556" s="1442" t="s">
        <v>2699</v>
      </c>
      <c r="D556" s="1442"/>
      <c r="E556" s="1442"/>
      <c r="F556" s="1442"/>
      <c r="G556" s="1442"/>
      <c r="H556" s="1442"/>
      <c r="I556" s="1442"/>
      <c r="J556" s="1442"/>
      <c r="K556" s="1442"/>
      <c r="L556" s="1442"/>
      <c r="M556" s="1441" t="s">
        <v>2122</v>
      </c>
      <c r="N556" s="1441"/>
      <c r="O556" s="1441"/>
      <c r="P556" s="1441"/>
      <c r="Q556" s="1425">
        <v>24</v>
      </c>
      <c r="R556" s="1426"/>
      <c r="S556" s="1427"/>
      <c r="T556" s="1425">
        <v>24</v>
      </c>
      <c r="U556" s="1426"/>
      <c r="V556" s="1427"/>
      <c r="W556" s="1422">
        <v>6.0600000000000001E-2</v>
      </c>
      <c r="X556" s="1423"/>
      <c r="Y556" s="1424"/>
      <c r="Z556" s="1431" t="s">
        <v>1185</v>
      </c>
      <c r="AA556" s="1431"/>
      <c r="AB556" s="1431"/>
      <c r="AC556" s="1431"/>
      <c r="AD556" s="1431"/>
      <c r="AE556" s="1413"/>
      <c r="AF556" s="1414"/>
      <c r="AG556" s="1414"/>
      <c r="AH556" s="1415"/>
      <c r="AI556" s="1438"/>
      <c r="AJ556" s="1439"/>
      <c r="AK556" s="1439"/>
      <c r="AL556" s="1440"/>
      <c r="AM556" s="1468">
        <v>6000000</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2.95" customHeight="1">
      <c r="B557" s="52" t="s">
        <v>582</v>
      </c>
      <c r="C557" s="1442" t="s">
        <v>2705</v>
      </c>
      <c r="D557" s="1442"/>
      <c r="E557" s="1442"/>
      <c r="F557" s="1442"/>
      <c r="G557" s="1442"/>
      <c r="H557" s="1442"/>
      <c r="I557" s="1442"/>
      <c r="J557" s="1442"/>
      <c r="K557" s="1442"/>
      <c r="L557" s="1442"/>
      <c r="M557" s="1441" t="s">
        <v>2110</v>
      </c>
      <c r="N557" s="1441"/>
      <c r="O557" s="1441"/>
      <c r="P557" s="1441"/>
      <c r="Q557" s="1425"/>
      <c r="R557" s="1426"/>
      <c r="S557" s="1427"/>
      <c r="T557" s="1425"/>
      <c r="U557" s="1426"/>
      <c r="V557" s="1427"/>
      <c r="W557" s="1422"/>
      <c r="X557" s="1423"/>
      <c r="Y557" s="1424"/>
      <c r="Z557" s="1431" t="s">
        <v>1185</v>
      </c>
      <c r="AA557" s="1431"/>
      <c r="AB557" s="1431"/>
      <c r="AC557" s="1431"/>
      <c r="AD557" s="1431"/>
      <c r="AE557" s="1413"/>
      <c r="AF557" s="1414"/>
      <c r="AG557" s="1414"/>
      <c r="AH557" s="1415"/>
      <c r="AI557" s="1438"/>
      <c r="AJ557" s="1439"/>
      <c r="AK557" s="1439"/>
      <c r="AL557" s="1440"/>
      <c r="AM557" s="1468">
        <f>+AO641-AM556-AM555-AM554</f>
        <v>11598682</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2.95" customHeight="1">
      <c r="B558" s="52" t="s">
        <v>764</v>
      </c>
      <c r="C558" s="1442"/>
      <c r="D558" s="1442"/>
      <c r="E558" s="1442"/>
      <c r="F558" s="1442"/>
      <c r="G558" s="1442"/>
      <c r="H558" s="1442"/>
      <c r="I558" s="1442"/>
      <c r="J558" s="1442"/>
      <c r="K558" s="1442"/>
      <c r="L558" s="1442"/>
      <c r="M558" s="1441" t="s">
        <v>1185</v>
      </c>
      <c r="N558" s="1441"/>
      <c r="O558" s="1441"/>
      <c r="P558" s="1441"/>
      <c r="Q558" s="1425"/>
      <c r="R558" s="1426"/>
      <c r="S558" s="1427"/>
      <c r="T558" s="1425"/>
      <c r="U558" s="1426"/>
      <c r="V558" s="1427"/>
      <c r="W558" s="1422"/>
      <c r="X558" s="1423"/>
      <c r="Y558" s="1424"/>
      <c r="Z558" s="1431" t="s">
        <v>1185</v>
      </c>
      <c r="AA558" s="1431"/>
      <c r="AB558" s="1431"/>
      <c r="AC558" s="1431"/>
      <c r="AD558" s="1431"/>
      <c r="AE558" s="1413"/>
      <c r="AF558" s="1414"/>
      <c r="AG558" s="1414"/>
      <c r="AH558" s="1415"/>
      <c r="AI558" s="1438"/>
      <c r="AJ558" s="1439"/>
      <c r="AK558" s="1439"/>
      <c r="AL558" s="1440"/>
      <c r="AM558" s="1468"/>
      <c r="AN558" s="1469"/>
      <c r="AO558" s="1469"/>
      <c r="AP558" s="1469"/>
      <c r="AQ558" s="1469"/>
      <c r="AR558" s="1469"/>
      <c r="AS558" s="1470"/>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442"/>
      <c r="D559" s="1442"/>
      <c r="E559" s="1442"/>
      <c r="F559" s="1442"/>
      <c r="G559" s="1442"/>
      <c r="H559" s="1442"/>
      <c r="I559" s="1442"/>
      <c r="J559" s="1442"/>
      <c r="K559" s="1442"/>
      <c r="L559" s="1442"/>
      <c r="M559" s="1441" t="s">
        <v>1185</v>
      </c>
      <c r="N559" s="1441"/>
      <c r="O559" s="1441"/>
      <c r="P559" s="1441"/>
      <c r="Q559" s="1425"/>
      <c r="R559" s="1426"/>
      <c r="S559" s="1427"/>
      <c r="T559" s="1425"/>
      <c r="U559" s="1426"/>
      <c r="V559" s="1427"/>
      <c r="W559" s="1422"/>
      <c r="X559" s="1423"/>
      <c r="Y559" s="1424"/>
      <c r="Z559" s="1431" t="s">
        <v>1185</v>
      </c>
      <c r="AA559" s="1431"/>
      <c r="AB559" s="1431"/>
      <c r="AC559" s="1431"/>
      <c r="AD559" s="1431"/>
      <c r="AE559" s="1413"/>
      <c r="AF559" s="1414"/>
      <c r="AG559" s="1414"/>
      <c r="AH559" s="1415"/>
      <c r="AI559" s="1438"/>
      <c r="AJ559" s="1439"/>
      <c r="AK559" s="1439"/>
      <c r="AL559" s="1440"/>
      <c r="AM559" s="1468"/>
      <c r="AN559" s="1469"/>
      <c r="AO559" s="1469"/>
      <c r="AP559" s="1469"/>
      <c r="AQ559" s="1469"/>
      <c r="AR559" s="1469"/>
      <c r="AS559" s="1470"/>
      <c r="AT559" s="1148" t="str">
        <f t="shared" si="0"/>
        <v/>
      </c>
      <c r="AU559" s="1147"/>
      <c r="BB559" s="3"/>
      <c r="BC559" s="3"/>
      <c r="BD559" s="3"/>
      <c r="BE559" s="3"/>
      <c r="BF559" s="3"/>
      <c r="BG559" s="3"/>
      <c r="BH559" s="3" t="s">
        <v>585</v>
      </c>
      <c r="BI559" s="3" t="str">
        <f>AG665</f>
        <v>No</v>
      </c>
    </row>
    <row r="560" spans="1:61" ht="12.95" customHeight="1">
      <c r="B560" s="52" t="s">
        <v>456</v>
      </c>
      <c r="C560" s="1442"/>
      <c r="D560" s="1442"/>
      <c r="E560" s="1442"/>
      <c r="F560" s="1442"/>
      <c r="G560" s="1442"/>
      <c r="H560" s="1442"/>
      <c r="I560" s="1442"/>
      <c r="J560" s="1442"/>
      <c r="K560" s="1442"/>
      <c r="L560" s="1442"/>
      <c r="M560" s="1441" t="s">
        <v>1185</v>
      </c>
      <c r="N560" s="1441"/>
      <c r="O560" s="1441"/>
      <c r="P560" s="1441"/>
      <c r="Q560" s="1425"/>
      <c r="R560" s="1426"/>
      <c r="S560" s="1427"/>
      <c r="T560" s="1425"/>
      <c r="U560" s="1426"/>
      <c r="V560" s="1427"/>
      <c r="W560" s="1422"/>
      <c r="X560" s="1423"/>
      <c r="Y560" s="1424"/>
      <c r="Z560" s="1431" t="s">
        <v>1185</v>
      </c>
      <c r="AA560" s="1431"/>
      <c r="AB560" s="1431"/>
      <c r="AC560" s="1431"/>
      <c r="AD560" s="1431"/>
      <c r="AE560" s="1413"/>
      <c r="AF560" s="1414"/>
      <c r="AG560" s="1414"/>
      <c r="AH560" s="1415"/>
      <c r="AI560" s="1438"/>
      <c r="AJ560" s="1439"/>
      <c r="AK560" s="1439"/>
      <c r="AL560" s="1440"/>
      <c r="AM560" s="1468"/>
      <c r="AN560" s="1469"/>
      <c r="AO560" s="1469"/>
      <c r="AP560" s="1469"/>
      <c r="AQ560" s="1469"/>
      <c r="AR560" s="1469"/>
      <c r="AS560" s="1470"/>
      <c r="AT560" s="1148" t="str">
        <f t="shared" si="0"/>
        <v/>
      </c>
      <c r="AU560" s="1147"/>
      <c r="BB560" s="3"/>
      <c r="BC560" s="3"/>
      <c r="BD560" s="3"/>
      <c r="BE560" s="3"/>
      <c r="BF560" s="3"/>
      <c r="BG560" s="3"/>
      <c r="BH560" s="3"/>
      <c r="BI560" s="3"/>
    </row>
    <row r="561" spans="1:61" ht="12.95" customHeight="1">
      <c r="B561" s="52" t="s">
        <v>457</v>
      </c>
      <c r="C561" s="1442"/>
      <c r="D561" s="1442"/>
      <c r="E561" s="1442"/>
      <c r="F561" s="1442"/>
      <c r="G561" s="1442"/>
      <c r="H561" s="1442"/>
      <c r="I561" s="1442"/>
      <c r="J561" s="1442"/>
      <c r="K561" s="1442"/>
      <c r="L561" s="1442"/>
      <c r="M561" s="1441" t="s">
        <v>1185</v>
      </c>
      <c r="N561" s="1441"/>
      <c r="O561" s="1441"/>
      <c r="P561" s="1441"/>
      <c r="Q561" s="1425"/>
      <c r="R561" s="1426"/>
      <c r="S561" s="1427"/>
      <c r="T561" s="1425"/>
      <c r="U561" s="1426"/>
      <c r="V561" s="1427"/>
      <c r="W561" s="1422"/>
      <c r="X561" s="1423"/>
      <c r="Y561" s="1424"/>
      <c r="Z561" s="1431" t="s">
        <v>1185</v>
      </c>
      <c r="AA561" s="1431"/>
      <c r="AB561" s="1431"/>
      <c r="AC561" s="1431"/>
      <c r="AD561" s="1431"/>
      <c r="AE561" s="1413"/>
      <c r="AF561" s="1414"/>
      <c r="AG561" s="1414"/>
      <c r="AH561" s="1415"/>
      <c r="AI561" s="1438"/>
      <c r="AJ561" s="1439"/>
      <c r="AK561" s="1439"/>
      <c r="AL561" s="1440"/>
      <c r="AM561" s="1468"/>
      <c r="AN561" s="1469"/>
      <c r="AO561" s="1469"/>
      <c r="AP561" s="1469"/>
      <c r="AQ561" s="1469"/>
      <c r="AR561" s="1469"/>
      <c r="AS561" s="1470"/>
      <c r="AT561" s="1148" t="str">
        <f t="shared" si="0"/>
        <v/>
      </c>
      <c r="AU561" s="1147"/>
      <c r="BB561" s="3"/>
      <c r="BC561" s="3"/>
      <c r="BD561" s="3"/>
      <c r="BE561" s="3"/>
      <c r="BF561" s="3"/>
      <c r="BG561" s="3"/>
      <c r="BH561" s="3"/>
      <c r="BI561" s="3"/>
    </row>
    <row r="562" spans="1:61" ht="12.95" customHeight="1">
      <c r="B562" s="52" t="s">
        <v>462</v>
      </c>
      <c r="C562" s="1442"/>
      <c r="D562" s="1442"/>
      <c r="E562" s="1442"/>
      <c r="F562" s="1442"/>
      <c r="G562" s="1442"/>
      <c r="H562" s="1442"/>
      <c r="I562" s="1442"/>
      <c r="J562" s="1442"/>
      <c r="K562" s="1442"/>
      <c r="L562" s="1442"/>
      <c r="M562" s="1441" t="s">
        <v>1185</v>
      </c>
      <c r="N562" s="1441"/>
      <c r="O562" s="1441"/>
      <c r="P562" s="1441"/>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8"/>
      <c r="AJ562" s="1439"/>
      <c r="AK562" s="1439"/>
      <c r="AL562" s="1440"/>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2.95" customHeight="1">
      <c r="B563" s="52" t="s">
        <v>647</v>
      </c>
      <c r="C563" s="1442"/>
      <c r="D563" s="1442"/>
      <c r="E563" s="1442"/>
      <c r="F563" s="1442"/>
      <c r="G563" s="1442"/>
      <c r="H563" s="1442"/>
      <c r="I563" s="1442"/>
      <c r="J563" s="1442"/>
      <c r="K563" s="1442"/>
      <c r="L563" s="1442"/>
      <c r="M563" s="1441" t="s">
        <v>1185</v>
      </c>
      <c r="N563" s="1441"/>
      <c r="O563" s="1441"/>
      <c r="P563" s="1441"/>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8"/>
      <c r="AJ563" s="1439"/>
      <c r="AK563" s="1439"/>
      <c r="AL563" s="1440"/>
      <c r="AM563" s="1468"/>
      <c r="AN563" s="1469"/>
      <c r="AO563" s="1469"/>
      <c r="AP563" s="1469"/>
      <c r="AQ563" s="1469"/>
      <c r="AR563" s="1469"/>
      <c r="AS563" s="1470"/>
      <c r="AT563" s="1148" t="str">
        <f t="shared" si="0"/>
        <v/>
      </c>
      <c r="BB563" s="3"/>
      <c r="BC563" s="3"/>
      <c r="BD563" s="3"/>
      <c r="BE563" s="3"/>
      <c r="BF563" s="3"/>
      <c r="BG563" s="3"/>
      <c r="BH563" s="3"/>
      <c r="BI563" s="3"/>
    </row>
    <row r="564" spans="1:61" ht="12.95" customHeight="1">
      <c r="B564" s="52" t="s">
        <v>362</v>
      </c>
      <c r="C564" s="1442"/>
      <c r="D564" s="1442"/>
      <c r="E564" s="1442"/>
      <c r="F564" s="1442"/>
      <c r="G564" s="1442"/>
      <c r="H564" s="1442"/>
      <c r="I564" s="1442"/>
      <c r="J564" s="1442"/>
      <c r="K564" s="1442"/>
      <c r="L564" s="1442"/>
      <c r="M564" s="1441" t="s">
        <v>1185</v>
      </c>
      <c r="N564" s="1441"/>
      <c r="O564" s="1441"/>
      <c r="P564" s="1441"/>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8"/>
      <c r="AJ564" s="1439"/>
      <c r="AK564" s="1439"/>
      <c r="AL564" s="1440"/>
      <c r="AM564" s="1468"/>
      <c r="AN564" s="1469"/>
      <c r="AO564" s="1469"/>
      <c r="AP564" s="1469"/>
      <c r="AQ564" s="1469"/>
      <c r="AR564" s="1469"/>
      <c r="AS564" s="1470"/>
      <c r="AT564" s="1148" t="str">
        <f t="shared" si="0"/>
        <v/>
      </c>
      <c r="BB564" s="3"/>
      <c r="BC564" s="3"/>
      <c r="BD564" s="3"/>
      <c r="BE564" s="3"/>
      <c r="BF564" s="3"/>
      <c r="BG564" s="3"/>
      <c r="BH564" s="3"/>
      <c r="BI564" s="3"/>
    </row>
    <row r="565" spans="1:61" ht="12.95" customHeight="1">
      <c r="B565" s="52" t="s">
        <v>363</v>
      </c>
      <c r="C565" s="1442"/>
      <c r="D565" s="1442"/>
      <c r="E565" s="1442"/>
      <c r="F565" s="1442"/>
      <c r="G565" s="1442"/>
      <c r="H565" s="1442"/>
      <c r="I565" s="1442"/>
      <c r="J565" s="1442"/>
      <c r="K565" s="1442"/>
      <c r="L565" s="1442"/>
      <c r="M565" s="1441" t="s">
        <v>1185</v>
      </c>
      <c r="N565" s="1441"/>
      <c r="O565" s="1441"/>
      <c r="P565" s="1441"/>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8"/>
      <c r="AJ565" s="1439"/>
      <c r="AK565" s="1439"/>
      <c r="AL565" s="1440"/>
      <c r="AM565" s="1468"/>
      <c r="AN565" s="1469"/>
      <c r="AO565" s="1469"/>
      <c r="AP565" s="1469"/>
      <c r="AQ565" s="1469"/>
      <c r="AR565" s="1469"/>
      <c r="AS565" s="1470"/>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5">
        <f>SUM(AM554:AS565)</f>
        <v>64808294</v>
      </c>
      <c r="AN566" s="1476"/>
      <c r="AO566" s="1476"/>
      <c r="AP566" s="1476"/>
      <c r="AQ566" s="1476"/>
      <c r="AR566" s="1476"/>
      <c r="AS566" s="147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6" t="str">
        <f>C554</f>
        <v>Citi Bank Tax Exempt Loan</v>
      </c>
      <c r="H568" s="1486"/>
      <c r="I568" s="1486"/>
      <c r="J568" s="1486"/>
      <c r="K568" s="1486"/>
      <c r="L568" s="1486"/>
      <c r="M568" s="1486"/>
      <c r="N568" s="1486"/>
      <c r="O568" s="1486"/>
      <c r="P568" s="1486"/>
      <c r="Q568" s="1486"/>
      <c r="R568" s="1486"/>
      <c r="S568" s="8"/>
      <c r="T568" s="55" t="s">
        <v>113</v>
      </c>
      <c r="U568" t="s">
        <v>464</v>
      </c>
      <c r="Z568" s="1486" t="str">
        <f>C555</f>
        <v>Citi Bank Taxable Loan</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2.95" customHeight="1">
      <c r="A569" s="22"/>
      <c r="B569" t="s">
        <v>85</v>
      </c>
      <c r="G569" s="1408" t="s">
        <v>2706</v>
      </c>
      <c r="H569" s="1408"/>
      <c r="I569" s="1408"/>
      <c r="J569" s="1408"/>
      <c r="K569" s="1408"/>
      <c r="L569" s="1408"/>
      <c r="M569" s="1408"/>
      <c r="N569" s="1408"/>
      <c r="O569" s="1408"/>
      <c r="P569" s="1408"/>
      <c r="Q569" s="1408"/>
      <c r="R569" s="1408"/>
      <c r="S569" s="8"/>
      <c r="T569" s="22"/>
      <c r="U569" t="s">
        <v>85</v>
      </c>
      <c r="Z569" s="1408" t="s">
        <v>2706</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581</v>
      </c>
      <c r="G570" s="1408" t="s">
        <v>2707</v>
      </c>
      <c r="H570" s="1408"/>
      <c r="I570" s="1408"/>
      <c r="J570" s="1408"/>
      <c r="K570" s="1408"/>
      <c r="L570" s="1408"/>
      <c r="M570" s="1408"/>
      <c r="N570" s="1408"/>
      <c r="O570" s="1408"/>
      <c r="P570" s="1408"/>
      <c r="Q570" s="1408"/>
      <c r="R570" s="1408"/>
      <c r="T570" s="22"/>
      <c r="U570" t="s">
        <v>581</v>
      </c>
      <c r="Z570" s="1371" t="s">
        <v>2707</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8" t="s">
        <v>2708</v>
      </c>
      <c r="H571" s="1408"/>
      <c r="I571" s="1408"/>
      <c r="J571" s="1408"/>
      <c r="K571" s="1408"/>
      <c r="L571" s="1408"/>
      <c r="M571" s="1408"/>
      <c r="N571" s="1408"/>
      <c r="O571" s="1408"/>
      <c r="P571" s="1408"/>
      <c r="Q571" s="1408"/>
      <c r="R571" s="1408"/>
      <c r="S571" s="8"/>
      <c r="T571" s="22"/>
      <c r="U571" t="s">
        <v>17</v>
      </c>
      <c r="Z571" s="1371" t="s">
        <v>2708</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316</v>
      </c>
      <c r="G572" s="1490" t="s">
        <v>2709</v>
      </c>
      <c r="H572" s="1490"/>
      <c r="I572" s="1490"/>
      <c r="J572" s="1490"/>
      <c r="K572" s="1490"/>
      <c r="L572" s="1490"/>
      <c r="O572" s="33" t="s">
        <v>206</v>
      </c>
      <c r="P572" s="1474"/>
      <c r="Q572" s="1474"/>
      <c r="R572" s="1474"/>
      <c r="S572" s="10"/>
      <c r="T572" s="22"/>
      <c r="U572" t="s">
        <v>316</v>
      </c>
      <c r="Z572" s="1490" t="s">
        <v>2709</v>
      </c>
      <c r="AA572" s="1490"/>
      <c r="AB572" s="1490"/>
      <c r="AC572" s="1490"/>
      <c r="AD572" s="1490"/>
      <c r="AE572" s="1490"/>
      <c r="AH572" s="33" t="s">
        <v>206</v>
      </c>
      <c r="AI572" s="1474"/>
      <c r="AJ572" s="1474"/>
      <c r="AK572" s="1474"/>
      <c r="BB572" s="3"/>
      <c r="BC572" s="3"/>
      <c r="BD572" s="3"/>
      <c r="BE572" s="3"/>
      <c r="BF572" s="3"/>
      <c r="BG572" s="3"/>
      <c r="BH572" s="3"/>
      <c r="BI572" s="3"/>
    </row>
    <row r="573" spans="1:61" ht="12.95" customHeight="1">
      <c r="A573" s="22"/>
      <c r="B573" t="s">
        <v>18</v>
      </c>
      <c r="H573" s="1408" t="s">
        <v>2710</v>
      </c>
      <c r="I573" s="1408"/>
      <c r="J573" s="1408"/>
      <c r="K573" s="1408"/>
      <c r="L573" s="1408"/>
      <c r="M573" s="1408"/>
      <c r="N573" s="1408"/>
      <c r="O573" s="1408"/>
      <c r="P573" s="1408"/>
      <c r="Q573" s="1408"/>
      <c r="R573" s="1408"/>
      <c r="S573" s="8"/>
      <c r="T573" s="22"/>
      <c r="U573" t="s">
        <v>18</v>
      </c>
      <c r="AA573" s="1408" t="s">
        <v>2710</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1186</v>
      </c>
      <c r="H574" s="8"/>
      <c r="I574" s="8"/>
      <c r="J574" s="8"/>
      <c r="K574" s="8"/>
      <c r="L574" s="8"/>
      <c r="M574" s="1602"/>
      <c r="N574" s="1602"/>
      <c r="O574" s="1602"/>
      <c r="P574" s="1602"/>
      <c r="Q574" s="1602"/>
      <c r="R574" s="1602"/>
      <c r="S574" s="8"/>
      <c r="T574" s="22"/>
      <c r="U574" s="320" t="s">
        <v>1186</v>
      </c>
      <c r="AA574" s="8"/>
      <c r="AB574" s="8"/>
      <c r="AC574" s="8"/>
      <c r="AD574" s="8"/>
      <c r="AE574" s="8"/>
      <c r="AF574" s="1602"/>
      <c r="AG574" s="1602"/>
      <c r="AH574" s="1602"/>
      <c r="AI574" s="1602"/>
      <c r="AJ574" s="1602"/>
      <c r="AK574" s="1602"/>
      <c r="BB574" s="3"/>
      <c r="BC574" s="3"/>
      <c r="BD574" s="3"/>
      <c r="BE574" s="3"/>
      <c r="BF574" s="3"/>
      <c r="BG574" s="3"/>
      <c r="BH574" s="3"/>
      <c r="BI574" s="3"/>
    </row>
    <row r="575" spans="1:61" ht="12.95" customHeight="1">
      <c r="A575" s="22"/>
      <c r="B575" t="s">
        <v>20</v>
      </c>
      <c r="N575" s="1416" t="s">
        <v>546</v>
      </c>
      <c r="O575" s="1416"/>
      <c r="T575" s="22"/>
      <c r="U575" t="s">
        <v>20</v>
      </c>
      <c r="AG575" s="1416" t="s">
        <v>546</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6" t="str">
        <f>C556</f>
        <v>Citi Bank Recycled Bonds</v>
      </c>
      <c r="H577" s="1486"/>
      <c r="I577" s="1486"/>
      <c r="J577" s="1486"/>
      <c r="K577" s="1486"/>
      <c r="L577" s="1486"/>
      <c r="M577" s="1486"/>
      <c r="N577" s="1486"/>
      <c r="O577" s="1486"/>
      <c r="P577" s="1486"/>
      <c r="Q577" s="1486"/>
      <c r="R577" s="1486"/>
      <c r="T577" s="55" t="s">
        <v>582</v>
      </c>
      <c r="U577" t="s">
        <v>464</v>
      </c>
      <c r="Z577" s="1486" t="str">
        <f>C557</f>
        <v>Boston Financial Tax Credit Equity</v>
      </c>
      <c r="AA577" s="1486"/>
      <c r="AB577" s="1486"/>
      <c r="AC577" s="1486"/>
      <c r="AD577" s="1486"/>
      <c r="AE577" s="1486"/>
      <c r="AF577" s="1486"/>
      <c r="AG577" s="1486"/>
      <c r="AH577" s="1486"/>
      <c r="AI577" s="1486"/>
      <c r="AJ577" s="1486"/>
      <c r="AK577" s="1486"/>
      <c r="BB577" s="3"/>
      <c r="BC577" s="3"/>
    </row>
    <row r="578" spans="1:55" ht="12.95" customHeight="1">
      <c r="A578" s="22"/>
      <c r="B578" t="s">
        <v>85</v>
      </c>
      <c r="G578" s="1408" t="s">
        <v>2706</v>
      </c>
      <c r="H578" s="1408"/>
      <c r="I578" s="1408"/>
      <c r="J578" s="1408"/>
      <c r="K578" s="1408"/>
      <c r="L578" s="1408"/>
      <c r="M578" s="1408"/>
      <c r="N578" s="1408"/>
      <c r="O578" s="1408"/>
      <c r="P578" s="1408"/>
      <c r="Q578" s="1408"/>
      <c r="R578" s="1408"/>
      <c r="T578" s="22"/>
      <c r="U578" t="s">
        <v>85</v>
      </c>
      <c r="Z578" s="1408" t="s">
        <v>2711</v>
      </c>
      <c r="AA578" s="1408"/>
      <c r="AB578" s="1408"/>
      <c r="AC578" s="1408"/>
      <c r="AD578" s="1408"/>
      <c r="AE578" s="1408"/>
      <c r="AF578" s="1408"/>
      <c r="AG578" s="1408"/>
      <c r="AH578" s="1408"/>
      <c r="AI578" s="1408"/>
      <c r="AJ578" s="1408"/>
      <c r="AK578" s="1408"/>
      <c r="BB578" s="3"/>
      <c r="BC578" s="3"/>
    </row>
    <row r="579" spans="1:55" ht="12.95" customHeight="1">
      <c r="A579" s="22"/>
      <c r="B579" t="s">
        <v>581</v>
      </c>
      <c r="G579" s="1371" t="s">
        <v>2707</v>
      </c>
      <c r="H579" s="1371"/>
      <c r="I579" s="1371"/>
      <c r="J579" s="1371"/>
      <c r="K579" s="1371"/>
      <c r="L579" s="1371"/>
      <c r="M579" s="1371"/>
      <c r="N579" s="1371"/>
      <c r="O579" s="1371"/>
      <c r="P579" s="1371"/>
      <c r="Q579" s="1371"/>
      <c r="R579" s="1371"/>
      <c r="T579" s="22"/>
      <c r="U579" t="s">
        <v>581</v>
      </c>
      <c r="Z579" s="1371" t="s">
        <v>2662</v>
      </c>
      <c r="AA579" s="1371"/>
      <c r="AB579" s="1371"/>
      <c r="AC579" s="1371"/>
      <c r="AD579" s="1371"/>
      <c r="AE579" s="1371"/>
      <c r="AF579" s="1371"/>
      <c r="AG579" s="1371"/>
      <c r="AH579" s="1371"/>
      <c r="AI579" s="1371"/>
      <c r="AJ579" s="1371"/>
      <c r="AK579" s="1371"/>
      <c r="BB579" s="3"/>
      <c r="BC579" s="3"/>
    </row>
    <row r="580" spans="1:55" ht="12.95" customHeight="1">
      <c r="A580" s="22"/>
      <c r="B580" t="s">
        <v>17</v>
      </c>
      <c r="G580" s="1371" t="s">
        <v>2708</v>
      </c>
      <c r="H580" s="1371"/>
      <c r="I580" s="1371"/>
      <c r="J580" s="1371"/>
      <c r="K580" s="1371"/>
      <c r="L580" s="1371"/>
      <c r="M580" s="1371"/>
      <c r="N580" s="1371"/>
      <c r="O580" s="1371"/>
      <c r="P580" s="1371"/>
      <c r="Q580" s="1371"/>
      <c r="R580" s="1371"/>
      <c r="T580" s="22"/>
      <c r="U580" t="s">
        <v>17</v>
      </c>
      <c r="Z580" s="1371" t="s">
        <v>2712</v>
      </c>
      <c r="AA580" s="1371"/>
      <c r="AB580" s="1371"/>
      <c r="AC580" s="1371"/>
      <c r="AD580" s="1371"/>
      <c r="AE580" s="1371"/>
      <c r="AF580" s="1371"/>
      <c r="AG580" s="1371"/>
      <c r="AH580" s="1371"/>
      <c r="AI580" s="1371"/>
      <c r="AJ580" s="1371"/>
      <c r="AK580" s="1371"/>
      <c r="BB580" s="3"/>
      <c r="BC580" s="3"/>
    </row>
    <row r="581" spans="1:55" ht="12.95" customHeight="1">
      <c r="A581" s="22"/>
      <c r="B581" t="s">
        <v>316</v>
      </c>
      <c r="G581" s="1490" t="s">
        <v>2709</v>
      </c>
      <c r="H581" s="1490"/>
      <c r="I581" s="1490"/>
      <c r="J581" s="1490"/>
      <c r="K581" s="1490"/>
      <c r="L581" s="1490"/>
      <c r="O581" s="33" t="s">
        <v>206</v>
      </c>
      <c r="P581" s="1474"/>
      <c r="Q581" s="1474"/>
      <c r="R581" s="1474"/>
      <c r="T581" s="22"/>
      <c r="U581" t="s">
        <v>316</v>
      </c>
      <c r="Z581" s="1490" t="s">
        <v>2664</v>
      </c>
      <c r="AA581" s="1490"/>
      <c r="AB581" s="1490"/>
      <c r="AC581" s="1490"/>
      <c r="AD581" s="1490"/>
      <c r="AE581" s="1490"/>
      <c r="AH581" s="33" t="s">
        <v>206</v>
      </c>
      <c r="AI581" s="1474"/>
      <c r="AJ581" s="1474"/>
      <c r="AK581" s="1474"/>
      <c r="BB581" s="3"/>
      <c r="BC581" s="3"/>
    </row>
    <row r="582" spans="1:55" ht="12.95" customHeight="1">
      <c r="A582" s="22"/>
      <c r="B582" t="s">
        <v>18</v>
      </c>
      <c r="H582" s="1408" t="s">
        <v>2710</v>
      </c>
      <c r="I582" s="1408"/>
      <c r="J582" s="1408"/>
      <c r="K582" s="1408"/>
      <c r="L582" s="1408"/>
      <c r="M582" s="1408"/>
      <c r="N582" s="1408"/>
      <c r="O582" s="1408"/>
      <c r="P582" s="1408"/>
      <c r="Q582" s="1408"/>
      <c r="R582" s="1408"/>
      <c r="T582" s="22"/>
      <c r="U582" t="s">
        <v>18</v>
      </c>
      <c r="AA582" s="1407" t="s">
        <v>2713</v>
      </c>
      <c r="AB582" s="1408"/>
      <c r="AC582" s="1408"/>
      <c r="AD582" s="1408"/>
      <c r="AE582" s="1408"/>
      <c r="AF582" s="1408"/>
      <c r="AG582" s="1408"/>
      <c r="AH582" s="1408"/>
      <c r="AI582" s="1408"/>
      <c r="AJ582" s="1408"/>
      <c r="AK582" s="1408"/>
      <c r="BB582" s="3"/>
      <c r="BC582" s="3"/>
    </row>
    <row r="583" spans="1:55" ht="12.95" customHeight="1">
      <c r="A583" s="22"/>
      <c r="B583" t="s">
        <v>20</v>
      </c>
      <c r="N583" s="1437" t="s">
        <v>546</v>
      </c>
      <c r="O583" s="1416"/>
      <c r="T583" s="22"/>
      <c r="U583" t="s">
        <v>20</v>
      </c>
      <c r="AG583" s="1416" t="s">
        <v>546</v>
      </c>
      <c r="AH583" s="1416"/>
      <c r="BB583" s="3"/>
      <c r="BC583" s="3"/>
    </row>
    <row r="584" spans="1:55" ht="12.95" customHeight="1">
      <c r="A584" s="22"/>
      <c r="T584" s="22"/>
      <c r="BB584" s="3"/>
      <c r="BC584" s="3"/>
    </row>
    <row r="585" spans="1:55" ht="12.95" customHeight="1">
      <c r="A585" s="55" t="s">
        <v>764</v>
      </c>
      <c r="B585" t="s">
        <v>464</v>
      </c>
      <c r="G585" s="1486">
        <f>C558</f>
        <v>0</v>
      </c>
      <c r="H585" s="1486"/>
      <c r="I585" s="1486"/>
      <c r="J585" s="1486"/>
      <c r="K585" s="1486"/>
      <c r="L585" s="1486"/>
      <c r="M585" s="1486"/>
      <c r="N585" s="1486"/>
      <c r="O585" s="1486"/>
      <c r="P585" s="1486"/>
      <c r="Q585" s="1486"/>
      <c r="R585" s="1486"/>
      <c r="T585" s="55" t="s">
        <v>585</v>
      </c>
      <c r="U585" t="s">
        <v>464</v>
      </c>
      <c r="Z585" s="1486">
        <f>C559</f>
        <v>0</v>
      </c>
      <c r="AA585" s="1486"/>
      <c r="AB585" s="1486"/>
      <c r="AC585" s="1486"/>
      <c r="AD585" s="1486"/>
      <c r="AE585" s="1486"/>
      <c r="AF585" s="1486"/>
      <c r="AG585" s="1486"/>
      <c r="AH585" s="1486"/>
      <c r="AI585" s="1486"/>
      <c r="AJ585" s="1486"/>
      <c r="AK585" s="1486"/>
      <c r="BB585" s="3"/>
      <c r="BC585" s="3"/>
    </row>
    <row r="586" spans="1:55" ht="12.95" customHeight="1">
      <c r="A586" s="22"/>
      <c r="B586" t="s">
        <v>85</v>
      </c>
      <c r="G586" s="1408"/>
      <c r="H586" s="1408"/>
      <c r="I586" s="1408"/>
      <c r="J586" s="1408"/>
      <c r="K586" s="1408"/>
      <c r="L586" s="1408"/>
      <c r="M586" s="1408"/>
      <c r="N586" s="1408"/>
      <c r="O586" s="1408"/>
      <c r="P586" s="1408"/>
      <c r="Q586" s="1408"/>
      <c r="R586" s="1408"/>
      <c r="T586" s="22"/>
      <c r="U586" t="s">
        <v>85</v>
      </c>
      <c r="Z586" s="1408"/>
      <c r="AA586" s="1408"/>
      <c r="AB586" s="1408"/>
      <c r="AC586" s="1408"/>
      <c r="AD586" s="1408"/>
      <c r="AE586" s="1408"/>
      <c r="AF586" s="1408"/>
      <c r="AG586" s="1408"/>
      <c r="AH586" s="1408"/>
      <c r="AI586" s="1408"/>
      <c r="AJ586" s="1408"/>
      <c r="AK586" s="1408"/>
      <c r="BB586" s="3"/>
      <c r="BC586" s="3"/>
    </row>
    <row r="587" spans="1:55" ht="12.95" customHeight="1">
      <c r="A587" s="22"/>
      <c r="B587" t="s">
        <v>581</v>
      </c>
      <c r="G587" s="1408"/>
      <c r="H587" s="1408"/>
      <c r="I587" s="1408"/>
      <c r="J587" s="1408"/>
      <c r="K587" s="1408"/>
      <c r="L587" s="1408"/>
      <c r="M587" s="1408"/>
      <c r="N587" s="1408"/>
      <c r="O587" s="1408"/>
      <c r="P587" s="1408"/>
      <c r="Q587" s="1408"/>
      <c r="R587" s="1408"/>
      <c r="T587" s="22"/>
      <c r="U587" t="s">
        <v>581</v>
      </c>
      <c r="Z587" s="1371"/>
      <c r="AA587" s="1371"/>
      <c r="AB587" s="1371"/>
      <c r="AC587" s="1371"/>
      <c r="AD587" s="1371"/>
      <c r="AE587" s="1371"/>
      <c r="AF587" s="1371"/>
      <c r="AG587" s="1371"/>
      <c r="AH587" s="1371"/>
      <c r="AI587" s="1371"/>
      <c r="AJ587" s="1371"/>
      <c r="AK587" s="1371"/>
      <c r="BB587" s="3"/>
      <c r="BC587" s="3"/>
    </row>
    <row r="588" spans="1:55" ht="12.95" customHeight="1">
      <c r="A588" s="22"/>
      <c r="B588" t="s">
        <v>17</v>
      </c>
      <c r="G588" s="1408"/>
      <c r="H588" s="1408"/>
      <c r="I588" s="1408"/>
      <c r="J588" s="1408"/>
      <c r="K588" s="1408"/>
      <c r="L588" s="1408"/>
      <c r="M588" s="1408"/>
      <c r="N588" s="1408"/>
      <c r="O588" s="1408"/>
      <c r="P588" s="1408"/>
      <c r="Q588" s="1408"/>
      <c r="R588" s="1408"/>
      <c r="T588" s="22"/>
      <c r="U588" t="s">
        <v>17</v>
      </c>
      <c r="Z588" s="1371"/>
      <c r="AA588" s="1371"/>
      <c r="AB588" s="1371"/>
      <c r="AC588" s="1371"/>
      <c r="AD588" s="1371"/>
      <c r="AE588" s="1371"/>
      <c r="AF588" s="1371"/>
      <c r="AG588" s="1371"/>
      <c r="AH588" s="1371"/>
      <c r="AI588" s="1371"/>
      <c r="AJ588" s="1371"/>
      <c r="AK588" s="1371"/>
    </row>
    <row r="589" spans="1:55" ht="12.95" customHeight="1">
      <c r="A589" s="22"/>
      <c r="B589" t="s">
        <v>316</v>
      </c>
      <c r="G589" s="1490"/>
      <c r="H589" s="1490"/>
      <c r="I589" s="1490"/>
      <c r="J589" s="1490"/>
      <c r="K589" s="1490"/>
      <c r="L589" s="1490"/>
      <c r="O589" s="33" t="s">
        <v>206</v>
      </c>
      <c r="P589" s="1474"/>
      <c r="Q589" s="1474"/>
      <c r="R589" s="1474"/>
      <c r="T589" s="22"/>
      <c r="U589" t="s">
        <v>316</v>
      </c>
      <c r="Z589" s="1490"/>
      <c r="AA589" s="1490"/>
      <c r="AB589" s="1490"/>
      <c r="AC589" s="1490"/>
      <c r="AD589" s="1490"/>
      <c r="AE589" s="1490"/>
      <c r="AH589" s="33" t="s">
        <v>206</v>
      </c>
      <c r="AI589" s="1474"/>
      <c r="AJ589" s="1474"/>
      <c r="AK589" s="1474"/>
      <c r="AZ589" s="3"/>
      <c r="BA589" s="3"/>
      <c r="BB589" s="3"/>
      <c r="BC589" s="3"/>
    </row>
    <row r="590" spans="1:55" ht="12.95" customHeight="1">
      <c r="A590" s="22"/>
      <c r="B590" t="s">
        <v>18</v>
      </c>
      <c r="H590" s="1408"/>
      <c r="I590" s="1408"/>
      <c r="J590" s="1408"/>
      <c r="K590" s="1408"/>
      <c r="L590" s="1408"/>
      <c r="M590" s="1408"/>
      <c r="N590" s="1408"/>
      <c r="O590" s="1408"/>
      <c r="P590" s="1408"/>
      <c r="Q590" s="1408"/>
      <c r="R590" s="1408"/>
      <c r="T590" s="22"/>
      <c r="U590" t="s">
        <v>18</v>
      </c>
      <c r="AA590" s="1408"/>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670</v>
      </c>
      <c r="O591" s="1416"/>
      <c r="T591" s="22"/>
      <c r="U591" t="s">
        <v>20</v>
      </c>
      <c r="AG591" s="1416" t="s">
        <v>670</v>
      </c>
      <c r="AH591" s="1416"/>
      <c r="AZ591" s="3"/>
      <c r="BA591" s="3"/>
      <c r="BB591" s="3"/>
      <c r="BC591" s="3"/>
    </row>
    <row r="592" spans="1:55" ht="12.95" customHeight="1">
      <c r="A592" s="22"/>
      <c r="T592" s="22"/>
      <c r="AZ592" s="3"/>
      <c r="BA592" s="3"/>
      <c r="BB592" s="3"/>
      <c r="BC592" s="3"/>
    </row>
    <row r="593" spans="1:55" ht="12.95" customHeight="1">
      <c r="A593" s="55" t="s">
        <v>456</v>
      </c>
      <c r="B593" t="s">
        <v>464</v>
      </c>
      <c r="G593" s="1486">
        <f>C560</f>
        <v>0</v>
      </c>
      <c r="H593" s="1486"/>
      <c r="I593" s="1486"/>
      <c r="J593" s="1486"/>
      <c r="K593" s="1486"/>
      <c r="L593" s="1486"/>
      <c r="M593" s="1486"/>
      <c r="N593" s="1486"/>
      <c r="O593" s="1486"/>
      <c r="P593" s="1486"/>
      <c r="Q593" s="1486"/>
      <c r="R593" s="1486"/>
      <c r="T593" s="55" t="s">
        <v>457</v>
      </c>
      <c r="U593" t="s">
        <v>464</v>
      </c>
      <c r="Z593" s="1486">
        <f>C561</f>
        <v>0</v>
      </c>
      <c r="AA593" s="1486"/>
      <c r="AB593" s="1486"/>
      <c r="AC593" s="1486"/>
      <c r="AD593" s="1486"/>
      <c r="AE593" s="1486"/>
      <c r="AF593" s="1486"/>
      <c r="AG593" s="1486"/>
      <c r="AH593" s="1486"/>
      <c r="AI593" s="1486"/>
      <c r="AJ593" s="1486"/>
      <c r="AK593" s="1486"/>
      <c r="AZ593" s="3"/>
      <c r="BA593" s="3"/>
      <c r="BB593" s="3"/>
      <c r="BC593" s="3"/>
    </row>
    <row r="594" spans="1:55" s="4" customFormat="1" ht="12.95"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8"/>
      <c r="H595" s="1408"/>
      <c r="I595" s="1408"/>
      <c r="J595" s="1408"/>
      <c r="K595" s="1408"/>
      <c r="L595" s="1408"/>
      <c r="M595" s="1408"/>
      <c r="N595" s="1408"/>
      <c r="O595" s="1408"/>
      <c r="P595" s="1408"/>
      <c r="Q595" s="1408"/>
      <c r="R595" s="1408"/>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90"/>
      <c r="H597" s="1490"/>
      <c r="I597" s="1490"/>
      <c r="J597" s="1490"/>
      <c r="K597" s="1490"/>
      <c r="L597" s="1490"/>
      <c r="M597"/>
      <c r="N597"/>
      <c r="O597" s="33" t="s">
        <v>206</v>
      </c>
      <c r="P597" s="1474"/>
      <c r="Q597" s="1474"/>
      <c r="R597" s="1474"/>
      <c r="S597"/>
      <c r="T597" s="22"/>
      <c r="U597" t="s">
        <v>316</v>
      </c>
      <c r="V597"/>
      <c r="W597"/>
      <c r="X597"/>
      <c r="Y597"/>
      <c r="Z597" s="1490"/>
      <c r="AA597" s="1490"/>
      <c r="AB597" s="1490"/>
      <c r="AC597" s="1490"/>
      <c r="AD597" s="1490"/>
      <c r="AE597" s="1490"/>
      <c r="AF597"/>
      <c r="AG597"/>
      <c r="AH597" s="33" t="s">
        <v>206</v>
      </c>
      <c r="AI597" s="1474"/>
      <c r="AJ597" s="1474"/>
      <c r="AK597" s="1474"/>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670</v>
      </c>
      <c r="O599" s="1416"/>
      <c r="T599" s="22"/>
      <c r="U599" t="s">
        <v>20</v>
      </c>
      <c r="AG599" s="1416" t="s">
        <v>670</v>
      </c>
      <c r="AH599" s="1416"/>
      <c r="BB599" s="3"/>
      <c r="BC599" s="3"/>
    </row>
    <row r="600" spans="1:55" ht="12.95" customHeight="1">
      <c r="A600" s="22"/>
      <c r="T600" s="22"/>
      <c r="BB600" s="3"/>
      <c r="BC600" s="3"/>
    </row>
    <row r="601" spans="1:55" ht="12.95" customHeight="1">
      <c r="A601" s="55" t="s">
        <v>462</v>
      </c>
      <c r="B601" t="s">
        <v>464</v>
      </c>
      <c r="G601" s="1486">
        <f>C562</f>
        <v>0</v>
      </c>
      <c r="H601" s="1486"/>
      <c r="I601" s="1486"/>
      <c r="J601" s="1486"/>
      <c r="K601" s="1486"/>
      <c r="L601" s="1486"/>
      <c r="M601" s="1486"/>
      <c r="N601" s="1486"/>
      <c r="O601" s="1486"/>
      <c r="P601" s="1486"/>
      <c r="Q601" s="1486"/>
      <c r="R601" s="1486"/>
      <c r="T601" s="55" t="s">
        <v>647</v>
      </c>
      <c r="U601" t="s">
        <v>464</v>
      </c>
      <c r="Z601" s="1486">
        <f>C563</f>
        <v>0</v>
      </c>
      <c r="AA601" s="1486"/>
      <c r="AB601" s="1486"/>
      <c r="AC601" s="1486"/>
      <c r="AD601" s="1486"/>
      <c r="AE601" s="1486"/>
      <c r="AF601" s="1486"/>
      <c r="AG601" s="1486"/>
      <c r="AH601" s="1486"/>
      <c r="AI601" s="1486"/>
      <c r="AJ601" s="1486"/>
      <c r="AK601" s="1486"/>
      <c r="BB601" s="3"/>
      <c r="BC601" s="3"/>
    </row>
    <row r="602" spans="1:55"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581</v>
      </c>
      <c r="G603" s="1408"/>
      <c r="H603" s="1408"/>
      <c r="I603" s="1408"/>
      <c r="J603" s="1408"/>
      <c r="K603" s="1408"/>
      <c r="L603" s="1408"/>
      <c r="M603" s="1408"/>
      <c r="N603" s="1408"/>
      <c r="O603" s="1408"/>
      <c r="P603" s="1408"/>
      <c r="Q603" s="1408"/>
      <c r="R603" s="1408"/>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8"/>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316</v>
      </c>
      <c r="C605"/>
      <c r="D605"/>
      <c r="E605"/>
      <c r="F605"/>
      <c r="G605" s="1490"/>
      <c r="H605" s="1490"/>
      <c r="I605" s="1490"/>
      <c r="J605" s="1490"/>
      <c r="K605" s="1490"/>
      <c r="L605" s="1490"/>
      <c r="M605"/>
      <c r="N605"/>
      <c r="O605" s="33" t="s">
        <v>206</v>
      </c>
      <c r="P605" s="1474"/>
      <c r="Q605" s="1474"/>
      <c r="R605" s="1474"/>
      <c r="S605"/>
      <c r="T605" s="22"/>
      <c r="U605" t="s">
        <v>316</v>
      </c>
      <c r="V605"/>
      <c r="W605"/>
      <c r="X605"/>
      <c r="Y605"/>
      <c r="Z605" s="1490"/>
      <c r="AA605" s="1490"/>
      <c r="AB605" s="1490"/>
      <c r="AC605" s="1490"/>
      <c r="AD605" s="1490"/>
      <c r="AE605" s="1490"/>
      <c r="AF605"/>
      <c r="AG605"/>
      <c r="AH605" s="33" t="s">
        <v>206</v>
      </c>
      <c r="AI605" s="1474"/>
      <c r="AJ605" s="1474"/>
      <c r="AK605" s="1474"/>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6">
        <f>C564</f>
        <v>0</v>
      </c>
      <c r="H609" s="1486"/>
      <c r="I609" s="1486"/>
      <c r="J609" s="1486"/>
      <c r="K609" s="1486"/>
      <c r="L609" s="1486"/>
      <c r="M609" s="1486"/>
      <c r="N609" s="1486"/>
      <c r="O609" s="1486"/>
      <c r="P609" s="1486"/>
      <c r="Q609" s="1486"/>
      <c r="R609" s="1486"/>
      <c r="T609" s="55" t="s">
        <v>363</v>
      </c>
      <c r="U609" t="s">
        <v>464</v>
      </c>
      <c r="Z609" s="1486">
        <f>C565</f>
        <v>0</v>
      </c>
      <c r="AA609" s="1486"/>
      <c r="AB609" s="1486"/>
      <c r="AC609" s="1486"/>
      <c r="AD609" s="1486"/>
      <c r="AE609" s="1486"/>
      <c r="AF609" s="1486"/>
      <c r="AG609" s="1486"/>
      <c r="AH609" s="1486"/>
      <c r="AI609" s="1486"/>
      <c r="AJ609" s="1486"/>
      <c r="AK609" s="1486"/>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581</v>
      </c>
      <c r="G611" s="1408"/>
      <c r="H611" s="1408"/>
      <c r="I611" s="1408"/>
      <c r="J611" s="1408"/>
      <c r="K611" s="1408"/>
      <c r="L611" s="1408"/>
      <c r="M611" s="1408"/>
      <c r="N611" s="1408"/>
      <c r="O611" s="1408"/>
      <c r="P611" s="1408"/>
      <c r="Q611" s="1408"/>
      <c r="R611" s="1408"/>
      <c r="U611" t="s">
        <v>581</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316</v>
      </c>
      <c r="G613" s="1490"/>
      <c r="H613" s="1490"/>
      <c r="I613" s="1490"/>
      <c r="J613" s="1490"/>
      <c r="K613" s="1490"/>
      <c r="L613" s="1490"/>
      <c r="O613" s="33" t="s">
        <v>206</v>
      </c>
      <c r="P613" s="1474"/>
      <c r="Q613" s="1474"/>
      <c r="R613" s="1474"/>
      <c r="U613" t="s">
        <v>316</v>
      </c>
      <c r="Z613" s="1490"/>
      <c r="AA613" s="1490"/>
      <c r="AB613" s="1490"/>
      <c r="AC613" s="1490"/>
      <c r="AD613" s="1490"/>
      <c r="AE613" s="1490"/>
      <c r="AH613" s="33" t="s">
        <v>206</v>
      </c>
      <c r="AI613" s="1474"/>
      <c r="AJ613" s="1474"/>
      <c r="AK613" s="1474"/>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670</v>
      </c>
      <c r="O615" s="1416"/>
      <c r="U615" t="s">
        <v>20</v>
      </c>
      <c r="AG615" s="1416" t="s">
        <v>670</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71" t="s">
        <v>2104</v>
      </c>
      <c r="C624" s="1671"/>
      <c r="D624" s="1671"/>
      <c r="E624" s="1671"/>
      <c r="F624" s="1671"/>
      <c r="G624" s="1671"/>
      <c r="H624" s="1671"/>
      <c r="I624" s="1671"/>
      <c r="J624" s="1671"/>
      <c r="K624" s="1671"/>
      <c r="L624" s="1671"/>
      <c r="M624" s="1676" t="s">
        <v>2105</v>
      </c>
      <c r="N624" s="1676"/>
      <c r="O624" s="1676"/>
      <c r="P624" s="1676"/>
      <c r="Q624" s="1676" t="s">
        <v>1854</v>
      </c>
      <c r="R624" s="1676"/>
      <c r="S624" s="1676"/>
      <c r="T624" s="1676" t="s">
        <v>1852</v>
      </c>
      <c r="U624" s="1676"/>
      <c r="V624" s="1676"/>
      <c r="W624" s="1672" t="s">
        <v>454</v>
      </c>
      <c r="X624" s="1672"/>
      <c r="Y624" s="1672"/>
      <c r="Z624" s="1397" t="s">
        <v>2134</v>
      </c>
      <c r="AA624" s="1397"/>
      <c r="AB624" s="1398"/>
      <c r="AC624" s="1677" t="s">
        <v>1678</v>
      </c>
      <c r="AD624" s="1678"/>
      <c r="AE624" s="1679"/>
      <c r="AF624" s="1396" t="s">
        <v>1932</v>
      </c>
      <c r="AG624" s="1397"/>
      <c r="AH624" s="1397"/>
      <c r="AI624" s="1397"/>
      <c r="AJ624" s="1398"/>
      <c r="AK624" s="1593" t="s">
        <v>1933</v>
      </c>
      <c r="AL624" s="1594"/>
      <c r="AM624" s="1594"/>
      <c r="AN624" s="1595"/>
      <c r="AO624" s="1676" t="s">
        <v>455</v>
      </c>
      <c r="AP624" s="1676"/>
      <c r="AQ624" s="1676"/>
      <c r="AR624" s="1676"/>
      <c r="AS624" s="1676"/>
      <c r="AU624" s="3"/>
      <c r="AZ624" s="3"/>
      <c r="BA624" s="3"/>
      <c r="BB624" s="3"/>
      <c r="BC624" s="3"/>
    </row>
    <row r="625" spans="2:157" ht="12.95"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0"/>
      <c r="AA625" s="1400"/>
      <c r="AB625" s="1401"/>
      <c r="AC625" s="1680"/>
      <c r="AD625" s="1681"/>
      <c r="AE625" s="1682"/>
      <c r="AF625" s="1399"/>
      <c r="AG625" s="1400"/>
      <c r="AH625" s="1400"/>
      <c r="AI625" s="1400"/>
      <c r="AJ625" s="1401"/>
      <c r="AK625" s="1596"/>
      <c r="AL625" s="1597"/>
      <c r="AM625" s="1597"/>
      <c r="AN625" s="1598"/>
      <c r="AO625" s="1676"/>
      <c r="AP625" s="1676"/>
      <c r="AQ625" s="1676"/>
      <c r="AR625" s="1676"/>
      <c r="AS625" s="1676"/>
      <c r="AU625" s="3"/>
      <c r="AZ625" s="3"/>
      <c r="BA625" s="3"/>
      <c r="BB625" s="3"/>
      <c r="BC625" s="3"/>
      <c r="BD625" s="3"/>
    </row>
    <row r="626" spans="2:157" ht="12.95"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3"/>
      <c r="AA626" s="1403"/>
      <c r="AB626" s="1404"/>
      <c r="AC626" s="1683"/>
      <c r="AD626" s="1684"/>
      <c r="AE626" s="1685"/>
      <c r="AF626" s="1402"/>
      <c r="AG626" s="1403"/>
      <c r="AH626" s="1403"/>
      <c r="AI626" s="1403"/>
      <c r="AJ626" s="1404"/>
      <c r="AK626" s="1599"/>
      <c r="AL626" s="1600"/>
      <c r="AM626" s="1600"/>
      <c r="AN626" s="1601"/>
      <c r="AO626" s="1676"/>
      <c r="AP626" s="1676"/>
      <c r="AQ626" s="1676"/>
      <c r="AR626" s="1676"/>
      <c r="AS626" s="1676"/>
      <c r="AT626" s="3"/>
      <c r="AU626" s="3"/>
      <c r="AZ626" s="3"/>
      <c r="BA626" s="3"/>
      <c r="BB626" s="3"/>
      <c r="BC626" s="3"/>
      <c r="BD626" s="3"/>
    </row>
    <row r="627" spans="2:157" ht="12.95" customHeight="1">
      <c r="B627" s="51" t="s">
        <v>112</v>
      </c>
      <c r="C627" s="1482" t="s">
        <v>2700</v>
      </c>
      <c r="D627" s="1482"/>
      <c r="E627" s="1482"/>
      <c r="F627" s="1482"/>
      <c r="G627" s="1482"/>
      <c r="H627" s="1482"/>
      <c r="I627" s="1482"/>
      <c r="J627" s="1482"/>
      <c r="K627" s="1482"/>
      <c r="L627" s="1482"/>
      <c r="M627" s="1496" t="s">
        <v>2115</v>
      </c>
      <c r="N627" s="1496"/>
      <c r="O627" s="1496"/>
      <c r="P627" s="1496"/>
      <c r="Q627" s="1512">
        <v>480</v>
      </c>
      <c r="R627" s="1512"/>
      <c r="S627" s="1513"/>
      <c r="T627" s="1511">
        <v>480</v>
      </c>
      <c r="U627" s="1512"/>
      <c r="V627" s="1513"/>
      <c r="W627" s="1483">
        <v>0.06</v>
      </c>
      <c r="X627" s="1484"/>
      <c r="Y627" s="1485"/>
      <c r="Z627" s="1479" t="s">
        <v>2133</v>
      </c>
      <c r="AA627" s="1480"/>
      <c r="AB627" s="1481"/>
      <c r="AC627" s="1381">
        <v>1</v>
      </c>
      <c r="AD627" s="1382"/>
      <c r="AE627" s="1383"/>
      <c r="AF627" s="1493">
        <v>2085175</v>
      </c>
      <c r="AG627" s="1494"/>
      <c r="AH627" s="1494"/>
      <c r="AI627" s="1494"/>
      <c r="AJ627" s="1495"/>
      <c r="AK627" s="1487"/>
      <c r="AL627" s="1488"/>
      <c r="AM627" s="1488"/>
      <c r="AN627" s="1489"/>
      <c r="AO627" s="1641">
        <v>30474875</v>
      </c>
      <c r="AP627" s="1641"/>
      <c r="AQ627" s="1641"/>
      <c r="AR627" s="1641"/>
      <c r="AS627" s="1641"/>
      <c r="AT627" s="3"/>
      <c r="AU627" s="3"/>
      <c r="AZ627" s="3"/>
      <c r="BA627" s="3"/>
      <c r="BB627" s="3"/>
      <c r="BC627" s="3"/>
      <c r="BD627" s="3"/>
    </row>
    <row r="628" spans="2:157" ht="12.95" customHeight="1">
      <c r="B628" s="52" t="s">
        <v>113</v>
      </c>
      <c r="C628" s="1482" t="s">
        <v>2701</v>
      </c>
      <c r="D628" s="1482"/>
      <c r="E628" s="1482"/>
      <c r="F628" s="1482"/>
      <c r="G628" s="1482"/>
      <c r="H628" s="1482"/>
      <c r="I628" s="1482"/>
      <c r="J628" s="1482"/>
      <c r="K628" s="1482"/>
      <c r="L628" s="1482"/>
      <c r="M628" s="1496" t="s">
        <v>2108</v>
      </c>
      <c r="N628" s="1496"/>
      <c r="O628" s="1496"/>
      <c r="P628" s="1496"/>
      <c r="Q628" s="1511">
        <f>15*12</f>
        <v>180</v>
      </c>
      <c r="R628" s="1512"/>
      <c r="S628" s="1513"/>
      <c r="T628" s="1511">
        <v>180</v>
      </c>
      <c r="U628" s="1512"/>
      <c r="V628" s="1513"/>
      <c r="W628" s="1483">
        <v>0</v>
      </c>
      <c r="X628" s="1484"/>
      <c r="Y628" s="1485"/>
      <c r="Z628" s="1479" t="s">
        <v>458</v>
      </c>
      <c r="AA628" s="1480"/>
      <c r="AB628" s="1481"/>
      <c r="AC628" s="1381"/>
      <c r="AD628" s="1382"/>
      <c r="AE628" s="1383"/>
      <c r="AF628" s="1493"/>
      <c r="AG628" s="1494"/>
      <c r="AH628" s="1494"/>
      <c r="AI628" s="1494"/>
      <c r="AJ628" s="1495"/>
      <c r="AK628" s="1487"/>
      <c r="AL628" s="1488"/>
      <c r="AM628" s="1488"/>
      <c r="AN628" s="1489"/>
      <c r="AO628" s="1478">
        <v>6456907</v>
      </c>
      <c r="AP628" s="1338"/>
      <c r="AQ628" s="1338"/>
      <c r="AR628" s="1338"/>
      <c r="AS628" s="1339"/>
      <c r="AT628" s="1148" t="str">
        <f>IF(AND(NOT(C627=""),C628="",NOT(C629="")),"!","")</f>
        <v/>
      </c>
      <c r="AU628" s="3"/>
      <c r="AZ628" s="3"/>
      <c r="BA628" s="3"/>
      <c r="BB628" s="3"/>
      <c r="BC628" s="3"/>
      <c r="BD628" s="3"/>
    </row>
    <row r="629" spans="2:157" ht="12.95" customHeight="1">
      <c r="B629" s="52" t="s">
        <v>119</v>
      </c>
      <c r="C629" s="1482"/>
      <c r="D629" s="1482"/>
      <c r="E629" s="1482"/>
      <c r="F629" s="1482"/>
      <c r="G629" s="1482"/>
      <c r="H629" s="1482"/>
      <c r="I629" s="1482"/>
      <c r="J629" s="1482"/>
      <c r="K629" s="1482"/>
      <c r="L629" s="1482"/>
      <c r="M629" s="1496" t="s">
        <v>1185</v>
      </c>
      <c r="N629" s="1496"/>
      <c r="O629" s="1496"/>
      <c r="P629" s="1496"/>
      <c r="Q629" s="1511"/>
      <c r="R629" s="1512"/>
      <c r="S629" s="1513"/>
      <c r="T629" s="1511"/>
      <c r="U629" s="1512"/>
      <c r="V629" s="1513"/>
      <c r="W629" s="1483"/>
      <c r="X629" s="1484"/>
      <c r="Y629" s="1485"/>
      <c r="Z629" s="1479" t="s">
        <v>1185</v>
      </c>
      <c r="AA629" s="1480"/>
      <c r="AB629" s="1481"/>
      <c r="AC629" s="1381"/>
      <c r="AD629" s="1382"/>
      <c r="AE629" s="1383"/>
      <c r="AF629" s="1493"/>
      <c r="AG629" s="1494"/>
      <c r="AH629" s="1494"/>
      <c r="AI629" s="1494"/>
      <c r="AJ629" s="1495"/>
      <c r="AK629" s="1487"/>
      <c r="AL629" s="1488"/>
      <c r="AM629" s="1488"/>
      <c r="AN629" s="1489"/>
      <c r="AO629" s="1478"/>
      <c r="AP629" s="1338"/>
      <c r="AQ629" s="1338"/>
      <c r="AR629" s="1338"/>
      <c r="AS629" s="1339"/>
      <c r="AT629" s="1148" t="str">
        <f t="shared" ref="AT629:AT638" si="1">IF(AND(NOT(C628=""),C629="",NOT(C630="")),"!","")</f>
        <v/>
      </c>
      <c r="AU629" s="3"/>
      <c r="AZ629" s="3"/>
      <c r="BA629" s="3"/>
      <c r="BB629" s="3"/>
      <c r="BC629" s="3"/>
      <c r="BD629" s="3"/>
    </row>
    <row r="630" spans="2:157" ht="12.95" customHeight="1">
      <c r="B630" s="52" t="s">
        <v>582</v>
      </c>
      <c r="C630" s="1492"/>
      <c r="D630" s="1492"/>
      <c r="E630" s="1492"/>
      <c r="F630" s="1492"/>
      <c r="G630" s="1492"/>
      <c r="H630" s="1492"/>
      <c r="I630" s="1492"/>
      <c r="J630" s="1492"/>
      <c r="K630" s="1492"/>
      <c r="L630" s="1492"/>
      <c r="M630" s="1496" t="s">
        <v>1185</v>
      </c>
      <c r="N630" s="1496"/>
      <c r="O630" s="1496"/>
      <c r="P630" s="1496"/>
      <c r="Q630" s="1511"/>
      <c r="R630" s="1512"/>
      <c r="S630" s="1513"/>
      <c r="T630" s="1511"/>
      <c r="U630" s="1512"/>
      <c r="V630" s="1513"/>
      <c r="W630" s="1483"/>
      <c r="X630" s="1484"/>
      <c r="Y630" s="1485"/>
      <c r="Z630" s="1479" t="s">
        <v>1185</v>
      </c>
      <c r="AA630" s="1480"/>
      <c r="AB630" s="1481"/>
      <c r="AC630" s="1381"/>
      <c r="AD630" s="1382"/>
      <c r="AE630" s="1383"/>
      <c r="AF630" s="1493"/>
      <c r="AG630" s="1494"/>
      <c r="AH630" s="1494"/>
      <c r="AI630" s="1494"/>
      <c r="AJ630" s="1495"/>
      <c r="AK630" s="1487"/>
      <c r="AL630" s="1488"/>
      <c r="AM630" s="1488"/>
      <c r="AN630" s="1489"/>
      <c r="AO630" s="1478"/>
      <c r="AP630" s="1338"/>
      <c r="AQ630" s="1338"/>
      <c r="AR630" s="1338"/>
      <c r="AS630" s="1339"/>
      <c r="AT630" s="1148" t="str">
        <f t="shared" si="1"/>
        <v/>
      </c>
      <c r="AU630" s="3"/>
      <c r="AZ630" s="3"/>
      <c r="BA630" s="3"/>
      <c r="BB630" s="3"/>
      <c r="BC630" s="3"/>
      <c r="BD630" s="3"/>
    </row>
    <row r="631" spans="2:157" ht="12.95" customHeight="1">
      <c r="B631" s="52" t="s">
        <v>764</v>
      </c>
      <c r="C631" s="1492"/>
      <c r="D631" s="1492"/>
      <c r="E631" s="1492"/>
      <c r="F631" s="1492"/>
      <c r="G631" s="1492"/>
      <c r="H631" s="1492"/>
      <c r="I631" s="1492"/>
      <c r="J631" s="1492"/>
      <c r="K631" s="1492"/>
      <c r="L631" s="1492"/>
      <c r="M631" s="1496" t="s">
        <v>1185</v>
      </c>
      <c r="N631" s="1496"/>
      <c r="O631" s="1496"/>
      <c r="P631" s="1496"/>
      <c r="Q631" s="1511"/>
      <c r="R631" s="1512"/>
      <c r="S631" s="1513"/>
      <c r="T631" s="1511"/>
      <c r="U631" s="1512"/>
      <c r="V631" s="1513"/>
      <c r="W631" s="1483"/>
      <c r="X631" s="1484"/>
      <c r="Y631" s="1485"/>
      <c r="Z631" s="1479" t="s">
        <v>1185</v>
      </c>
      <c r="AA631" s="1480"/>
      <c r="AB631" s="1481"/>
      <c r="AC631" s="1381"/>
      <c r="AD631" s="1382"/>
      <c r="AE631" s="1383"/>
      <c r="AF631" s="1493"/>
      <c r="AG631" s="1494"/>
      <c r="AH631" s="1494"/>
      <c r="AI631" s="1494"/>
      <c r="AJ631" s="1495"/>
      <c r="AK631" s="1487"/>
      <c r="AL631" s="1488"/>
      <c r="AM631" s="1488"/>
      <c r="AN631" s="1489"/>
      <c r="AO631" s="1478"/>
      <c r="AP631" s="1338"/>
      <c r="AQ631" s="1338"/>
      <c r="AR631" s="1338"/>
      <c r="AS631" s="1339"/>
      <c r="AT631" s="1148" t="str">
        <f t="shared" si="1"/>
        <v/>
      </c>
      <c r="AU631" s="3"/>
      <c r="AZ631" s="3"/>
      <c r="BA631" s="3"/>
      <c r="BB631" s="3"/>
      <c r="BC631" s="3"/>
      <c r="BD631" s="3"/>
    </row>
    <row r="632" spans="2:157" ht="12.95" customHeight="1">
      <c r="B632" s="52" t="s">
        <v>585</v>
      </c>
      <c r="C632" s="1492"/>
      <c r="D632" s="1492"/>
      <c r="E632" s="1492"/>
      <c r="F632" s="1492"/>
      <c r="G632" s="1492"/>
      <c r="H632" s="1492"/>
      <c r="I632" s="1492"/>
      <c r="J632" s="1492"/>
      <c r="K632" s="1492"/>
      <c r="L632" s="1492"/>
      <c r="M632" s="1496" t="s">
        <v>1185</v>
      </c>
      <c r="N632" s="1496"/>
      <c r="O632" s="1496"/>
      <c r="P632" s="1496"/>
      <c r="Q632" s="1511"/>
      <c r="R632" s="1512"/>
      <c r="S632" s="1513"/>
      <c r="T632" s="1511"/>
      <c r="U632" s="1512"/>
      <c r="V632" s="1513"/>
      <c r="W632" s="1483"/>
      <c r="X632" s="1484"/>
      <c r="Y632" s="1485"/>
      <c r="Z632" s="1479" t="s">
        <v>1185</v>
      </c>
      <c r="AA632" s="1480"/>
      <c r="AB632" s="1481"/>
      <c r="AC632" s="1381"/>
      <c r="AD632" s="1382"/>
      <c r="AE632" s="1383"/>
      <c r="AF632" s="1493"/>
      <c r="AG632" s="1494"/>
      <c r="AH632" s="1494"/>
      <c r="AI632" s="1494"/>
      <c r="AJ632" s="1495"/>
      <c r="AK632" s="1487"/>
      <c r="AL632" s="1488"/>
      <c r="AM632" s="1488"/>
      <c r="AN632" s="1489"/>
      <c r="AO632" s="1478"/>
      <c r="AP632" s="1338"/>
      <c r="AQ632" s="1338"/>
      <c r="AR632" s="1338"/>
      <c r="AS632" s="1339"/>
      <c r="AT632" s="1148" t="str">
        <f t="shared" si="1"/>
        <v/>
      </c>
      <c r="AU632" s="3"/>
      <c r="AZ632" s="3"/>
      <c r="BA632" s="3"/>
      <c r="BB632" s="3"/>
      <c r="BC632" s="3"/>
      <c r="BD632" s="3"/>
    </row>
    <row r="633" spans="2:157" ht="12.95" customHeight="1">
      <c r="B633" s="52" t="s">
        <v>456</v>
      </c>
      <c r="C633" s="1492"/>
      <c r="D633" s="1492"/>
      <c r="E633" s="1492"/>
      <c r="F633" s="1492"/>
      <c r="G633" s="1492"/>
      <c r="H633" s="1492"/>
      <c r="I633" s="1492"/>
      <c r="J633" s="1492"/>
      <c r="K633" s="1492"/>
      <c r="L633" s="1492"/>
      <c r="M633" s="1496" t="s">
        <v>1185</v>
      </c>
      <c r="N633" s="1496"/>
      <c r="O633" s="1496"/>
      <c r="P633" s="1496"/>
      <c r="Q633" s="1511"/>
      <c r="R633" s="1512"/>
      <c r="S633" s="1513"/>
      <c r="T633" s="1511"/>
      <c r="U633" s="1512"/>
      <c r="V633" s="1513"/>
      <c r="W633" s="1483"/>
      <c r="X633" s="1484"/>
      <c r="Y633" s="1485"/>
      <c r="Z633" s="1479" t="s">
        <v>1185</v>
      </c>
      <c r="AA633" s="1480"/>
      <c r="AB633" s="1481"/>
      <c r="AC633" s="1381"/>
      <c r="AD633" s="1382"/>
      <c r="AE633" s="1383"/>
      <c r="AF633" s="1493"/>
      <c r="AG633" s="1494"/>
      <c r="AH633" s="1494"/>
      <c r="AI633" s="1494"/>
      <c r="AJ633" s="1495"/>
      <c r="AK633" s="1487"/>
      <c r="AL633" s="1488"/>
      <c r="AM633" s="1488"/>
      <c r="AN633" s="1489"/>
      <c r="AO633" s="1478"/>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457</v>
      </c>
      <c r="C634" s="1492"/>
      <c r="D634" s="1492"/>
      <c r="E634" s="1492"/>
      <c r="F634" s="1492"/>
      <c r="G634" s="1492"/>
      <c r="H634" s="1492"/>
      <c r="I634" s="1492"/>
      <c r="J634" s="1492"/>
      <c r="K634" s="1492"/>
      <c r="L634" s="1492"/>
      <c r="M634" s="1496" t="s">
        <v>1185</v>
      </c>
      <c r="N634" s="1496"/>
      <c r="O634" s="1496"/>
      <c r="P634" s="1496"/>
      <c r="Q634" s="1511"/>
      <c r="R634" s="1512"/>
      <c r="S634" s="1513"/>
      <c r="T634" s="1511"/>
      <c r="U634" s="1512"/>
      <c r="V634" s="1513"/>
      <c r="W634" s="1483"/>
      <c r="X634" s="1484"/>
      <c r="Y634" s="1485"/>
      <c r="Z634" s="1479" t="s">
        <v>1185</v>
      </c>
      <c r="AA634" s="1480"/>
      <c r="AB634" s="1481"/>
      <c r="AC634" s="1381"/>
      <c r="AD634" s="1382"/>
      <c r="AE634" s="1383"/>
      <c r="AF634" s="1493"/>
      <c r="AG634" s="1494"/>
      <c r="AH634" s="1494"/>
      <c r="AI634" s="1494"/>
      <c r="AJ634" s="1495"/>
      <c r="AK634" s="1487"/>
      <c r="AL634" s="1488"/>
      <c r="AM634" s="1488"/>
      <c r="AN634" s="1489"/>
      <c r="AO634" s="1478"/>
      <c r="AP634" s="1338"/>
      <c r="AQ634" s="1338"/>
      <c r="AR634" s="1338"/>
      <c r="AS634" s="1339"/>
      <c r="AT634" s="1148" t="str">
        <f t="shared" si="1"/>
        <v/>
      </c>
      <c r="AU634" s="3"/>
      <c r="AV634" s="3"/>
      <c r="AW634" s="3"/>
      <c r="AX634" s="3"/>
      <c r="AY634" s="3"/>
      <c r="AZ634" s="3"/>
      <c r="BA634" s="3" t="s">
        <v>1185</v>
      </c>
      <c r="BB634" s="3"/>
      <c r="BC634" s="3"/>
      <c r="BD634" s="3"/>
    </row>
    <row r="635" spans="2:157" ht="12.95" customHeight="1">
      <c r="B635" s="52" t="s">
        <v>462</v>
      </c>
      <c r="C635" s="1492"/>
      <c r="D635" s="1492"/>
      <c r="E635" s="1492"/>
      <c r="F635" s="1492"/>
      <c r="G635" s="1492"/>
      <c r="H635" s="1492"/>
      <c r="I635" s="1492"/>
      <c r="J635" s="1492"/>
      <c r="K635" s="1492"/>
      <c r="L635" s="1492"/>
      <c r="M635" s="1496" t="s">
        <v>1185</v>
      </c>
      <c r="N635" s="1496"/>
      <c r="O635" s="1496"/>
      <c r="P635" s="1496"/>
      <c r="Q635" s="1511"/>
      <c r="R635" s="1512"/>
      <c r="S635" s="1513"/>
      <c r="T635" s="1511"/>
      <c r="U635" s="1512"/>
      <c r="V635" s="1513"/>
      <c r="W635" s="1483"/>
      <c r="X635" s="1484"/>
      <c r="Y635" s="1485"/>
      <c r="Z635" s="1479" t="s">
        <v>1185</v>
      </c>
      <c r="AA635" s="1480"/>
      <c r="AB635" s="1481"/>
      <c r="AC635" s="1381"/>
      <c r="AD635" s="1382"/>
      <c r="AE635" s="1383"/>
      <c r="AF635" s="1493"/>
      <c r="AG635" s="1494"/>
      <c r="AH635" s="1494"/>
      <c r="AI635" s="1494"/>
      <c r="AJ635" s="1495"/>
      <c r="AK635" s="1487"/>
      <c r="AL635" s="1488"/>
      <c r="AM635" s="1488"/>
      <c r="AN635" s="1489"/>
      <c r="AO635" s="1478"/>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f t="shared" ref="DX635:DX669" si="2">EZ718*(CP718/$CP$753)</f>
        <v>119.46666666666667</v>
      </c>
      <c r="DY635" s="1369"/>
      <c r="DZ635" s="1369"/>
      <c r="EA635" s="1369"/>
      <c r="EB635" s="1369"/>
      <c r="EC635" s="1369" t="e">
        <f t="shared" ref="EC635:EC669" si="3">FE718*(CU718/$CU$753)</f>
        <v>#VALUE!</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647</v>
      </c>
      <c r="C636" s="1492"/>
      <c r="D636" s="1492"/>
      <c r="E636" s="1492"/>
      <c r="F636" s="1492"/>
      <c r="G636" s="1492"/>
      <c r="H636" s="1492"/>
      <c r="I636" s="1492"/>
      <c r="J636" s="1492"/>
      <c r="K636" s="1492"/>
      <c r="L636" s="1492"/>
      <c r="M636" s="1496" t="s">
        <v>1185</v>
      </c>
      <c r="N636" s="1496"/>
      <c r="O636" s="1496"/>
      <c r="P636" s="1496"/>
      <c r="Q636" s="1511"/>
      <c r="R636" s="1512"/>
      <c r="S636" s="1513"/>
      <c r="T636" s="1511"/>
      <c r="U636" s="1512"/>
      <c r="V636" s="1513"/>
      <c r="W636" s="1483"/>
      <c r="X636" s="1484"/>
      <c r="Y636" s="1485"/>
      <c r="Z636" s="1479" t="s">
        <v>1185</v>
      </c>
      <c r="AA636" s="1480"/>
      <c r="AB636" s="1481"/>
      <c r="AC636" s="1381"/>
      <c r="AD636" s="1382"/>
      <c r="AE636" s="1383"/>
      <c r="AF636" s="1493"/>
      <c r="AG636" s="1494"/>
      <c r="AH636" s="1494"/>
      <c r="AI636" s="1494"/>
      <c r="AJ636" s="1495"/>
      <c r="AK636" s="1487"/>
      <c r="AL636" s="1488"/>
      <c r="AM636" s="1488"/>
      <c r="AN636" s="1489"/>
      <c r="AO636" s="1478"/>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f t="shared" si="2"/>
        <v>201.86666666666667</v>
      </c>
      <c r="DY636" s="1369"/>
      <c r="DZ636" s="1369"/>
      <c r="EA636" s="1369"/>
      <c r="EB636" s="1369"/>
      <c r="EC636" s="1369" t="e">
        <f t="shared" si="3"/>
        <v>#VALUE!</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362</v>
      </c>
      <c r="C637" s="1492"/>
      <c r="D637" s="1492"/>
      <c r="E637" s="1492"/>
      <c r="F637" s="1492"/>
      <c r="G637" s="1492"/>
      <c r="H637" s="1492"/>
      <c r="I637" s="1492"/>
      <c r="J637" s="1492"/>
      <c r="K637" s="1492"/>
      <c r="L637" s="1492"/>
      <c r="M637" s="1496" t="s">
        <v>1185</v>
      </c>
      <c r="N637" s="1496"/>
      <c r="O637" s="1496"/>
      <c r="P637" s="1496"/>
      <c r="Q637" s="1511"/>
      <c r="R637" s="1512"/>
      <c r="S637" s="1513"/>
      <c r="T637" s="1511"/>
      <c r="U637" s="1512"/>
      <c r="V637" s="1513"/>
      <c r="W637" s="1483"/>
      <c r="X637" s="1484"/>
      <c r="Y637" s="1485"/>
      <c r="Z637" s="1479" t="s">
        <v>1185</v>
      </c>
      <c r="AA637" s="1480"/>
      <c r="AB637" s="1481"/>
      <c r="AC637" s="1381"/>
      <c r="AD637" s="1382"/>
      <c r="AE637" s="1383"/>
      <c r="AF637" s="1493"/>
      <c r="AG637" s="1494"/>
      <c r="AH637" s="1494"/>
      <c r="AI637" s="1494"/>
      <c r="AJ637" s="1495"/>
      <c r="AK637" s="1487"/>
      <c r="AL637" s="1488"/>
      <c r="AM637" s="1488"/>
      <c r="AN637" s="1489"/>
      <c r="AO637" s="1478"/>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f t="shared" si="2"/>
        <v>1150.5999999999999</v>
      </c>
      <c r="DY637" s="1369"/>
      <c r="DZ637" s="1369"/>
      <c r="EA637" s="1369"/>
      <c r="EB637" s="1369"/>
      <c r="EC637" s="1369" t="e">
        <f t="shared" si="3"/>
        <v>#VALUE!</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363</v>
      </c>
      <c r="C638" s="1492"/>
      <c r="D638" s="1492"/>
      <c r="E638" s="1492"/>
      <c r="F638" s="1492"/>
      <c r="G638" s="1492"/>
      <c r="H638" s="1492"/>
      <c r="I638" s="1492"/>
      <c r="J638" s="1492"/>
      <c r="K638" s="1492"/>
      <c r="L638" s="1492"/>
      <c r="M638" s="1496" t="s">
        <v>1185</v>
      </c>
      <c r="N638" s="1496"/>
      <c r="O638" s="1496"/>
      <c r="P638" s="1496"/>
      <c r="Q638" s="1511"/>
      <c r="R638" s="1512"/>
      <c r="S638" s="1513"/>
      <c r="T638" s="1511"/>
      <c r="U638" s="1512"/>
      <c r="V638" s="1513"/>
      <c r="W638" s="1483"/>
      <c r="X638" s="1484"/>
      <c r="Y638" s="1485"/>
      <c r="Z638" s="1479" t="s">
        <v>1185</v>
      </c>
      <c r="AA638" s="1480"/>
      <c r="AB638" s="1481"/>
      <c r="AC638" s="1381"/>
      <c r="AD638" s="1382"/>
      <c r="AE638" s="1383"/>
      <c r="AF638" s="1493"/>
      <c r="AG638" s="1494"/>
      <c r="AH638" s="1494"/>
      <c r="AI638" s="1494"/>
      <c r="AJ638" s="1495"/>
      <c r="AK638" s="1487"/>
      <c r="AL638" s="1488"/>
      <c r="AM638" s="1488"/>
      <c r="AN638" s="1489"/>
      <c r="AO638" s="1478"/>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108.33962264150944</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5">
        <f>SUM(AO627:AR638)</f>
        <v>36931782</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f t="shared" si="3"/>
        <v>183.28301886792454</v>
      </c>
      <c r="ED639" s="1369"/>
      <c r="EE639" s="1369"/>
      <c r="EF639" s="1369"/>
      <c r="EG639" s="1369"/>
      <c r="EH639" s="1369" t="e">
        <f t="shared" si="4"/>
        <v>#VALUE!</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8">
        <v>27876512</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f t="shared" si="3"/>
        <v>1306.5849056603774</v>
      </c>
      <c r="ED640" s="1369"/>
      <c r="EE640" s="1369"/>
      <c r="EF640" s="1369"/>
      <c r="EG640" s="1369"/>
      <c r="EH640" s="1369" t="e">
        <f t="shared" si="4"/>
        <v>#VALUE!</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4"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5"/>
      <c r="AO641" s="1475">
        <f>AO639+AO640</f>
        <v>64808294</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120.73684210526315</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200</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464</v>
      </c>
      <c r="G643" s="1486" t="str">
        <f>C627</f>
        <v>Citi Bank Perm Loan</v>
      </c>
      <c r="H643" s="1486"/>
      <c r="I643" s="1486"/>
      <c r="J643" s="1486"/>
      <c r="K643" s="1486"/>
      <c r="L643" s="1486"/>
      <c r="M643" s="1486"/>
      <c r="N643" s="1486"/>
      <c r="O643" s="1486"/>
      <c r="P643" s="1486"/>
      <c r="Q643" s="1486"/>
      <c r="R643" s="1486"/>
      <c r="S643" s="8"/>
      <c r="T643" s="55" t="s">
        <v>113</v>
      </c>
      <c r="U643" t="s">
        <v>464</v>
      </c>
      <c r="Z643" s="1486" t="str">
        <f>C628</f>
        <v>Deffered Developer Fee</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f t="shared" si="4"/>
        <v>1500</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8" t="s">
        <v>2706</v>
      </c>
      <c r="H644" s="1408"/>
      <c r="I644" s="1408"/>
      <c r="J644" s="1408"/>
      <c r="K644" s="1408"/>
      <c r="L644" s="1408"/>
      <c r="M644" s="1408"/>
      <c r="N644" s="1408"/>
      <c r="O644" s="1408"/>
      <c r="P644" s="1408"/>
      <c r="Q644" s="1408"/>
      <c r="R644" s="1408"/>
      <c r="S644" s="8"/>
      <c r="T644" s="22"/>
      <c r="U644" t="s">
        <v>85</v>
      </c>
      <c r="Z644" s="1408" t="s">
        <v>2641</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153.95348837209303</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581</v>
      </c>
      <c r="G645" s="1408" t="s">
        <v>2707</v>
      </c>
      <c r="H645" s="1408"/>
      <c r="I645" s="1408"/>
      <c r="J645" s="1408"/>
      <c r="K645" s="1408"/>
      <c r="L645" s="1408"/>
      <c r="M645" s="1408"/>
      <c r="N645" s="1408"/>
      <c r="O645" s="1408"/>
      <c r="P645" s="1408"/>
      <c r="Q645" s="1408"/>
      <c r="R645" s="1408"/>
      <c r="T645" s="22"/>
      <c r="U645" t="s">
        <v>581</v>
      </c>
      <c r="Z645" s="1371" t="s">
        <v>2645</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260.69767441860466</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8" t="s">
        <v>2708</v>
      </c>
      <c r="H646" s="1408"/>
      <c r="I646" s="1408"/>
      <c r="J646" s="1408"/>
      <c r="K646" s="1408"/>
      <c r="L646" s="1408"/>
      <c r="M646" s="1408"/>
      <c r="N646" s="1408"/>
      <c r="O646" s="1408"/>
      <c r="P646" s="1408"/>
      <c r="Q646" s="1408"/>
      <c r="R646" s="1408"/>
      <c r="S646" s="8"/>
      <c r="T646" s="22"/>
      <c r="U646" t="s">
        <v>17</v>
      </c>
      <c r="Z646" s="1371" t="s">
        <v>2636</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2072.8604651162791</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316</v>
      </c>
      <c r="G647" s="1490" t="s">
        <v>2709</v>
      </c>
      <c r="H647" s="1490"/>
      <c r="I647" s="1490"/>
      <c r="J647" s="1490"/>
      <c r="K647" s="1490"/>
      <c r="L647" s="1490"/>
      <c r="O647" s="33" t="s">
        <v>206</v>
      </c>
      <c r="P647" s="1474"/>
      <c r="Q647" s="1474"/>
      <c r="R647" s="1474"/>
      <c r="S647" s="10"/>
      <c r="T647" s="22"/>
      <c r="U647" t="s">
        <v>316</v>
      </c>
      <c r="Z647" s="1490">
        <v>7078229000</v>
      </c>
      <c r="AA647" s="1490"/>
      <c r="AB647" s="1490"/>
      <c r="AC647" s="1490"/>
      <c r="AD647" s="1490"/>
      <c r="AE647" s="1490"/>
      <c r="AH647" s="33" t="s">
        <v>206</v>
      </c>
      <c r="AI647" s="1474"/>
      <c r="AJ647" s="1474"/>
      <c r="AK647" s="1474"/>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8" t="s">
        <v>2714</v>
      </c>
      <c r="I648" s="1408"/>
      <c r="J648" s="1408"/>
      <c r="K648" s="1408"/>
      <c r="L648" s="1408"/>
      <c r="M648" s="1408"/>
      <c r="N648" s="1408"/>
      <c r="O648" s="1408"/>
      <c r="P648" s="1408"/>
      <c r="Q648" s="1408"/>
      <c r="R648" s="1408"/>
      <c r="S648" s="8"/>
      <c r="T648" s="22"/>
      <c r="U648" t="s">
        <v>18</v>
      </c>
      <c r="AA648" s="1407" t="s">
        <v>2715</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464</v>
      </c>
      <c r="G651" s="1486">
        <f>C629</f>
        <v>0</v>
      </c>
      <c r="H651" s="1486"/>
      <c r="I651" s="1486"/>
      <c r="J651" s="1486"/>
      <c r="K651" s="1486"/>
      <c r="L651" s="1486"/>
      <c r="M651" s="1486"/>
      <c r="N651" s="1486"/>
      <c r="O651" s="1486"/>
      <c r="P651" s="1486"/>
      <c r="Q651" s="1486"/>
      <c r="R651" s="1486"/>
      <c r="T651" s="55" t="s">
        <v>582</v>
      </c>
      <c r="U651" t="s">
        <v>464</v>
      </c>
      <c r="Z651" s="1486">
        <f>C630</f>
        <v>0</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8"/>
      <c r="H652" s="1408"/>
      <c r="I652" s="1408"/>
      <c r="J652" s="1408"/>
      <c r="K652" s="1408"/>
      <c r="L652" s="1408"/>
      <c r="M652" s="1408"/>
      <c r="N652" s="1408"/>
      <c r="O652" s="1408"/>
      <c r="P652" s="1408"/>
      <c r="Q652" s="1408"/>
      <c r="R652" s="1408"/>
      <c r="T652" s="22"/>
      <c r="U652" t="s">
        <v>85</v>
      </c>
      <c r="Z652" s="1408"/>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581</v>
      </c>
      <c r="G653" s="1371"/>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371"/>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316</v>
      </c>
      <c r="G655" s="1490"/>
      <c r="H655" s="1490"/>
      <c r="I655" s="1490"/>
      <c r="J655" s="1490"/>
      <c r="K655" s="1490"/>
      <c r="L655" s="1490"/>
      <c r="O655" s="33" t="s">
        <v>206</v>
      </c>
      <c r="P655" s="1474"/>
      <c r="Q655" s="1474"/>
      <c r="R655" s="1474"/>
      <c r="T655" s="22"/>
      <c r="U655" t="s">
        <v>316</v>
      </c>
      <c r="Z655" s="1490"/>
      <c r="AA655" s="1490"/>
      <c r="AB655" s="1490"/>
      <c r="AC655" s="1490"/>
      <c r="AD655" s="1490"/>
      <c r="AE655" s="1490"/>
      <c r="AH655" s="33" t="s">
        <v>206</v>
      </c>
      <c r="AI655" s="1474"/>
      <c r="AJ655" s="1474"/>
      <c r="AK655" s="1474"/>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8"/>
      <c r="I656" s="1408"/>
      <c r="J656" s="1408"/>
      <c r="K656" s="1408"/>
      <c r="L656" s="1408"/>
      <c r="M656" s="1408"/>
      <c r="N656" s="1408"/>
      <c r="O656" s="1408"/>
      <c r="P656" s="1408"/>
      <c r="Q656" s="1408"/>
      <c r="R656" s="1408"/>
      <c r="T656" s="22"/>
      <c r="U656" t="s">
        <v>18</v>
      </c>
      <c r="AA656" s="1408"/>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6" t="s">
        <v>670</v>
      </c>
      <c r="O657" s="1416"/>
      <c r="T657" s="22"/>
      <c r="U657" t="s">
        <v>20</v>
      </c>
      <c r="AG657" s="1416" t="s">
        <v>670</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764</v>
      </c>
      <c r="B659" t="s">
        <v>464</v>
      </c>
      <c r="G659" s="1486">
        <f>C631</f>
        <v>0</v>
      </c>
      <c r="H659" s="1486"/>
      <c r="I659" s="1486"/>
      <c r="J659" s="1486"/>
      <c r="K659" s="1486"/>
      <c r="L659" s="1486"/>
      <c r="M659" s="1486"/>
      <c r="N659" s="1486"/>
      <c r="O659" s="1486"/>
      <c r="P659" s="1486"/>
      <c r="Q659" s="1486"/>
      <c r="R659" s="1486"/>
      <c r="T659" s="55" t="s">
        <v>585</v>
      </c>
      <c r="U659" t="s">
        <v>464</v>
      </c>
      <c r="Z659" s="1486">
        <f>C632</f>
        <v>0</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581</v>
      </c>
      <c r="G661" s="1408"/>
      <c r="H661" s="1408"/>
      <c r="I661" s="1408"/>
      <c r="J661" s="1408"/>
      <c r="K661" s="1408"/>
      <c r="L661" s="1408"/>
      <c r="M661" s="1408"/>
      <c r="N661" s="1408"/>
      <c r="O661" s="1408"/>
      <c r="P661" s="1408"/>
      <c r="Q661" s="1408"/>
      <c r="R661" s="1408"/>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8"/>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316</v>
      </c>
      <c r="G663" s="1490"/>
      <c r="H663" s="1490"/>
      <c r="I663" s="1490"/>
      <c r="J663" s="1490"/>
      <c r="K663" s="1490"/>
      <c r="L663" s="1490"/>
      <c r="O663" s="33" t="s">
        <v>206</v>
      </c>
      <c r="P663" s="1474"/>
      <c r="Q663" s="1474"/>
      <c r="R663" s="1474"/>
      <c r="T663" s="22"/>
      <c r="U663" t="s">
        <v>316</v>
      </c>
      <c r="Z663" s="1490"/>
      <c r="AA663" s="1490"/>
      <c r="AB663" s="1490"/>
      <c r="AC663" s="1490"/>
      <c r="AD663" s="1490"/>
      <c r="AE663" s="1490"/>
      <c r="AH663" s="33" t="s">
        <v>206</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6" t="s">
        <v>670</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456</v>
      </c>
      <c r="B667" t="s">
        <v>464</v>
      </c>
      <c r="G667" s="1486">
        <f>C633</f>
        <v>0</v>
      </c>
      <c r="H667" s="1486"/>
      <c r="I667" s="1486"/>
      <c r="J667" s="1486"/>
      <c r="K667" s="1486"/>
      <c r="L667" s="1486"/>
      <c r="M667" s="1486"/>
      <c r="N667" s="1486"/>
      <c r="O667" s="1486"/>
      <c r="P667" s="1486"/>
      <c r="Q667" s="1486"/>
      <c r="R667" s="1486"/>
      <c r="T667" s="55" t="s">
        <v>457</v>
      </c>
      <c r="U667" t="s">
        <v>464</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581</v>
      </c>
      <c r="G669" s="1408"/>
      <c r="H669" s="1408"/>
      <c r="I669" s="1408"/>
      <c r="J669" s="1408"/>
      <c r="K669" s="1408"/>
      <c r="L669" s="1408"/>
      <c r="M669" s="1408"/>
      <c r="N669" s="1408"/>
      <c r="O669" s="1408"/>
      <c r="P669" s="1408"/>
      <c r="Q669" s="1408"/>
      <c r="R669" s="1408"/>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1471.9333333333334</v>
      </c>
      <c r="DY670" s="1369"/>
      <c r="DZ670" s="1369"/>
      <c r="EA670" s="1369"/>
      <c r="EB670" s="1369"/>
      <c r="EC670" s="1369">
        <f>SUMIF(EC635:EG669,"&gt;0")</f>
        <v>1598.2075471698113</v>
      </c>
      <c r="ED670" s="1369"/>
      <c r="EE670" s="1369"/>
      <c r="EF670" s="1369"/>
      <c r="EG670" s="1369"/>
      <c r="EH670" s="1369">
        <f>SUMIF(EH635:EL669,"&gt;0")</f>
        <v>1820.7368421052631</v>
      </c>
      <c r="EI670" s="1369"/>
      <c r="EJ670" s="1369"/>
      <c r="EK670" s="1369"/>
      <c r="EL670" s="1369"/>
      <c r="EM670" s="1369">
        <f>SUMIF(EM635:EQ669,"&gt;0")</f>
        <v>2487.5116279069766</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316</v>
      </c>
      <c r="G671" s="1490"/>
      <c r="H671" s="1490"/>
      <c r="I671" s="1490"/>
      <c r="J671" s="1490"/>
      <c r="K671" s="1490"/>
      <c r="L671" s="1490"/>
      <c r="O671" s="33" t="s">
        <v>206</v>
      </c>
      <c r="P671" s="1474"/>
      <c r="Q671" s="1474"/>
      <c r="R671" s="1474"/>
      <c r="T671" s="22"/>
      <c r="U671" t="s">
        <v>316</v>
      </c>
      <c r="Z671" s="1490"/>
      <c r="AA671" s="1490"/>
      <c r="AB671" s="1490"/>
      <c r="AC671" s="1490"/>
      <c r="AD671" s="1490"/>
      <c r="AE671" s="1490"/>
      <c r="AH671" s="33" t="s">
        <v>206</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670</v>
      </c>
      <c r="O673" s="1416"/>
      <c r="T673" s="22"/>
      <c r="U673" t="s">
        <v>20</v>
      </c>
      <c r="AG673" s="1416" t="s">
        <v>670</v>
      </c>
      <c r="AH673" s="1416"/>
      <c r="AZ673" s="3"/>
    </row>
    <row r="674" spans="1:52" ht="12.95" customHeight="1">
      <c r="A674" s="22"/>
      <c r="T674" s="22"/>
      <c r="AZ674" s="3"/>
    </row>
    <row r="675" spans="1:52" ht="12.95" customHeight="1">
      <c r="A675" s="55" t="s">
        <v>462</v>
      </c>
      <c r="B675" t="s">
        <v>464</v>
      </c>
      <c r="G675" s="1486">
        <f>C635</f>
        <v>0</v>
      </c>
      <c r="H675" s="1486"/>
      <c r="I675" s="1486"/>
      <c r="J675" s="1486"/>
      <c r="K675" s="1486"/>
      <c r="L675" s="1486"/>
      <c r="M675" s="1486"/>
      <c r="N675" s="1486"/>
      <c r="O675" s="1486"/>
      <c r="P675" s="1486"/>
      <c r="Q675" s="1486"/>
      <c r="R675" s="1486"/>
      <c r="T675" s="55" t="s">
        <v>647</v>
      </c>
      <c r="U675" t="s">
        <v>464</v>
      </c>
      <c r="Z675" s="1486">
        <f>C636</f>
        <v>0</v>
      </c>
      <c r="AA675" s="1486"/>
      <c r="AB675" s="1486"/>
      <c r="AC675" s="1486"/>
      <c r="AD675" s="1486"/>
      <c r="AE675" s="1486"/>
      <c r="AF675" s="1486"/>
      <c r="AG675" s="1486"/>
      <c r="AH675" s="1486"/>
      <c r="AI675" s="1486"/>
      <c r="AJ675" s="1486"/>
      <c r="AK675" s="1486"/>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581</v>
      </c>
      <c r="G677" s="1408"/>
      <c r="H677" s="1408"/>
      <c r="I677" s="1408"/>
      <c r="J677" s="1408"/>
      <c r="K677" s="1408"/>
      <c r="L677" s="1408"/>
      <c r="M677" s="1408"/>
      <c r="N677" s="1408"/>
      <c r="O677" s="1408"/>
      <c r="P677" s="1408"/>
      <c r="Q677" s="1408"/>
      <c r="R677" s="1408"/>
      <c r="T677" s="22"/>
      <c r="U677" t="s">
        <v>581</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316</v>
      </c>
      <c r="G679" s="1490"/>
      <c r="H679" s="1490"/>
      <c r="I679" s="1490"/>
      <c r="J679" s="1490"/>
      <c r="K679" s="1490"/>
      <c r="L679" s="1490"/>
      <c r="O679" s="33" t="s">
        <v>206</v>
      </c>
      <c r="P679" s="1474"/>
      <c r="Q679" s="1474"/>
      <c r="R679" s="1474"/>
      <c r="T679" s="22"/>
      <c r="U679" t="s">
        <v>316</v>
      </c>
      <c r="Z679" s="1490"/>
      <c r="AA679" s="1490"/>
      <c r="AB679" s="1490"/>
      <c r="AC679" s="1490"/>
      <c r="AD679" s="1490"/>
      <c r="AE679" s="1490"/>
      <c r="AH679" s="33" t="s">
        <v>206</v>
      </c>
      <c r="AI679" s="1474"/>
      <c r="AJ679" s="1474"/>
      <c r="AK679" s="1474"/>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670</v>
      </c>
      <c r="O681" s="1416"/>
      <c r="T681" s="22"/>
      <c r="U681" t="s">
        <v>20</v>
      </c>
      <c r="AG681" s="1416" t="s">
        <v>670</v>
      </c>
      <c r="AH681" s="1416"/>
      <c r="AZ681" s="3"/>
    </row>
    <row r="682" spans="1:52" ht="12.95" customHeight="1">
      <c r="A682" s="22"/>
      <c r="T682" s="22"/>
      <c r="AZ682" s="3"/>
    </row>
    <row r="683" spans="1:52" ht="12.95" customHeight="1">
      <c r="A683" s="55" t="s">
        <v>362</v>
      </c>
      <c r="B683" t="s">
        <v>464</v>
      </c>
      <c r="G683" s="1486">
        <f>C637</f>
        <v>0</v>
      </c>
      <c r="H683" s="1486"/>
      <c r="I683" s="1486"/>
      <c r="J683" s="1486"/>
      <c r="K683" s="1486"/>
      <c r="L683" s="1486"/>
      <c r="M683" s="1486"/>
      <c r="N683" s="1486"/>
      <c r="O683" s="1486"/>
      <c r="P683" s="1486"/>
      <c r="Q683" s="1486"/>
      <c r="R683" s="1486"/>
      <c r="T683" s="55" t="s">
        <v>363</v>
      </c>
      <c r="U683" t="s">
        <v>464</v>
      </c>
      <c r="Z683" s="1486">
        <f>C638</f>
        <v>0</v>
      </c>
      <c r="AA683" s="1486"/>
      <c r="AB683" s="1486"/>
      <c r="AC683" s="1486"/>
      <c r="AD683" s="1486"/>
      <c r="AE683" s="1486"/>
      <c r="AF683" s="1486"/>
      <c r="AG683" s="1486"/>
      <c r="AH683" s="1486"/>
      <c r="AI683" s="1486"/>
      <c r="AJ683" s="1486"/>
      <c r="AK683" s="1486"/>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581</v>
      </c>
      <c r="G685" s="1408"/>
      <c r="H685" s="1408"/>
      <c r="I685" s="1408"/>
      <c r="J685" s="1408"/>
      <c r="K685" s="1408"/>
      <c r="L685" s="1408"/>
      <c r="M685" s="1408"/>
      <c r="N685" s="1408"/>
      <c r="O685" s="1408"/>
      <c r="P685" s="1408"/>
      <c r="Q685" s="1408"/>
      <c r="R685" s="1408"/>
      <c r="U685" t="s">
        <v>581</v>
      </c>
      <c r="Z685" s="1371"/>
      <c r="AA685" s="1371"/>
      <c r="AB685" s="1371"/>
      <c r="AC685" s="1371"/>
      <c r="AD685" s="1371"/>
      <c r="AE685" s="1371"/>
      <c r="AF685" s="1371"/>
      <c r="AG685" s="1371"/>
      <c r="AH685" s="1371"/>
      <c r="AI685" s="1371"/>
      <c r="AJ685" s="1371"/>
      <c r="AK685" s="1371"/>
      <c r="AZ685" s="3"/>
    </row>
    <row r="686" spans="1:52" ht="12.95"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2.95" customHeight="1">
      <c r="B687" t="s">
        <v>316</v>
      </c>
      <c r="G687" s="1490"/>
      <c r="H687" s="1490"/>
      <c r="I687" s="1490"/>
      <c r="J687" s="1490"/>
      <c r="K687" s="1490"/>
      <c r="L687" s="1490"/>
      <c r="O687" s="33" t="s">
        <v>206</v>
      </c>
      <c r="P687" s="1474"/>
      <c r="Q687" s="1474"/>
      <c r="R687" s="1474"/>
      <c r="U687" t="s">
        <v>316</v>
      </c>
      <c r="Z687" s="1490"/>
      <c r="AA687" s="1490"/>
      <c r="AB687" s="1490"/>
      <c r="AC687" s="1490"/>
      <c r="AD687" s="1490"/>
      <c r="AE687" s="1490"/>
      <c r="AH687" s="33" t="s">
        <v>206</v>
      </c>
      <c r="AI687" s="1474"/>
      <c r="AJ687" s="1474"/>
      <c r="AK687" s="1474"/>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670</v>
      </c>
      <c r="O689" s="1416"/>
      <c r="U689" t="s">
        <v>20</v>
      </c>
      <c r="AG689" s="1416" t="s">
        <v>670</v>
      </c>
      <c r="AH689" s="1416"/>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6" t="s">
        <v>670</v>
      </c>
      <c r="AF693" s="1416"/>
      <c r="AZ693" s="3"/>
    </row>
    <row r="694" spans="1:67" ht="12.95" customHeight="1">
      <c r="B694" s="135"/>
      <c r="C694" s="135"/>
      <c r="D694" s="136" t="s">
        <v>438</v>
      </c>
      <c r="E694" s="135"/>
      <c r="F694" s="135"/>
      <c r="G694" s="135"/>
      <c r="H694" s="135"/>
      <c r="AE694" s="1416" t="s">
        <v>670</v>
      </c>
      <c r="AF694" s="1416"/>
      <c r="AZ694" s="3"/>
    </row>
    <row r="695" spans="1:67" ht="12.95" customHeight="1">
      <c r="B695" s="135"/>
      <c r="C695" s="135"/>
      <c r="D695" s="136" t="s">
        <v>921</v>
      </c>
      <c r="E695" s="135"/>
      <c r="F695" s="135"/>
      <c r="G695" s="135"/>
      <c r="H695" s="135"/>
      <c r="AE695" s="1509">
        <v>45909</v>
      </c>
      <c r="AF695" s="1509"/>
      <c r="AG695" s="1509"/>
      <c r="AH695" s="1509"/>
      <c r="AI695" s="1509"/>
    </row>
    <row r="696" spans="1:67" ht="12.95" customHeight="1">
      <c r="B696" s="135"/>
      <c r="C696" s="135"/>
      <c r="D696" s="317" t="s">
        <v>984</v>
      </c>
      <c r="E696" s="135"/>
      <c r="F696" s="135"/>
      <c r="G696" s="135"/>
      <c r="H696" s="135"/>
      <c r="AE696" s="1667">
        <v>45980</v>
      </c>
      <c r="AF696" s="1667"/>
      <c r="AG696" s="1667"/>
      <c r="AH696" s="1667"/>
      <c r="AI696" s="1667"/>
    </row>
    <row r="697" spans="1:67" ht="12.95" customHeight="1">
      <c r="B697" s="135"/>
      <c r="C697" s="135"/>
    </row>
    <row r="698" spans="1:67" ht="12.95" customHeight="1">
      <c r="B698" s="135"/>
      <c r="C698" s="135"/>
      <c r="D698" s="136" t="s">
        <v>817</v>
      </c>
      <c r="E698" s="135"/>
      <c r="F698" s="135"/>
      <c r="G698" s="135"/>
      <c r="H698" s="135"/>
      <c r="AE698" s="1509">
        <v>46143</v>
      </c>
      <c r="AF698" s="1509"/>
      <c r="AG698" s="1509"/>
      <c r="AH698" s="1509"/>
      <c r="AI698" s="1509"/>
    </row>
    <row r="699" spans="1:67" ht="12.95" customHeight="1">
      <c r="B699" s="135"/>
      <c r="C699" s="135"/>
      <c r="D699" s="136" t="s">
        <v>436</v>
      </c>
      <c r="E699" s="135"/>
      <c r="F699" s="135"/>
      <c r="G699" s="135"/>
      <c r="H699" s="135"/>
      <c r="AE699" s="1687">
        <v>0.28999999999999998</v>
      </c>
      <c r="AF699" s="1687"/>
      <c r="AG699" s="1687"/>
      <c r="AH699" s="1687"/>
      <c r="AI699" s="1687"/>
    </row>
    <row r="700" spans="1:67" ht="12.95" customHeight="1">
      <c r="B700" s="135"/>
      <c r="C700" s="135"/>
      <c r="D700" s="136" t="s">
        <v>437</v>
      </c>
      <c r="E700" s="135"/>
      <c r="F700" s="135"/>
      <c r="G700" s="135"/>
      <c r="H700" s="135"/>
      <c r="W700" s="1486" t="str">
        <f>H335</f>
        <v>CMFA</v>
      </c>
      <c r="X700" s="1486"/>
      <c r="Y700" s="1486"/>
      <c r="Z700" s="1486"/>
      <c r="AA700" s="1486"/>
      <c r="AB700" s="1486"/>
      <c r="AC700" s="1486"/>
      <c r="AD700" s="1486"/>
      <c r="AE700" s="1486"/>
      <c r="AF700" s="1486"/>
      <c r="AG700" s="1486"/>
      <c r="AH700" s="1486"/>
      <c r="AI700" s="1486"/>
      <c r="AJ700" s="1486"/>
      <c r="AK700" s="1486"/>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6" t="s">
        <v>670</v>
      </c>
      <c r="AF702" s="1416"/>
      <c r="AZ702" s="4" t="s">
        <v>324</v>
      </c>
    </row>
    <row r="703" spans="1:67" ht="12.95"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90"/>
      <c r="K705" s="1490"/>
      <c r="L705" s="1490"/>
      <c r="M705" s="1490"/>
      <c r="N705" s="1490"/>
      <c r="O705" s="1490"/>
      <c r="P705" s="4" t="s">
        <v>206</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7" t="s">
        <v>389</v>
      </c>
      <c r="C714" s="1498"/>
      <c r="D714" s="1498"/>
      <c r="E714" s="1498"/>
      <c r="F714" s="1499"/>
      <c r="G714" s="1497" t="s">
        <v>285</v>
      </c>
      <c r="H714" s="1498"/>
      <c r="I714" s="1498"/>
      <c r="J714" s="1499"/>
      <c r="K714" s="1514" t="s">
        <v>1681</v>
      </c>
      <c r="L714" s="1515"/>
      <c r="M714" s="1515"/>
      <c r="N714" s="1516"/>
      <c r="O714" s="1497" t="s">
        <v>448</v>
      </c>
      <c r="P714" s="1498"/>
      <c r="Q714" s="1498"/>
      <c r="R714" s="1498"/>
      <c r="S714" s="1499"/>
      <c r="T714" s="1510" t="s">
        <v>1951</v>
      </c>
      <c r="U714" s="1498"/>
      <c r="V714" s="1498"/>
      <c r="W714" s="1499"/>
      <c r="X714" s="1510" t="s">
        <v>1953</v>
      </c>
      <c r="Y714" s="1498"/>
      <c r="Z714" s="1498"/>
      <c r="AA714" s="1498"/>
      <c r="AB714" s="1499"/>
      <c r="AC714" s="1510" t="s">
        <v>1952</v>
      </c>
      <c r="AD714" s="1498"/>
      <c r="AE714" s="1498"/>
      <c r="AF714" s="1498"/>
      <c r="AG714" s="1499"/>
      <c r="AH714" s="1510" t="s">
        <v>1954</v>
      </c>
      <c r="AI714" s="1498"/>
      <c r="AJ714" s="1499"/>
      <c r="AK714" s="1510" t="s">
        <v>1981</v>
      </c>
      <c r="AL714" s="1498"/>
      <c r="AM714" s="1498"/>
      <c r="AN714" s="1498"/>
      <c r="AO714" s="149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0"/>
      <c r="C715" s="1501"/>
      <c r="D715" s="1501"/>
      <c r="E715" s="1501"/>
      <c r="F715" s="1502"/>
      <c r="G715" s="1500"/>
      <c r="H715" s="1501"/>
      <c r="I715" s="1501"/>
      <c r="J715" s="1502"/>
      <c r="K715" s="1517"/>
      <c r="L715" s="1518"/>
      <c r="M715" s="1518"/>
      <c r="N715" s="1519"/>
      <c r="O715" s="1500"/>
      <c r="P715" s="1501"/>
      <c r="Q715" s="1501"/>
      <c r="R715" s="1501"/>
      <c r="S715" s="1502"/>
      <c r="T715" s="1500"/>
      <c r="U715" s="1501"/>
      <c r="V715" s="1501"/>
      <c r="W715" s="1502"/>
      <c r="X715" s="1500"/>
      <c r="Y715" s="1501"/>
      <c r="Z715" s="1501"/>
      <c r="AA715" s="1501"/>
      <c r="AB715" s="1502"/>
      <c r="AC715" s="1500"/>
      <c r="AD715" s="1501"/>
      <c r="AE715" s="1501"/>
      <c r="AF715" s="1501"/>
      <c r="AG715" s="1502"/>
      <c r="AH715" s="1500"/>
      <c r="AI715" s="1501"/>
      <c r="AJ715" s="1502"/>
      <c r="AK715" s="1500"/>
      <c r="AL715" s="1501"/>
      <c r="AM715" s="1501"/>
      <c r="AN715" s="1501"/>
      <c r="AO715" s="150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0"/>
      <c r="C716" s="1501"/>
      <c r="D716" s="1501"/>
      <c r="E716" s="1501"/>
      <c r="F716" s="1502"/>
      <c r="G716" s="1500"/>
      <c r="H716" s="1501"/>
      <c r="I716" s="1501"/>
      <c r="J716" s="1502"/>
      <c r="K716" s="1517"/>
      <c r="L716" s="1518"/>
      <c r="M716" s="1518"/>
      <c r="N716" s="1519"/>
      <c r="O716" s="1500"/>
      <c r="P716" s="1501"/>
      <c r="Q716" s="1501"/>
      <c r="R716" s="1501"/>
      <c r="S716" s="1502"/>
      <c r="T716" s="1500"/>
      <c r="U716" s="1501"/>
      <c r="V716" s="1501"/>
      <c r="W716" s="1502"/>
      <c r="X716" s="1500"/>
      <c r="Y716" s="1501"/>
      <c r="Z716" s="1501"/>
      <c r="AA716" s="1501"/>
      <c r="AB716" s="1502"/>
      <c r="AC716" s="1500"/>
      <c r="AD716" s="1501"/>
      <c r="AE716" s="1501"/>
      <c r="AF716" s="1501"/>
      <c r="AG716" s="1502"/>
      <c r="AH716" s="1500"/>
      <c r="AI716" s="1501"/>
      <c r="AJ716" s="1502"/>
      <c r="AK716" s="1500"/>
      <c r="AL716" s="1501"/>
      <c r="AM716" s="1501"/>
      <c r="AN716" s="1501"/>
      <c r="AO716" s="1502"/>
      <c r="AP716" s="3"/>
      <c r="AQ716" s="3"/>
      <c r="AR716" s="3"/>
      <c r="AS716" s="3"/>
      <c r="BA716" s="3"/>
      <c r="BB716" s="3"/>
      <c r="BC716" s="3"/>
      <c r="BD716" s="3"/>
      <c r="BE716" s="204"/>
      <c r="BF716" s="205" t="s">
        <v>896</v>
      </c>
      <c r="BG716" s="204"/>
      <c r="BH716" s="204"/>
      <c r="BI716" s="3"/>
      <c r="BJ716" s="3"/>
      <c r="BK716" s="3"/>
      <c r="BL716" s="3"/>
      <c r="BM716" s="3"/>
      <c r="BN716" s="3"/>
      <c r="BS716" s="205" t="s">
        <v>1630</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3"/>
      <c r="C717" s="1504"/>
      <c r="D717" s="1504"/>
      <c r="E717" s="1504"/>
      <c r="F717" s="1505"/>
      <c r="G717" s="1503"/>
      <c r="H717" s="1504"/>
      <c r="I717" s="1504"/>
      <c r="J717" s="1505"/>
      <c r="K717" s="1517"/>
      <c r="L717" s="1518"/>
      <c r="M717" s="1518"/>
      <c r="N717" s="1519"/>
      <c r="O717" s="1503"/>
      <c r="P717" s="1504"/>
      <c r="Q717" s="1504"/>
      <c r="R717" s="1504"/>
      <c r="S717" s="1505"/>
      <c r="T717" s="1503"/>
      <c r="U717" s="1504"/>
      <c r="V717" s="1504"/>
      <c r="W717" s="1505"/>
      <c r="X717" s="1503"/>
      <c r="Y717" s="1504"/>
      <c r="Z717" s="1504"/>
      <c r="AA717" s="1504"/>
      <c r="AB717" s="1505"/>
      <c r="AC717" s="1503"/>
      <c r="AD717" s="1504"/>
      <c r="AE717" s="1504"/>
      <c r="AF717" s="1504"/>
      <c r="AG717" s="1505"/>
      <c r="AH717" s="1503"/>
      <c r="AI717" s="1504"/>
      <c r="AJ717" s="1505"/>
      <c r="AK717" s="1503"/>
      <c r="AL717" s="1504"/>
      <c r="AM717" s="1504"/>
      <c r="AN717" s="1504"/>
      <c r="AO717" s="1505"/>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7" t="s">
        <v>634</v>
      </c>
      <c r="CQ717" s="1798"/>
      <c r="CR717" s="1798"/>
      <c r="CS717" s="1798"/>
      <c r="CT717" s="1799"/>
      <c r="CU717" s="1491" t="s">
        <v>325</v>
      </c>
      <c r="CV717" s="1491"/>
      <c r="CW717" s="1491"/>
      <c r="CX717" s="1491"/>
      <c r="CY717" s="1491"/>
      <c r="CZ717" s="1491" t="s">
        <v>163</v>
      </c>
      <c r="DA717" s="1491"/>
      <c r="DB717" s="1491"/>
      <c r="DC717" s="1491"/>
      <c r="DD717" s="1491"/>
      <c r="DE717" s="1491" t="s">
        <v>164</v>
      </c>
      <c r="DF717" s="1491"/>
      <c r="DG717" s="1491"/>
      <c r="DH717" s="1491"/>
      <c r="DI717" s="1491"/>
      <c r="DJ717" s="1491" t="s">
        <v>461</v>
      </c>
      <c r="DK717" s="1491"/>
      <c r="DL717" s="1491"/>
      <c r="DM717" s="1491"/>
      <c r="DN717" s="1491"/>
      <c r="DO717" s="1491" t="s">
        <v>30</v>
      </c>
      <c r="DP717" s="1491"/>
      <c r="DQ717" s="1491"/>
      <c r="DR717" s="1491"/>
      <c r="DS717" s="1491"/>
      <c r="DT717" s="89"/>
      <c r="DU717" s="1491" t="s">
        <v>634</v>
      </c>
      <c r="DV717" s="1491"/>
      <c r="DW717" s="1491"/>
      <c r="DX717" s="1491"/>
      <c r="DY717" s="1491"/>
      <c r="DZ717" s="1491" t="s">
        <v>325</v>
      </c>
      <c r="EA717" s="1491"/>
      <c r="EB717" s="1491"/>
      <c r="EC717" s="1491"/>
      <c r="ED717" s="1491"/>
      <c r="EE717" s="1491" t="s">
        <v>163</v>
      </c>
      <c r="EF717" s="1491"/>
      <c r="EG717" s="1491"/>
      <c r="EH717" s="1491"/>
      <c r="EI717" s="1491"/>
      <c r="EJ717" s="1491" t="s">
        <v>164</v>
      </c>
      <c r="EK717" s="1491"/>
      <c r="EL717" s="1491"/>
      <c r="EM717" s="1491"/>
      <c r="EN717" s="1491"/>
      <c r="EO717" s="1491" t="s">
        <v>461</v>
      </c>
      <c r="EP717" s="1491"/>
      <c r="EQ717" s="1491"/>
      <c r="ER717" s="1491"/>
      <c r="ES717" s="1491"/>
      <c r="ET717" s="1491" t="s">
        <v>30</v>
      </c>
      <c r="EU717" s="1491"/>
      <c r="EV717" s="1491"/>
      <c r="EW717" s="1491"/>
      <c r="EX717" s="1491"/>
      <c r="EY717" s="4"/>
      <c r="EZ717" s="1491" t="s">
        <v>634</v>
      </c>
      <c r="FA717" s="1491"/>
      <c r="FB717" s="1491"/>
      <c r="FC717" s="1491"/>
      <c r="FD717" s="1491"/>
      <c r="FE717" s="1491" t="s">
        <v>325</v>
      </c>
      <c r="FF717" s="1491"/>
      <c r="FG717" s="1491"/>
      <c r="FH717" s="1491"/>
      <c r="FI717" s="1491"/>
      <c r="FJ717" s="1491" t="s">
        <v>163</v>
      </c>
      <c r="FK717" s="1491"/>
      <c r="FL717" s="1491"/>
      <c r="FM717" s="1491"/>
      <c r="FN717" s="1491"/>
      <c r="FO717" s="1491" t="s">
        <v>164</v>
      </c>
      <c r="FP717" s="1491"/>
      <c r="FQ717" s="1491"/>
      <c r="FR717" s="1491"/>
      <c r="FS717" s="1491"/>
      <c r="FT717" s="1491" t="s">
        <v>461</v>
      </c>
      <c r="FU717" s="1491"/>
      <c r="FV717" s="1491"/>
      <c r="FW717" s="1491"/>
      <c r="FX717" s="1491"/>
      <c r="FY717" s="1491" t="s">
        <v>30</v>
      </c>
      <c r="FZ717" s="1491"/>
      <c r="GA717" s="1491"/>
      <c r="GB717" s="1491"/>
      <c r="GC717" s="1491"/>
    </row>
    <row r="718" spans="1:185" ht="12.95" customHeight="1">
      <c r="A718" s="4"/>
      <c r="B718" s="1355" t="s">
        <v>324</v>
      </c>
      <c r="C718" s="1356"/>
      <c r="D718" s="1356"/>
      <c r="E718" s="1356"/>
      <c r="F718" s="1357"/>
      <c r="G718" s="1364">
        <v>2</v>
      </c>
      <c r="H718" s="1365"/>
      <c r="I718" s="1365"/>
      <c r="J718" s="1366"/>
      <c r="K718" s="1607">
        <v>411</v>
      </c>
      <c r="L718" s="1608"/>
      <c r="M718" s="1608"/>
      <c r="N718" s="1609"/>
      <c r="O718" s="1471">
        <v>896</v>
      </c>
      <c r="P718" s="1472"/>
      <c r="Q718" s="1472"/>
      <c r="R718" s="1472"/>
      <c r="S718" s="1473"/>
      <c r="T718" s="1471">
        <v>31</v>
      </c>
      <c r="U718" s="1472"/>
      <c r="V718" s="1472"/>
      <c r="W718" s="1473"/>
      <c r="X718" s="1358">
        <f t="shared" ref="X718:X741" si="8">O718+T718</f>
        <v>927</v>
      </c>
      <c r="Y718" s="1359"/>
      <c r="Z718" s="1359"/>
      <c r="AA718" s="1359"/>
      <c r="AB718" s="1360"/>
      <c r="AC718" s="1616">
        <v>0.3</v>
      </c>
      <c r="AD718" s="1617"/>
      <c r="AE718" s="1617"/>
      <c r="AF718" s="1617"/>
      <c r="AG718" s="1618"/>
      <c r="AH718" s="1361">
        <f>IF($AC718&gt;0,($X718/$AZ718), "")</f>
        <v>0.3</v>
      </c>
      <c r="AI718" s="1362"/>
      <c r="AJ718" s="1363"/>
      <c r="AK718" s="1355" t="s">
        <v>592</v>
      </c>
      <c r="AL718" s="1356"/>
      <c r="AM718" s="1356"/>
      <c r="AN718" s="1356"/>
      <c r="AO718" s="1357"/>
      <c r="AP718" s="3"/>
      <c r="AQ718" s="3"/>
      <c r="AR718" s="3"/>
      <c r="AS718" s="3"/>
      <c r="AZ718" s="118">
        <f t="shared" ref="AZ718:AZ752" si="9">IF($G718=0,"N/A",VLOOKUP($T$189,TC_Rent,(MATCH($B718,bedrooms,FALSE)),FALSE))</f>
        <v>3090</v>
      </c>
      <c r="BA718" s="3"/>
      <c r="BB718" s="3"/>
      <c r="BC718" s="3"/>
      <c r="BD718" s="3"/>
      <c r="BE718" s="204"/>
      <c r="BF718" s="293">
        <f t="shared" ref="BF718:BF752" si="10">G718</f>
        <v>2</v>
      </c>
      <c r="BG718" s="297">
        <f t="shared" ref="BG718:BG752" si="11">IF($BF$753=0,0,BF718/$BF$753)</f>
        <v>1.3422818791946308E-2</v>
      </c>
      <c r="BH718" s="298">
        <f t="shared" ref="BH718:BH752" si="12">IF(BG718=0,"",BG718*AC718)</f>
        <v>4.0268456375838922E-3</v>
      </c>
      <c r="BI718" s="3"/>
      <c r="BJ718" s="3"/>
      <c r="BK718" s="3"/>
      <c r="BL718" s="3"/>
      <c r="BM718" s="3"/>
      <c r="BN718" s="3"/>
      <c r="BS718" s="293">
        <f t="shared" ref="BS718:BS752" si="13">G718</f>
        <v>2</v>
      </c>
      <c r="BT718" s="297">
        <f t="shared" ref="BT718:BT752" si="14">IF($BS$753=0,0,BS718/$BS$753)</f>
        <v>1.3422818791946308E-2</v>
      </c>
      <c r="BU718" s="298">
        <f t="shared" ref="BU718:BU752" si="15">IF(BT718=0,"",BT718*AH718)</f>
        <v>4.0268456375838922E-3</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2</v>
      </c>
      <c r="CN718" s="1337"/>
      <c r="CO718" s="3"/>
      <c r="CP718" s="1332">
        <f t="shared" ref="CP718:CP752" si="18">IF(B718="SRO/Studio",G718,0)</f>
        <v>2</v>
      </c>
      <c r="CQ718" s="1333"/>
      <c r="CR718" s="1333"/>
      <c r="CS718" s="1333"/>
      <c r="CT718" s="1334"/>
      <c r="CU718" s="1354">
        <f t="shared" ref="CU718:CU752" si="19">IF(B718="1 Bedroom",G718,0)</f>
        <v>0</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2</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f t="shared" ref="EZ718:EZ752" si="30">IF(CP718&gt;0,O718,"")</f>
        <v>896</v>
      </c>
      <c r="FA718" s="1352"/>
      <c r="FB718" s="1352"/>
      <c r="FC718" s="1352"/>
      <c r="FD718" s="1353"/>
      <c r="FE718" s="1351" t="str">
        <f t="shared" ref="FE718:FE752" si="31">IF(CU718&gt;0,O718,"")</f>
        <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2</v>
      </c>
      <c r="H719" s="1365"/>
      <c r="I719" s="1365"/>
      <c r="J719" s="1366"/>
      <c r="K719" s="1607">
        <v>411</v>
      </c>
      <c r="L719" s="1608"/>
      <c r="M719" s="1608"/>
      <c r="N719" s="1609"/>
      <c r="O719" s="1471">
        <v>1514</v>
      </c>
      <c r="P719" s="1472"/>
      <c r="Q719" s="1472"/>
      <c r="R719" s="1472"/>
      <c r="S719" s="1473"/>
      <c r="T719" s="1471">
        <v>31</v>
      </c>
      <c r="U719" s="1472"/>
      <c r="V719" s="1472"/>
      <c r="W719" s="1473"/>
      <c r="X719" s="1358">
        <f t="shared" si="8"/>
        <v>1545</v>
      </c>
      <c r="Y719" s="1359"/>
      <c r="Z719" s="1359"/>
      <c r="AA719" s="1359"/>
      <c r="AB719" s="1360"/>
      <c r="AC719" s="1616">
        <v>0.5</v>
      </c>
      <c r="AD719" s="1617"/>
      <c r="AE719" s="1617"/>
      <c r="AF719" s="1617"/>
      <c r="AG719" s="1618"/>
      <c r="AH719" s="1361">
        <f t="shared" ref="AH719:AH752" si="36">IF($AC719&gt;0,($X719/$AZ719), "")</f>
        <v>0.5</v>
      </c>
      <c r="AI719" s="1362"/>
      <c r="AJ719" s="1363"/>
      <c r="AK719" s="1355" t="s">
        <v>592</v>
      </c>
      <c r="AL719" s="1356"/>
      <c r="AM719" s="1356"/>
      <c r="AN719" s="1356"/>
      <c r="AO719" s="1357"/>
      <c r="AP719" s="3"/>
      <c r="AQ719" s="3"/>
      <c r="AR719" s="3"/>
      <c r="AS719" s="3"/>
      <c r="AZ719" s="118">
        <f t="shared" si="9"/>
        <v>3090</v>
      </c>
      <c r="BA719" s="3"/>
      <c r="BB719" s="3"/>
      <c r="BC719" s="3"/>
      <c r="BD719" s="3"/>
      <c r="BE719" s="204"/>
      <c r="BF719" s="294">
        <f t="shared" si="10"/>
        <v>2</v>
      </c>
      <c r="BG719" s="297">
        <f t="shared" si="11"/>
        <v>1.3422818791946308E-2</v>
      </c>
      <c r="BH719" s="298">
        <f t="shared" si="12"/>
        <v>6.7114093959731542E-3</v>
      </c>
      <c r="BI719" s="3"/>
      <c r="BJ719" s="3"/>
      <c r="BK719" s="3"/>
      <c r="BL719" s="3"/>
      <c r="BM719" s="3"/>
      <c r="BN719" s="3"/>
      <c r="BS719" s="294">
        <f t="shared" si="13"/>
        <v>2</v>
      </c>
      <c r="BT719" s="297">
        <f t="shared" si="14"/>
        <v>1.3422818791946308E-2</v>
      </c>
      <c r="BU719" s="298">
        <f t="shared" si="15"/>
        <v>6.7114093959731542E-3</v>
      </c>
      <c r="CC719" s="3"/>
      <c r="CD719" s="3"/>
      <c r="CE719" s="3"/>
      <c r="CF719" s="3"/>
      <c r="CG719" s="1351">
        <f t="shared" ref="CG719:CG752" si="37">IF(AND(AC719&lt;=0.5,AC719&gt;=0.36),1,0)</f>
        <v>1</v>
      </c>
      <c r="CH719" s="1353"/>
      <c r="CI719" s="1335">
        <f t="shared" ref="CI719:CI752" si="38">IF(CG719=1,G719,0)</f>
        <v>2</v>
      </c>
      <c r="CJ719" s="1337"/>
      <c r="CK719" s="1351">
        <f t="shared" si="16"/>
        <v>0</v>
      </c>
      <c r="CL719" s="1353"/>
      <c r="CM719" s="1335">
        <f t="shared" si="17"/>
        <v>0</v>
      </c>
      <c r="CN719" s="1337"/>
      <c r="CO719" s="3"/>
      <c r="CP719" s="1332">
        <f t="shared" si="18"/>
        <v>2</v>
      </c>
      <c r="CQ719" s="1333"/>
      <c r="CR719" s="1333"/>
      <c r="CS719" s="1333"/>
      <c r="CT719" s="1334"/>
      <c r="CU719" s="1354">
        <f t="shared" si="19"/>
        <v>0</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f t="shared" si="30"/>
        <v>1514</v>
      </c>
      <c r="FA719" s="1352"/>
      <c r="FB719" s="1352"/>
      <c r="FC719" s="1352"/>
      <c r="FD719" s="1353"/>
      <c r="FE719" s="1351" t="str">
        <f t="shared" si="31"/>
        <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324</v>
      </c>
      <c r="C720" s="1356"/>
      <c r="D720" s="1356"/>
      <c r="E720" s="1356"/>
      <c r="F720" s="1357"/>
      <c r="G720" s="1364">
        <v>11</v>
      </c>
      <c r="H720" s="1365"/>
      <c r="I720" s="1365"/>
      <c r="J720" s="1366"/>
      <c r="K720" s="1607">
        <v>411</v>
      </c>
      <c r="L720" s="1608"/>
      <c r="M720" s="1608"/>
      <c r="N720" s="1609"/>
      <c r="O720" s="1471">
        <f>1600-31</f>
        <v>1569</v>
      </c>
      <c r="P720" s="1472"/>
      <c r="Q720" s="1472"/>
      <c r="R720" s="1472"/>
      <c r="S720" s="1473"/>
      <c r="T720" s="1471">
        <v>31</v>
      </c>
      <c r="U720" s="1472"/>
      <c r="V720" s="1472"/>
      <c r="W720" s="1473"/>
      <c r="X720" s="1358">
        <f t="shared" si="8"/>
        <v>1600</v>
      </c>
      <c r="Y720" s="1359"/>
      <c r="Z720" s="1359"/>
      <c r="AA720" s="1359"/>
      <c r="AB720" s="1360"/>
      <c r="AC720" s="1616">
        <v>0.6</v>
      </c>
      <c r="AD720" s="1617"/>
      <c r="AE720" s="1617"/>
      <c r="AF720" s="1617"/>
      <c r="AG720" s="1618"/>
      <c r="AH720" s="1361">
        <f t="shared" si="36"/>
        <v>0.51779935275080902</v>
      </c>
      <c r="AI720" s="1362"/>
      <c r="AJ720" s="1363"/>
      <c r="AK720" s="1355" t="s">
        <v>592</v>
      </c>
      <c r="AL720" s="1356"/>
      <c r="AM720" s="1356"/>
      <c r="AN720" s="1356"/>
      <c r="AO720" s="1357"/>
      <c r="AP720" s="3"/>
      <c r="AQ720" s="3"/>
      <c r="AR720" s="3"/>
      <c r="AS720" s="3"/>
      <c r="AZ720" s="118">
        <f t="shared" si="9"/>
        <v>3090</v>
      </c>
      <c r="BA720" s="3"/>
      <c r="BB720" s="3"/>
      <c r="BC720" s="3"/>
      <c r="BD720" s="3"/>
      <c r="BE720" s="204"/>
      <c r="BF720" s="294">
        <f t="shared" si="10"/>
        <v>11</v>
      </c>
      <c r="BG720" s="297">
        <f t="shared" si="11"/>
        <v>7.3825503355704702E-2</v>
      </c>
      <c r="BH720" s="298">
        <f t="shared" si="12"/>
        <v>4.429530201342282E-2</v>
      </c>
      <c r="BI720" s="3"/>
      <c r="BJ720" s="3"/>
      <c r="BK720" s="3"/>
      <c r="BL720" s="3"/>
      <c r="BM720" s="3"/>
      <c r="BN720" s="3"/>
      <c r="BS720" s="294">
        <f t="shared" si="13"/>
        <v>11</v>
      </c>
      <c r="BT720" s="297">
        <f t="shared" si="14"/>
        <v>7.3825503355704702E-2</v>
      </c>
      <c r="BU720" s="298">
        <f t="shared" si="15"/>
        <v>3.8226797854086572E-2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11</v>
      </c>
      <c r="CQ720" s="1333"/>
      <c r="CR720" s="1333"/>
      <c r="CS720" s="1333"/>
      <c r="CT720" s="1334"/>
      <c r="CU720" s="1354">
        <f t="shared" si="19"/>
        <v>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f t="shared" si="30"/>
        <v>1569</v>
      </c>
      <c r="FA720" s="1352"/>
      <c r="FB720" s="1352"/>
      <c r="FC720" s="1352"/>
      <c r="FD720" s="1353"/>
      <c r="FE720" s="1351" t="str">
        <f t="shared" si="31"/>
        <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325</v>
      </c>
      <c r="C721" s="1356"/>
      <c r="D721" s="1356"/>
      <c r="E721" s="1356"/>
      <c r="F721" s="1357"/>
      <c r="G721" s="1364">
        <v>6</v>
      </c>
      <c r="H721" s="1365"/>
      <c r="I721" s="1365"/>
      <c r="J721" s="1366"/>
      <c r="K721" s="1607">
        <v>583</v>
      </c>
      <c r="L721" s="1608"/>
      <c r="M721" s="1608"/>
      <c r="N721" s="1609"/>
      <c r="O721" s="1471">
        <v>957</v>
      </c>
      <c r="P721" s="1472"/>
      <c r="Q721" s="1472"/>
      <c r="R721" s="1472"/>
      <c r="S721" s="1473"/>
      <c r="T721" s="1471">
        <v>36</v>
      </c>
      <c r="U721" s="1472"/>
      <c r="V721" s="1472"/>
      <c r="W721" s="1473"/>
      <c r="X721" s="1358">
        <f t="shared" si="8"/>
        <v>993</v>
      </c>
      <c r="Y721" s="1359"/>
      <c r="Z721" s="1359"/>
      <c r="AA721" s="1359"/>
      <c r="AB721" s="1360"/>
      <c r="AC721" s="1616">
        <v>0.3</v>
      </c>
      <c r="AD721" s="1617"/>
      <c r="AE721" s="1617"/>
      <c r="AF721" s="1617"/>
      <c r="AG721" s="1618"/>
      <c r="AH721" s="1361">
        <f t="shared" si="36"/>
        <v>0.3</v>
      </c>
      <c r="AI721" s="1362"/>
      <c r="AJ721" s="1363"/>
      <c r="AK721" s="1355" t="s">
        <v>592</v>
      </c>
      <c r="AL721" s="1356"/>
      <c r="AM721" s="1356"/>
      <c r="AN721" s="1356"/>
      <c r="AO721" s="1357"/>
      <c r="AP721" s="3"/>
      <c r="AQ721" s="3"/>
      <c r="AR721" s="3"/>
      <c r="AS721" s="3"/>
      <c r="AY721" s="116"/>
      <c r="AZ721" s="118">
        <f t="shared" si="9"/>
        <v>3310</v>
      </c>
      <c r="BA721" s="3"/>
      <c r="BB721" s="3"/>
      <c r="BC721" s="3"/>
      <c r="BD721" s="3"/>
      <c r="BE721" s="204"/>
      <c r="BF721" s="294">
        <f t="shared" si="10"/>
        <v>6</v>
      </c>
      <c r="BG721" s="297">
        <f t="shared" si="11"/>
        <v>4.0268456375838924E-2</v>
      </c>
      <c r="BH721" s="298">
        <f t="shared" si="12"/>
        <v>1.2080536912751677E-2</v>
      </c>
      <c r="BI721" s="3"/>
      <c r="BJ721" s="3"/>
      <c r="BK721" s="3"/>
      <c r="BL721" s="3"/>
      <c r="BM721" s="3"/>
      <c r="BN721" s="3"/>
      <c r="BS721" s="294">
        <f t="shared" si="13"/>
        <v>6</v>
      </c>
      <c r="BT721" s="297">
        <f t="shared" si="14"/>
        <v>4.0268456375838924E-2</v>
      </c>
      <c r="BU721" s="298">
        <f t="shared" si="15"/>
        <v>1.2080536912751677E-2</v>
      </c>
      <c r="CC721" s="3"/>
      <c r="CD721" s="3"/>
      <c r="CE721" s="3"/>
      <c r="CF721" s="3"/>
      <c r="CG721" s="1351">
        <f t="shared" si="37"/>
        <v>0</v>
      </c>
      <c r="CH721" s="1353"/>
      <c r="CI721" s="1335">
        <f t="shared" si="38"/>
        <v>0</v>
      </c>
      <c r="CJ721" s="1337"/>
      <c r="CK721" s="1351">
        <f t="shared" si="16"/>
        <v>1</v>
      </c>
      <c r="CL721" s="1353"/>
      <c r="CM721" s="1335">
        <f t="shared" si="17"/>
        <v>6</v>
      </c>
      <c r="CN721" s="1337"/>
      <c r="CO721" s="3"/>
      <c r="CP721" s="1332">
        <f t="shared" si="18"/>
        <v>0</v>
      </c>
      <c r="CQ721" s="1333"/>
      <c r="CR721" s="1333"/>
      <c r="CS721" s="1333"/>
      <c r="CT721" s="1334"/>
      <c r="CU721" s="1354">
        <f t="shared" si="19"/>
        <v>6</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6</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957</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325</v>
      </c>
      <c r="C722" s="1356"/>
      <c r="D722" s="1356"/>
      <c r="E722" s="1356"/>
      <c r="F722" s="1357"/>
      <c r="G722" s="1364">
        <v>6</v>
      </c>
      <c r="H722" s="1365"/>
      <c r="I722" s="1365"/>
      <c r="J722" s="1366"/>
      <c r="K722" s="1607">
        <v>583</v>
      </c>
      <c r="L722" s="1608"/>
      <c r="M722" s="1608"/>
      <c r="N722" s="1609"/>
      <c r="O722" s="1471">
        <v>1619</v>
      </c>
      <c r="P722" s="1472"/>
      <c r="Q722" s="1472"/>
      <c r="R722" s="1472"/>
      <c r="S722" s="1473"/>
      <c r="T722" s="1471">
        <v>36</v>
      </c>
      <c r="U722" s="1472"/>
      <c r="V722" s="1472"/>
      <c r="W722" s="1473"/>
      <c r="X722" s="1358">
        <f t="shared" si="8"/>
        <v>1655</v>
      </c>
      <c r="Y722" s="1359"/>
      <c r="Z722" s="1359"/>
      <c r="AA722" s="1359"/>
      <c r="AB722" s="1360"/>
      <c r="AC722" s="1616">
        <v>0.5</v>
      </c>
      <c r="AD722" s="1617"/>
      <c r="AE722" s="1617"/>
      <c r="AF722" s="1617"/>
      <c r="AG722" s="1618"/>
      <c r="AH722" s="1361">
        <f t="shared" si="36"/>
        <v>0.5</v>
      </c>
      <c r="AI722" s="1362"/>
      <c r="AJ722" s="1363"/>
      <c r="AK722" s="1355" t="s">
        <v>592</v>
      </c>
      <c r="AL722" s="1356"/>
      <c r="AM722" s="1356"/>
      <c r="AN722" s="1356"/>
      <c r="AO722" s="1357"/>
      <c r="AP722" s="3"/>
      <c r="AQ722" s="3"/>
      <c r="AR722" s="3"/>
      <c r="AS722" s="3"/>
      <c r="AY722" s="116"/>
      <c r="AZ722" s="118">
        <f t="shared" si="9"/>
        <v>3310</v>
      </c>
      <c r="BA722" s="3"/>
      <c r="BB722" s="3"/>
      <c r="BC722" s="3"/>
      <c r="BD722" s="3"/>
      <c r="BE722" s="204"/>
      <c r="BF722" s="294">
        <f t="shared" si="10"/>
        <v>6</v>
      </c>
      <c r="BG722" s="297">
        <f t="shared" si="11"/>
        <v>4.0268456375838924E-2</v>
      </c>
      <c r="BH722" s="298">
        <f t="shared" si="12"/>
        <v>2.0134228187919462E-2</v>
      </c>
      <c r="BI722" s="3"/>
      <c r="BJ722" s="3"/>
      <c r="BK722" s="3"/>
      <c r="BL722" s="3"/>
      <c r="BM722" s="3"/>
      <c r="BN722" s="3"/>
      <c r="BS722" s="294">
        <f t="shared" si="13"/>
        <v>6</v>
      </c>
      <c r="BT722" s="297">
        <f t="shared" si="14"/>
        <v>4.0268456375838924E-2</v>
      </c>
      <c r="BU722" s="298">
        <f t="shared" si="15"/>
        <v>2.0134228187919462E-2</v>
      </c>
      <c r="CC722" s="3"/>
      <c r="CD722" s="3"/>
      <c r="CE722" s="3"/>
      <c r="CF722" s="3"/>
      <c r="CG722" s="1351">
        <f t="shared" si="37"/>
        <v>1</v>
      </c>
      <c r="CH722" s="1353"/>
      <c r="CI722" s="1335">
        <f t="shared" si="38"/>
        <v>6</v>
      </c>
      <c r="CJ722" s="1337"/>
      <c r="CK722" s="1351">
        <f t="shared" si="16"/>
        <v>0</v>
      </c>
      <c r="CL722" s="1353"/>
      <c r="CM722" s="1335">
        <f t="shared" si="17"/>
        <v>0</v>
      </c>
      <c r="CN722" s="1337"/>
      <c r="CO722" s="3"/>
      <c r="CP722" s="1332">
        <f t="shared" si="18"/>
        <v>0</v>
      </c>
      <c r="CQ722" s="1333"/>
      <c r="CR722" s="1333"/>
      <c r="CS722" s="1333"/>
      <c r="CT722" s="1334"/>
      <c r="CU722" s="1354">
        <f t="shared" si="19"/>
        <v>6</v>
      </c>
      <c r="CV722" s="1354"/>
      <c r="CW722" s="1354"/>
      <c r="CX722" s="1354"/>
      <c r="CY722" s="1354"/>
      <c r="CZ722" s="1354">
        <f t="shared" si="20"/>
        <v>0</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f t="shared" si="31"/>
        <v>1619</v>
      </c>
      <c r="FF722" s="1352"/>
      <c r="FG722" s="1352"/>
      <c r="FH722" s="1352"/>
      <c r="FI722" s="1353"/>
      <c r="FJ722" s="1351" t="str">
        <f t="shared" si="32"/>
        <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325</v>
      </c>
      <c r="C723" s="1356"/>
      <c r="D723" s="1356"/>
      <c r="E723" s="1356"/>
      <c r="F723" s="1357"/>
      <c r="G723" s="1364">
        <v>41</v>
      </c>
      <c r="H723" s="1365"/>
      <c r="I723" s="1365"/>
      <c r="J723" s="1366"/>
      <c r="K723" s="1607">
        <v>583</v>
      </c>
      <c r="L723" s="1608"/>
      <c r="M723" s="1608"/>
      <c r="N723" s="1609"/>
      <c r="O723" s="1471">
        <f>1725-36</f>
        <v>1689</v>
      </c>
      <c r="P723" s="1472"/>
      <c r="Q723" s="1472"/>
      <c r="R723" s="1472"/>
      <c r="S723" s="1473"/>
      <c r="T723" s="1471">
        <v>36</v>
      </c>
      <c r="U723" s="1472"/>
      <c r="V723" s="1472"/>
      <c r="W723" s="1473"/>
      <c r="X723" s="1358">
        <f t="shared" si="8"/>
        <v>1725</v>
      </c>
      <c r="Y723" s="1359"/>
      <c r="Z723" s="1359"/>
      <c r="AA723" s="1359"/>
      <c r="AB723" s="1360"/>
      <c r="AC723" s="1616">
        <v>0.6</v>
      </c>
      <c r="AD723" s="1617"/>
      <c r="AE723" s="1617"/>
      <c r="AF723" s="1617"/>
      <c r="AG723" s="1618"/>
      <c r="AH723" s="1361">
        <f t="shared" si="36"/>
        <v>0.52114803625377648</v>
      </c>
      <c r="AI723" s="1362"/>
      <c r="AJ723" s="1363"/>
      <c r="AK723" s="1355" t="s">
        <v>592</v>
      </c>
      <c r="AL723" s="1356"/>
      <c r="AM723" s="1356"/>
      <c r="AN723" s="1356"/>
      <c r="AO723" s="1357"/>
      <c r="AP723" s="3"/>
      <c r="AQ723" s="3"/>
      <c r="AR723" s="3"/>
      <c r="AS723" s="3"/>
      <c r="AY723" s="116"/>
      <c r="AZ723" s="118">
        <f t="shared" si="9"/>
        <v>3310</v>
      </c>
      <c r="BA723" s="3"/>
      <c r="BB723" s="3"/>
      <c r="BC723" s="3"/>
      <c r="BD723" s="3"/>
      <c r="BE723" s="204"/>
      <c r="BF723" s="294">
        <f t="shared" si="10"/>
        <v>41</v>
      </c>
      <c r="BG723" s="297">
        <f t="shared" si="11"/>
        <v>0.27516778523489932</v>
      </c>
      <c r="BH723" s="298">
        <f t="shared" si="12"/>
        <v>0.1651006711409396</v>
      </c>
      <c r="BI723" s="3"/>
      <c r="BJ723" s="3"/>
      <c r="BK723" s="3"/>
      <c r="BL723" s="3"/>
      <c r="BM723" s="3"/>
      <c r="BN723" s="3"/>
      <c r="BS723" s="294">
        <f t="shared" si="13"/>
        <v>41</v>
      </c>
      <c r="BT723" s="297">
        <f t="shared" si="14"/>
        <v>0.27516778523489932</v>
      </c>
      <c r="BU723" s="298">
        <f t="shared" si="15"/>
        <v>0.14340315091546868</v>
      </c>
      <c r="CC723" s="3"/>
      <c r="CD723" s="3"/>
      <c r="CE723" s="3"/>
      <c r="CF723" s="3"/>
      <c r="CG723" s="1351">
        <f t="shared" si="37"/>
        <v>0</v>
      </c>
      <c r="CH723" s="1353"/>
      <c r="CI723" s="1335">
        <f t="shared" si="38"/>
        <v>0</v>
      </c>
      <c r="CJ723" s="1337"/>
      <c r="CK723" s="1351">
        <f t="shared" si="16"/>
        <v>0</v>
      </c>
      <c r="CL723" s="1353"/>
      <c r="CM723" s="1335">
        <f t="shared" si="17"/>
        <v>0</v>
      </c>
      <c r="CN723" s="1337"/>
      <c r="CO723" s="3"/>
      <c r="CP723" s="1332">
        <f t="shared" si="18"/>
        <v>0</v>
      </c>
      <c r="CQ723" s="1333"/>
      <c r="CR723" s="1333"/>
      <c r="CS723" s="1333"/>
      <c r="CT723" s="1334"/>
      <c r="CU723" s="1354">
        <f t="shared" si="19"/>
        <v>41</v>
      </c>
      <c r="CV723" s="1354"/>
      <c r="CW723" s="1354"/>
      <c r="CX723" s="1354"/>
      <c r="CY723" s="1354"/>
      <c r="CZ723" s="1354">
        <f t="shared" si="20"/>
        <v>0</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f t="shared" si="31"/>
        <v>1689</v>
      </c>
      <c r="FF723" s="1352"/>
      <c r="FG723" s="1352"/>
      <c r="FH723" s="1352"/>
      <c r="FI723" s="1353"/>
      <c r="FJ723" s="1351" t="str">
        <f t="shared" si="32"/>
        <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4</v>
      </c>
      <c r="H724" s="1365"/>
      <c r="I724" s="1365"/>
      <c r="J724" s="1366"/>
      <c r="K724" s="1607">
        <v>778</v>
      </c>
      <c r="L724" s="1608"/>
      <c r="M724" s="1608"/>
      <c r="N724" s="1609"/>
      <c r="O724" s="1471">
        <v>1147</v>
      </c>
      <c r="P724" s="1472"/>
      <c r="Q724" s="1472"/>
      <c r="R724" s="1472"/>
      <c r="S724" s="1473"/>
      <c r="T724" s="1471">
        <v>44</v>
      </c>
      <c r="U724" s="1472"/>
      <c r="V724" s="1472"/>
      <c r="W724" s="1473"/>
      <c r="X724" s="1358">
        <f t="shared" si="8"/>
        <v>1191</v>
      </c>
      <c r="Y724" s="1359"/>
      <c r="Z724" s="1359"/>
      <c r="AA724" s="1359"/>
      <c r="AB724" s="1360"/>
      <c r="AC724" s="1616">
        <v>0.3</v>
      </c>
      <c r="AD724" s="1617"/>
      <c r="AE724" s="1617"/>
      <c r="AF724" s="1617"/>
      <c r="AG724" s="1618"/>
      <c r="AH724" s="1361">
        <f t="shared" si="36"/>
        <v>0.29984894259818728</v>
      </c>
      <c r="AI724" s="1362"/>
      <c r="AJ724" s="1363"/>
      <c r="AK724" s="1355" t="s">
        <v>592</v>
      </c>
      <c r="AL724" s="1356"/>
      <c r="AM724" s="1356"/>
      <c r="AN724" s="1356"/>
      <c r="AO724" s="1357"/>
      <c r="AP724" s="3"/>
      <c r="AQ724" s="3"/>
      <c r="AR724" s="3"/>
      <c r="AS724" s="3"/>
      <c r="AY724" s="116"/>
      <c r="AZ724" s="118">
        <f t="shared" si="9"/>
        <v>3972</v>
      </c>
      <c r="BA724" s="3"/>
      <c r="BB724" s="3"/>
      <c r="BC724" s="3"/>
      <c r="BD724" s="3"/>
      <c r="BE724" s="204"/>
      <c r="BF724" s="294">
        <f t="shared" si="10"/>
        <v>4</v>
      </c>
      <c r="BG724" s="297">
        <f t="shared" si="11"/>
        <v>2.6845637583892617E-2</v>
      </c>
      <c r="BH724" s="298">
        <f t="shared" si="12"/>
        <v>8.0536912751677844E-3</v>
      </c>
      <c r="BI724" s="3"/>
      <c r="BJ724" s="3"/>
      <c r="BK724" s="3"/>
      <c r="BL724" s="3"/>
      <c r="BM724" s="3"/>
      <c r="BN724" s="3"/>
      <c r="BS724" s="294">
        <f t="shared" si="13"/>
        <v>4</v>
      </c>
      <c r="BT724" s="297">
        <f t="shared" si="14"/>
        <v>2.6845637583892617E-2</v>
      </c>
      <c r="BU724" s="298">
        <f t="shared" si="15"/>
        <v>8.0496360429043561E-3</v>
      </c>
      <c r="CC724" s="3"/>
      <c r="CE724" s="3"/>
      <c r="CF724" s="3"/>
      <c r="CG724" s="1351">
        <f t="shared" si="37"/>
        <v>0</v>
      </c>
      <c r="CH724" s="1353"/>
      <c r="CI724" s="1335">
        <f t="shared" si="38"/>
        <v>0</v>
      </c>
      <c r="CJ724" s="1337"/>
      <c r="CK724" s="1351">
        <f t="shared" si="16"/>
        <v>1</v>
      </c>
      <c r="CL724" s="1353"/>
      <c r="CM724" s="1335">
        <f t="shared" si="17"/>
        <v>4</v>
      </c>
      <c r="CN724" s="1337"/>
      <c r="CO724" s="3"/>
      <c r="CP724" s="1332">
        <f t="shared" si="18"/>
        <v>0</v>
      </c>
      <c r="CQ724" s="1333"/>
      <c r="CR724" s="1333"/>
      <c r="CS724" s="1333"/>
      <c r="CT724" s="1334"/>
      <c r="CU724" s="1354">
        <f t="shared" si="19"/>
        <v>0</v>
      </c>
      <c r="CV724" s="1354"/>
      <c r="CW724" s="1354"/>
      <c r="CX724" s="1354"/>
      <c r="CY724" s="1354"/>
      <c r="CZ724" s="1354">
        <f t="shared" si="20"/>
        <v>4</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4</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1147</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4</v>
      </c>
      <c r="H725" s="1365"/>
      <c r="I725" s="1365"/>
      <c r="J725" s="1366"/>
      <c r="K725" s="1607">
        <v>778</v>
      </c>
      <c r="L725" s="1608"/>
      <c r="M725" s="1608"/>
      <c r="N725" s="1609"/>
      <c r="O725" s="1471">
        <v>1900</v>
      </c>
      <c r="P725" s="1472"/>
      <c r="Q725" s="1472"/>
      <c r="R725" s="1472"/>
      <c r="S725" s="1473"/>
      <c r="T725" s="1471">
        <v>44</v>
      </c>
      <c r="U725" s="1472"/>
      <c r="V725" s="1472"/>
      <c r="W725" s="1473"/>
      <c r="X725" s="1358">
        <f t="shared" si="8"/>
        <v>1944</v>
      </c>
      <c r="Y725" s="1359"/>
      <c r="Z725" s="1359"/>
      <c r="AA725" s="1359"/>
      <c r="AB725" s="1360"/>
      <c r="AC725" s="1616">
        <v>0.5</v>
      </c>
      <c r="AD725" s="1617"/>
      <c r="AE725" s="1617"/>
      <c r="AF725" s="1617"/>
      <c r="AG725" s="1618"/>
      <c r="AH725" s="1361">
        <f t="shared" si="36"/>
        <v>0.48942598187311176</v>
      </c>
      <c r="AI725" s="1362"/>
      <c r="AJ725" s="1363"/>
      <c r="AK725" s="1355" t="s">
        <v>592</v>
      </c>
      <c r="AL725" s="1356"/>
      <c r="AM725" s="1356"/>
      <c r="AN725" s="1356"/>
      <c r="AO725" s="1357"/>
      <c r="AP725" s="3"/>
      <c r="AQ725" s="3"/>
      <c r="AR725" s="3"/>
      <c r="AS725" s="3"/>
      <c r="AY725" s="1085"/>
      <c r="AZ725" s="118">
        <f t="shared" si="9"/>
        <v>3972</v>
      </c>
      <c r="BA725" s="3"/>
      <c r="BB725" s="3"/>
      <c r="BC725" s="3"/>
      <c r="BD725" s="3"/>
      <c r="BE725" s="204"/>
      <c r="BF725" s="294">
        <f t="shared" si="10"/>
        <v>4</v>
      </c>
      <c r="BG725" s="297">
        <f t="shared" si="11"/>
        <v>2.6845637583892617E-2</v>
      </c>
      <c r="BH725" s="298">
        <f t="shared" si="12"/>
        <v>1.3422818791946308E-2</v>
      </c>
      <c r="BI725" s="3"/>
      <c r="BJ725" s="3"/>
      <c r="BK725" s="3"/>
      <c r="BL725" s="3"/>
      <c r="BM725" s="3"/>
      <c r="BN725" s="3"/>
      <c r="BS725" s="294">
        <f t="shared" si="13"/>
        <v>4</v>
      </c>
      <c r="BT725" s="297">
        <f t="shared" si="14"/>
        <v>2.6845637583892617E-2</v>
      </c>
      <c r="BU725" s="298">
        <f t="shared" si="15"/>
        <v>1.3138952533506356E-2</v>
      </c>
      <c r="BV725" s="292"/>
      <c r="BW725" s="3"/>
      <c r="BX725" s="3"/>
      <c r="BY725" s="3"/>
      <c r="BZ725" s="3"/>
      <c r="CA725" s="3"/>
      <c r="CB725" s="3"/>
      <c r="CC725" s="3"/>
      <c r="CE725" s="3"/>
      <c r="CF725" s="3"/>
      <c r="CG725" s="1351">
        <f t="shared" si="37"/>
        <v>1</v>
      </c>
      <c r="CH725" s="1353"/>
      <c r="CI725" s="1335">
        <f t="shared" si="38"/>
        <v>4</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4</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1900</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163</v>
      </c>
      <c r="C726" s="1356"/>
      <c r="D726" s="1356"/>
      <c r="E726" s="1356"/>
      <c r="F726" s="1357"/>
      <c r="G726" s="1364">
        <v>30</v>
      </c>
      <c r="H726" s="1365"/>
      <c r="I726" s="1365"/>
      <c r="J726" s="1366"/>
      <c r="K726" s="1607">
        <v>778</v>
      </c>
      <c r="L726" s="1608"/>
      <c r="M726" s="1608"/>
      <c r="N726" s="1609"/>
      <c r="O726" s="1471">
        <v>1900</v>
      </c>
      <c r="P726" s="1472"/>
      <c r="Q726" s="1472"/>
      <c r="R726" s="1472"/>
      <c r="S726" s="1473"/>
      <c r="T726" s="1471">
        <v>44</v>
      </c>
      <c r="U726" s="1472"/>
      <c r="V726" s="1472"/>
      <c r="W726" s="1473"/>
      <c r="X726" s="1358">
        <f t="shared" si="8"/>
        <v>1944</v>
      </c>
      <c r="Y726" s="1359"/>
      <c r="Z726" s="1359"/>
      <c r="AA726" s="1359"/>
      <c r="AB726" s="1360"/>
      <c r="AC726" s="1616">
        <v>0.6</v>
      </c>
      <c r="AD726" s="1617"/>
      <c r="AE726" s="1617"/>
      <c r="AF726" s="1617"/>
      <c r="AG726" s="1618"/>
      <c r="AH726" s="1361">
        <f t="shared" si="36"/>
        <v>0.48942598187311176</v>
      </c>
      <c r="AI726" s="1362"/>
      <c r="AJ726" s="1363"/>
      <c r="AK726" s="1355" t="s">
        <v>592</v>
      </c>
      <c r="AL726" s="1356"/>
      <c r="AM726" s="1356"/>
      <c r="AN726" s="1356"/>
      <c r="AO726" s="1357"/>
      <c r="AP726" s="3"/>
      <c r="AQ726" s="3"/>
      <c r="AR726" s="3"/>
      <c r="AS726" s="3"/>
      <c r="AY726" s="1085"/>
      <c r="AZ726" s="118">
        <f t="shared" si="9"/>
        <v>3972</v>
      </c>
      <c r="BA726" s="3"/>
      <c r="BB726" s="3"/>
      <c r="BC726" s="3"/>
      <c r="BD726" s="3"/>
      <c r="BE726" s="204"/>
      <c r="BF726" s="294">
        <f t="shared" si="10"/>
        <v>30</v>
      </c>
      <c r="BG726" s="297">
        <f t="shared" si="11"/>
        <v>0.20134228187919462</v>
      </c>
      <c r="BH726" s="298">
        <f t="shared" si="12"/>
        <v>0.12080536912751677</v>
      </c>
      <c r="BI726" s="3"/>
      <c r="BJ726" s="3"/>
      <c r="BK726" s="3"/>
      <c r="BL726" s="3"/>
      <c r="BM726" s="3"/>
      <c r="BN726" s="3"/>
      <c r="BS726" s="294">
        <f t="shared" si="13"/>
        <v>30</v>
      </c>
      <c r="BT726" s="297">
        <f t="shared" si="14"/>
        <v>0.20134228187919462</v>
      </c>
      <c r="BU726" s="298">
        <f t="shared" si="15"/>
        <v>9.8542144001297668E-2</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30</v>
      </c>
      <c r="DA726" s="1354"/>
      <c r="DB726" s="1354"/>
      <c r="DC726" s="1354"/>
      <c r="DD726" s="1354"/>
      <c r="DE726" s="1354">
        <f t="shared" si="21"/>
        <v>0</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f t="shared" si="32"/>
        <v>1900</v>
      </c>
      <c r="FK726" s="1352"/>
      <c r="FL726" s="1352"/>
      <c r="FM726" s="1352"/>
      <c r="FN726" s="1353"/>
      <c r="FO726" s="1351" t="str">
        <f t="shared" si="33"/>
        <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164</v>
      </c>
      <c r="C727" s="1356"/>
      <c r="D727" s="1356"/>
      <c r="E727" s="1356"/>
      <c r="F727" s="1357"/>
      <c r="G727" s="1364">
        <v>5</v>
      </c>
      <c r="H727" s="1365"/>
      <c r="I727" s="1365"/>
      <c r="J727" s="1366"/>
      <c r="K727" s="1607">
        <v>1105</v>
      </c>
      <c r="L727" s="1608"/>
      <c r="M727" s="1608"/>
      <c r="N727" s="1609"/>
      <c r="O727" s="1471">
        <v>1324</v>
      </c>
      <c r="P727" s="1472"/>
      <c r="Q727" s="1472"/>
      <c r="R727" s="1472"/>
      <c r="S727" s="1473"/>
      <c r="T727" s="1471">
        <v>53</v>
      </c>
      <c r="U727" s="1472"/>
      <c r="V727" s="1472"/>
      <c r="W727" s="1473"/>
      <c r="X727" s="1358">
        <f t="shared" si="8"/>
        <v>1377</v>
      </c>
      <c r="Y727" s="1359"/>
      <c r="Z727" s="1359"/>
      <c r="AA727" s="1359"/>
      <c r="AB727" s="1360"/>
      <c r="AC727" s="1616">
        <v>0.3</v>
      </c>
      <c r="AD727" s="1617"/>
      <c r="AE727" s="1617"/>
      <c r="AF727" s="1617"/>
      <c r="AG727" s="1618"/>
      <c r="AH727" s="1361">
        <f t="shared" si="36"/>
        <v>0.3</v>
      </c>
      <c r="AI727" s="1362"/>
      <c r="AJ727" s="1363"/>
      <c r="AK727" s="1355" t="s">
        <v>592</v>
      </c>
      <c r="AL727" s="1356"/>
      <c r="AM727" s="1356"/>
      <c r="AN727" s="1356"/>
      <c r="AO727" s="1357"/>
      <c r="AP727" s="3"/>
      <c r="AQ727" s="3"/>
      <c r="AR727" s="3"/>
      <c r="AS727" s="3"/>
      <c r="AY727" s="1085"/>
      <c r="AZ727" s="118">
        <f t="shared" si="9"/>
        <v>4590</v>
      </c>
      <c r="BA727" s="3"/>
      <c r="BB727" s="3"/>
      <c r="BC727" s="3"/>
      <c r="BD727" s="3"/>
      <c r="BE727" s="204"/>
      <c r="BF727" s="294">
        <f t="shared" si="10"/>
        <v>5</v>
      </c>
      <c r="BG727" s="297">
        <f t="shared" si="11"/>
        <v>3.3557046979865772E-2</v>
      </c>
      <c r="BH727" s="298">
        <f t="shared" si="12"/>
        <v>1.0067114093959731E-2</v>
      </c>
      <c r="BI727" s="3"/>
      <c r="BJ727" s="3"/>
      <c r="BK727" s="3"/>
      <c r="BL727" s="3"/>
      <c r="BM727" s="3"/>
      <c r="BN727" s="3"/>
      <c r="BS727" s="294">
        <f t="shared" si="13"/>
        <v>5</v>
      </c>
      <c r="BT727" s="297">
        <f t="shared" si="14"/>
        <v>3.3557046979865772E-2</v>
      </c>
      <c r="BU727" s="298">
        <f t="shared" si="15"/>
        <v>1.0067114093959731E-2</v>
      </c>
      <c r="BV727" s="3"/>
      <c r="BW727" s="3"/>
      <c r="BX727" s="3"/>
      <c r="BY727" s="3"/>
      <c r="BZ727" s="3"/>
      <c r="CA727" s="3"/>
      <c r="CB727" s="3"/>
      <c r="CC727" s="3"/>
      <c r="CE727" s="3"/>
      <c r="CF727" s="3"/>
      <c r="CG727" s="1351">
        <f t="shared" si="37"/>
        <v>0</v>
      </c>
      <c r="CH727" s="1353"/>
      <c r="CI727" s="1335">
        <f t="shared" si="38"/>
        <v>0</v>
      </c>
      <c r="CJ727" s="1337"/>
      <c r="CK727" s="1351">
        <f t="shared" si="16"/>
        <v>1</v>
      </c>
      <c r="CL727" s="1353"/>
      <c r="CM727" s="1335">
        <f t="shared" si="17"/>
        <v>5</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5</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5</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1324</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5</v>
      </c>
      <c r="H728" s="1365"/>
      <c r="I728" s="1365"/>
      <c r="J728" s="1366"/>
      <c r="K728" s="1607">
        <v>1105</v>
      </c>
      <c r="L728" s="1608"/>
      <c r="M728" s="1608"/>
      <c r="N728" s="1609"/>
      <c r="O728" s="1471">
        <v>2242</v>
      </c>
      <c r="P728" s="1472"/>
      <c r="Q728" s="1472"/>
      <c r="R728" s="1472"/>
      <c r="S728" s="1473"/>
      <c r="T728" s="1471">
        <v>53</v>
      </c>
      <c r="U728" s="1472"/>
      <c r="V728" s="1472"/>
      <c r="W728" s="1473"/>
      <c r="X728" s="1358">
        <f t="shared" si="8"/>
        <v>2295</v>
      </c>
      <c r="Y728" s="1359"/>
      <c r="Z728" s="1359"/>
      <c r="AA728" s="1359"/>
      <c r="AB728" s="1360"/>
      <c r="AC728" s="1616">
        <v>0.5</v>
      </c>
      <c r="AD728" s="1617"/>
      <c r="AE728" s="1617"/>
      <c r="AF728" s="1617"/>
      <c r="AG728" s="1618"/>
      <c r="AH728" s="1361">
        <f t="shared" si="36"/>
        <v>0.5</v>
      </c>
      <c r="AI728" s="1362"/>
      <c r="AJ728" s="1363"/>
      <c r="AK728" s="1355" t="s">
        <v>592</v>
      </c>
      <c r="AL728" s="1356"/>
      <c r="AM728" s="1356"/>
      <c r="AN728" s="1356"/>
      <c r="AO728" s="1357"/>
      <c r="AP728" s="3"/>
      <c r="AQ728" s="3"/>
      <c r="AR728" s="3"/>
      <c r="AS728" s="3"/>
      <c r="AY728" s="1085"/>
      <c r="AZ728" s="118">
        <f t="shared" si="9"/>
        <v>4590</v>
      </c>
      <c r="BA728" s="3"/>
      <c r="BB728" s="3"/>
      <c r="BC728" s="3"/>
      <c r="BD728" s="3"/>
      <c r="BE728" s="204"/>
      <c r="BF728" s="294">
        <f t="shared" si="10"/>
        <v>5</v>
      </c>
      <c r="BG728" s="297">
        <f t="shared" si="11"/>
        <v>3.3557046979865772E-2</v>
      </c>
      <c r="BH728" s="298">
        <f t="shared" si="12"/>
        <v>1.6778523489932886E-2</v>
      </c>
      <c r="BI728" s="3"/>
      <c r="BJ728" s="3"/>
      <c r="BK728" s="3"/>
      <c r="BL728" s="3"/>
      <c r="BM728" s="3"/>
      <c r="BN728" s="3"/>
      <c r="BS728" s="294">
        <f t="shared" si="13"/>
        <v>5</v>
      </c>
      <c r="BT728" s="297">
        <f t="shared" si="14"/>
        <v>3.3557046979865772E-2</v>
      </c>
      <c r="BU728" s="298">
        <f t="shared" si="15"/>
        <v>1.6778523489932886E-2</v>
      </c>
      <c r="BV728" s="3"/>
      <c r="BW728" s="3"/>
      <c r="BX728" s="3"/>
      <c r="BY728" s="3"/>
      <c r="BZ728" s="3"/>
      <c r="CA728" s="3"/>
      <c r="CB728" s="3"/>
      <c r="CC728" s="3"/>
      <c r="CE728" s="3"/>
      <c r="CF728" s="3"/>
      <c r="CG728" s="1351">
        <f t="shared" si="37"/>
        <v>1</v>
      </c>
      <c r="CH728" s="1353"/>
      <c r="CI728" s="1335">
        <f t="shared" si="38"/>
        <v>5</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5</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2242</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33</v>
      </c>
      <c r="H729" s="1365"/>
      <c r="I729" s="1365"/>
      <c r="J729" s="1366"/>
      <c r="K729" s="1607">
        <v>1105</v>
      </c>
      <c r="L729" s="1608"/>
      <c r="M729" s="1608"/>
      <c r="N729" s="1609"/>
      <c r="O729" s="1471">
        <v>2701</v>
      </c>
      <c r="P729" s="1472"/>
      <c r="Q729" s="1472"/>
      <c r="R729" s="1472"/>
      <c r="S729" s="1473"/>
      <c r="T729" s="1471">
        <v>53</v>
      </c>
      <c r="U729" s="1472"/>
      <c r="V729" s="1472"/>
      <c r="W729" s="1473"/>
      <c r="X729" s="1358">
        <f t="shared" si="8"/>
        <v>2754</v>
      </c>
      <c r="Y729" s="1359"/>
      <c r="Z729" s="1359"/>
      <c r="AA729" s="1359"/>
      <c r="AB729" s="1360"/>
      <c r="AC729" s="1616">
        <v>0.6</v>
      </c>
      <c r="AD729" s="1617"/>
      <c r="AE729" s="1617"/>
      <c r="AF729" s="1617"/>
      <c r="AG729" s="1618"/>
      <c r="AH729" s="1361">
        <f t="shared" si="36"/>
        <v>0.6</v>
      </c>
      <c r="AI729" s="1362"/>
      <c r="AJ729" s="1363"/>
      <c r="AK729" s="1355" t="s">
        <v>592</v>
      </c>
      <c r="AL729" s="1356"/>
      <c r="AM729" s="1356"/>
      <c r="AN729" s="1356"/>
      <c r="AO729" s="1357"/>
      <c r="AP729" s="3"/>
      <c r="AQ729" s="3"/>
      <c r="AR729" s="3"/>
      <c r="AS729" s="3"/>
      <c r="AY729" s="1085"/>
      <c r="AZ729" s="118">
        <f t="shared" si="9"/>
        <v>4590</v>
      </c>
      <c r="BA729" s="3"/>
      <c r="BB729" s="3"/>
      <c r="BC729" s="3"/>
      <c r="BD729" s="3"/>
      <c r="BE729" s="204"/>
      <c r="BF729" s="294">
        <f t="shared" si="10"/>
        <v>33</v>
      </c>
      <c r="BG729" s="297">
        <f t="shared" si="11"/>
        <v>0.22147651006711411</v>
      </c>
      <c r="BH729" s="298">
        <f t="shared" si="12"/>
        <v>0.13288590604026845</v>
      </c>
      <c r="BI729" s="3"/>
      <c r="BJ729" s="3"/>
      <c r="BK729" s="3"/>
      <c r="BL729" s="3"/>
      <c r="BM729" s="3"/>
      <c r="BN729" s="3"/>
      <c r="BS729" s="294">
        <f t="shared" si="13"/>
        <v>33</v>
      </c>
      <c r="BT729" s="297">
        <f t="shared" si="14"/>
        <v>0.22147651006711411</v>
      </c>
      <c r="BU729" s="298">
        <f t="shared" si="15"/>
        <v>0.13288590604026845</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33</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2701</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07"/>
      <c r="L730" s="1608"/>
      <c r="M730" s="1608"/>
      <c r="N730" s="1609"/>
      <c r="O730" s="1471"/>
      <c r="P730" s="1472"/>
      <c r="Q730" s="1472"/>
      <c r="R730" s="1472"/>
      <c r="S730" s="1473"/>
      <c r="T730" s="1471"/>
      <c r="U730" s="1472"/>
      <c r="V730" s="1472"/>
      <c r="W730" s="1473"/>
      <c r="X730" s="1358">
        <f t="shared" si="8"/>
        <v>0</v>
      </c>
      <c r="Y730" s="1359"/>
      <c r="Z730" s="1359"/>
      <c r="AA730" s="1359"/>
      <c r="AB730" s="1360"/>
      <c r="AC730" s="1616"/>
      <c r="AD730" s="1617"/>
      <c r="AE730" s="1617"/>
      <c r="AF730" s="1617"/>
      <c r="AG730" s="1618"/>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07"/>
      <c r="L731" s="1608"/>
      <c r="M731" s="1608"/>
      <c r="N731" s="1609"/>
      <c r="O731" s="1471"/>
      <c r="P731" s="1472"/>
      <c r="Q731" s="1472"/>
      <c r="R731" s="1472"/>
      <c r="S731" s="1473"/>
      <c r="T731" s="1471"/>
      <c r="U731" s="1472"/>
      <c r="V731" s="1472"/>
      <c r="W731" s="1473"/>
      <c r="X731" s="1358">
        <f t="shared" si="8"/>
        <v>0</v>
      </c>
      <c r="Y731" s="1359"/>
      <c r="Z731" s="1359"/>
      <c r="AA731" s="1359"/>
      <c r="AB731" s="1360"/>
      <c r="AC731" s="1616"/>
      <c r="AD731" s="1617"/>
      <c r="AE731" s="1617"/>
      <c r="AF731" s="1617"/>
      <c r="AG731" s="1618"/>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07"/>
      <c r="L732" s="1608"/>
      <c r="M732" s="1608"/>
      <c r="N732" s="1609"/>
      <c r="O732" s="1471"/>
      <c r="P732" s="1472"/>
      <c r="Q732" s="1472"/>
      <c r="R732" s="1472"/>
      <c r="S732" s="1473"/>
      <c r="T732" s="1471"/>
      <c r="U732" s="1472"/>
      <c r="V732" s="1472"/>
      <c r="W732" s="1473"/>
      <c r="X732" s="1358">
        <f t="shared" si="8"/>
        <v>0</v>
      </c>
      <c r="Y732" s="1359"/>
      <c r="Z732" s="1359"/>
      <c r="AA732" s="1359"/>
      <c r="AB732" s="1360"/>
      <c r="AC732" s="1616"/>
      <c r="AD732" s="1617"/>
      <c r="AE732" s="1617"/>
      <c r="AF732" s="1617"/>
      <c r="AG732" s="1618"/>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07"/>
      <c r="L733" s="1608"/>
      <c r="M733" s="1608"/>
      <c r="N733" s="1609"/>
      <c r="O733" s="1471"/>
      <c r="P733" s="1472"/>
      <c r="Q733" s="1472"/>
      <c r="R733" s="1472"/>
      <c r="S733" s="1473"/>
      <c r="T733" s="1471"/>
      <c r="U733" s="1472"/>
      <c r="V733" s="1472"/>
      <c r="W733" s="1473"/>
      <c r="X733" s="1358">
        <f t="shared" si="8"/>
        <v>0</v>
      </c>
      <c r="Y733" s="1359"/>
      <c r="Z733" s="1359"/>
      <c r="AA733" s="1359"/>
      <c r="AB733" s="1360"/>
      <c r="AC733" s="1616"/>
      <c r="AD733" s="1617"/>
      <c r="AE733" s="1617"/>
      <c r="AF733" s="1617"/>
      <c r="AG733" s="1618"/>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07"/>
      <c r="L734" s="1608"/>
      <c r="M734" s="1608"/>
      <c r="N734" s="1609"/>
      <c r="O734" s="1471"/>
      <c r="P734" s="1472"/>
      <c r="Q734" s="1472"/>
      <c r="R734" s="1472"/>
      <c r="S734" s="1473"/>
      <c r="T734" s="1471"/>
      <c r="U734" s="1472"/>
      <c r="V734" s="1472"/>
      <c r="W734" s="1473"/>
      <c r="X734" s="1358">
        <f t="shared" si="8"/>
        <v>0</v>
      </c>
      <c r="Y734" s="1359"/>
      <c r="Z734" s="1359"/>
      <c r="AA734" s="1359"/>
      <c r="AB734" s="1360"/>
      <c r="AC734" s="1616"/>
      <c r="AD734" s="1617"/>
      <c r="AE734" s="1617"/>
      <c r="AF734" s="1617"/>
      <c r="AG734" s="1618"/>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07"/>
      <c r="L735" s="1608"/>
      <c r="M735" s="1608"/>
      <c r="N735" s="1609"/>
      <c r="O735" s="1471"/>
      <c r="P735" s="1472"/>
      <c r="Q735" s="1472"/>
      <c r="R735" s="1472"/>
      <c r="S735" s="1473"/>
      <c r="T735" s="1471"/>
      <c r="U735" s="1472"/>
      <c r="V735" s="1472"/>
      <c r="W735" s="1473"/>
      <c r="X735" s="1358">
        <f t="shared" si="8"/>
        <v>0</v>
      </c>
      <c r="Y735" s="1359"/>
      <c r="Z735" s="1359"/>
      <c r="AA735" s="1359"/>
      <c r="AB735" s="1360"/>
      <c r="AC735" s="1616"/>
      <c r="AD735" s="1617"/>
      <c r="AE735" s="1617"/>
      <c r="AF735" s="1617"/>
      <c r="AG735" s="1618"/>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07"/>
      <c r="L736" s="1608"/>
      <c r="M736" s="1608"/>
      <c r="N736" s="1609"/>
      <c r="O736" s="1471"/>
      <c r="P736" s="1472"/>
      <c r="Q736" s="1472"/>
      <c r="R736" s="1472"/>
      <c r="S736" s="1473"/>
      <c r="T736" s="1471"/>
      <c r="U736" s="1472"/>
      <c r="V736" s="1472"/>
      <c r="W736" s="1473"/>
      <c r="X736" s="1358">
        <f t="shared" si="8"/>
        <v>0</v>
      </c>
      <c r="Y736" s="1359"/>
      <c r="Z736" s="1359"/>
      <c r="AA736" s="1359"/>
      <c r="AB736" s="1360"/>
      <c r="AC736" s="1616"/>
      <c r="AD736" s="1617"/>
      <c r="AE736" s="1617"/>
      <c r="AF736" s="1617"/>
      <c r="AG736" s="1618"/>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07"/>
      <c r="L737" s="1608"/>
      <c r="M737" s="1608"/>
      <c r="N737" s="1609"/>
      <c r="O737" s="1471"/>
      <c r="P737" s="1472"/>
      <c r="Q737" s="1472"/>
      <c r="R737" s="1472"/>
      <c r="S737" s="1473"/>
      <c r="T737" s="1471"/>
      <c r="U737" s="1472"/>
      <c r="V737" s="1472"/>
      <c r="W737" s="1473"/>
      <c r="X737" s="1358">
        <f t="shared" si="8"/>
        <v>0</v>
      </c>
      <c r="Y737" s="1359"/>
      <c r="Z737" s="1359"/>
      <c r="AA737" s="1359"/>
      <c r="AB737" s="1360"/>
      <c r="AC737" s="1616"/>
      <c r="AD737" s="1617"/>
      <c r="AE737" s="1617"/>
      <c r="AF737" s="1617"/>
      <c r="AG737" s="1618"/>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07"/>
      <c r="L738" s="1608"/>
      <c r="M738" s="1608"/>
      <c r="N738" s="1609"/>
      <c r="O738" s="1471"/>
      <c r="P738" s="1472"/>
      <c r="Q738" s="1472"/>
      <c r="R738" s="1472"/>
      <c r="S738" s="1473"/>
      <c r="T738" s="1471"/>
      <c r="U738" s="1472"/>
      <c r="V738" s="1472"/>
      <c r="W738" s="1473"/>
      <c r="X738" s="1358">
        <f t="shared" si="8"/>
        <v>0</v>
      </c>
      <c r="Y738" s="1359"/>
      <c r="Z738" s="1359"/>
      <c r="AA738" s="1359"/>
      <c r="AB738" s="1360"/>
      <c r="AC738" s="1616"/>
      <c r="AD738" s="1617"/>
      <c r="AE738" s="1617"/>
      <c r="AF738" s="1617"/>
      <c r="AG738" s="1618"/>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07"/>
      <c r="L739" s="1608"/>
      <c r="M739" s="1608"/>
      <c r="N739" s="1609"/>
      <c r="O739" s="1471"/>
      <c r="P739" s="1472"/>
      <c r="Q739" s="1472"/>
      <c r="R739" s="1472"/>
      <c r="S739" s="1473"/>
      <c r="T739" s="1471"/>
      <c r="U739" s="1472"/>
      <c r="V739" s="1472"/>
      <c r="W739" s="1473"/>
      <c r="X739" s="1358">
        <f t="shared" si="8"/>
        <v>0</v>
      </c>
      <c r="Y739" s="1359"/>
      <c r="Z739" s="1359"/>
      <c r="AA739" s="1359"/>
      <c r="AB739" s="1360"/>
      <c r="AC739" s="1616"/>
      <c r="AD739" s="1617"/>
      <c r="AE739" s="1617"/>
      <c r="AF739" s="1617"/>
      <c r="AG739" s="1618"/>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07"/>
      <c r="L740" s="1608"/>
      <c r="M740" s="1608"/>
      <c r="N740" s="1609"/>
      <c r="O740" s="1471"/>
      <c r="P740" s="1472"/>
      <c r="Q740" s="1472"/>
      <c r="R740" s="1472"/>
      <c r="S740" s="1473"/>
      <c r="T740" s="1471"/>
      <c r="U740" s="1472"/>
      <c r="V740" s="1472"/>
      <c r="W740" s="1473"/>
      <c r="X740" s="1358">
        <f t="shared" si="8"/>
        <v>0</v>
      </c>
      <c r="Y740" s="1359"/>
      <c r="Z740" s="1359"/>
      <c r="AA740" s="1359"/>
      <c r="AB740" s="1360"/>
      <c r="AC740" s="1616"/>
      <c r="AD740" s="1617"/>
      <c r="AE740" s="1617"/>
      <c r="AF740" s="1617"/>
      <c r="AG740" s="1618"/>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07"/>
      <c r="L741" s="1608"/>
      <c r="M741" s="1608"/>
      <c r="N741" s="1609"/>
      <c r="O741" s="1471"/>
      <c r="P741" s="1472"/>
      <c r="Q741" s="1472"/>
      <c r="R741" s="1472"/>
      <c r="S741" s="1473"/>
      <c r="T741" s="1471"/>
      <c r="U741" s="1472"/>
      <c r="V741" s="1472"/>
      <c r="W741" s="1473"/>
      <c r="X741" s="1358">
        <f t="shared" si="8"/>
        <v>0</v>
      </c>
      <c r="Y741" s="1359"/>
      <c r="Z741" s="1359"/>
      <c r="AA741" s="1359"/>
      <c r="AB741" s="1360"/>
      <c r="AC741" s="1616"/>
      <c r="AD741" s="1617"/>
      <c r="AE741" s="1617"/>
      <c r="AF741" s="1617"/>
      <c r="AG741" s="1618"/>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07"/>
      <c r="L742" s="1608"/>
      <c r="M742" s="1608"/>
      <c r="N742" s="1609"/>
      <c r="O742" s="1471"/>
      <c r="P742" s="1472"/>
      <c r="Q742" s="1472"/>
      <c r="R742" s="1472"/>
      <c r="S742" s="1473"/>
      <c r="T742" s="1471"/>
      <c r="U742" s="1472"/>
      <c r="V742" s="1472"/>
      <c r="W742" s="1473"/>
      <c r="X742" s="1358">
        <f t="shared" ref="X742:X751" si="39">O742+T742</f>
        <v>0</v>
      </c>
      <c r="Y742" s="1359"/>
      <c r="Z742" s="1359"/>
      <c r="AA742" s="1359"/>
      <c r="AB742" s="1360"/>
      <c r="AC742" s="1616"/>
      <c r="AD742" s="1617"/>
      <c r="AE742" s="1617"/>
      <c r="AF742" s="1617"/>
      <c r="AG742" s="1618"/>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07"/>
      <c r="L743" s="1608"/>
      <c r="M743" s="1608"/>
      <c r="N743" s="1609"/>
      <c r="O743" s="1471"/>
      <c r="P743" s="1472"/>
      <c r="Q743" s="1472"/>
      <c r="R743" s="1472"/>
      <c r="S743" s="1473"/>
      <c r="T743" s="1471"/>
      <c r="U743" s="1472"/>
      <c r="V743" s="1472"/>
      <c r="W743" s="1473"/>
      <c r="X743" s="1358">
        <f t="shared" si="39"/>
        <v>0</v>
      </c>
      <c r="Y743" s="1359"/>
      <c r="Z743" s="1359"/>
      <c r="AA743" s="1359"/>
      <c r="AB743" s="1360"/>
      <c r="AC743" s="1616"/>
      <c r="AD743" s="1617"/>
      <c r="AE743" s="1617"/>
      <c r="AF743" s="1617"/>
      <c r="AG743" s="1618"/>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07"/>
      <c r="L744" s="1608"/>
      <c r="M744" s="1608"/>
      <c r="N744" s="1609"/>
      <c r="O744" s="1471"/>
      <c r="P744" s="1472"/>
      <c r="Q744" s="1472"/>
      <c r="R744" s="1472"/>
      <c r="S744" s="1473"/>
      <c r="T744" s="1471"/>
      <c r="U744" s="1472"/>
      <c r="V744" s="1472"/>
      <c r="W744" s="1473"/>
      <c r="X744" s="1358">
        <f t="shared" si="39"/>
        <v>0</v>
      </c>
      <c r="Y744" s="1359"/>
      <c r="Z744" s="1359"/>
      <c r="AA744" s="1359"/>
      <c r="AB744" s="1360"/>
      <c r="AC744" s="1616"/>
      <c r="AD744" s="1617"/>
      <c r="AE744" s="1617"/>
      <c r="AF744" s="1617"/>
      <c r="AG744" s="1618"/>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07"/>
      <c r="L745" s="1608"/>
      <c r="M745" s="1608"/>
      <c r="N745" s="1609"/>
      <c r="O745" s="1471"/>
      <c r="P745" s="1472"/>
      <c r="Q745" s="1472"/>
      <c r="R745" s="1472"/>
      <c r="S745" s="1473"/>
      <c r="T745" s="1471"/>
      <c r="U745" s="1472"/>
      <c r="V745" s="1472"/>
      <c r="W745" s="1473"/>
      <c r="X745" s="1358">
        <f t="shared" si="39"/>
        <v>0</v>
      </c>
      <c r="Y745" s="1359"/>
      <c r="Z745" s="1359"/>
      <c r="AA745" s="1359"/>
      <c r="AB745" s="1360"/>
      <c r="AC745" s="1616"/>
      <c r="AD745" s="1617"/>
      <c r="AE745" s="1617"/>
      <c r="AF745" s="1617"/>
      <c r="AG745" s="1618"/>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07"/>
      <c r="L746" s="1608"/>
      <c r="M746" s="1608"/>
      <c r="N746" s="1609"/>
      <c r="O746" s="1471"/>
      <c r="P746" s="1472"/>
      <c r="Q746" s="1472"/>
      <c r="R746" s="1472"/>
      <c r="S746" s="1473"/>
      <c r="T746" s="1471"/>
      <c r="U746" s="1472"/>
      <c r="V746" s="1472"/>
      <c r="W746" s="1473"/>
      <c r="X746" s="1358">
        <f t="shared" si="39"/>
        <v>0</v>
      </c>
      <c r="Y746" s="1359"/>
      <c r="Z746" s="1359"/>
      <c r="AA746" s="1359"/>
      <c r="AB746" s="1360"/>
      <c r="AC746" s="1616"/>
      <c r="AD746" s="1617"/>
      <c r="AE746" s="1617"/>
      <c r="AF746" s="1617"/>
      <c r="AG746" s="1618"/>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07"/>
      <c r="L747" s="1608"/>
      <c r="M747" s="1608"/>
      <c r="N747" s="1609"/>
      <c r="O747" s="1471"/>
      <c r="P747" s="1472"/>
      <c r="Q747" s="1472"/>
      <c r="R747" s="1472"/>
      <c r="S747" s="1473"/>
      <c r="T747" s="1471"/>
      <c r="U747" s="1472"/>
      <c r="V747" s="1472"/>
      <c r="W747" s="1473"/>
      <c r="X747" s="1358">
        <f t="shared" si="39"/>
        <v>0</v>
      </c>
      <c r="Y747" s="1359"/>
      <c r="Z747" s="1359"/>
      <c r="AA747" s="1359"/>
      <c r="AB747" s="1360"/>
      <c r="AC747" s="1616"/>
      <c r="AD747" s="1617"/>
      <c r="AE747" s="1617"/>
      <c r="AF747" s="1617"/>
      <c r="AG747" s="1618"/>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07"/>
      <c r="L748" s="1608"/>
      <c r="M748" s="1608"/>
      <c r="N748" s="1609"/>
      <c r="O748" s="1471"/>
      <c r="P748" s="1472"/>
      <c r="Q748" s="1472"/>
      <c r="R748" s="1472"/>
      <c r="S748" s="1473"/>
      <c r="T748" s="1471"/>
      <c r="U748" s="1472"/>
      <c r="V748" s="1472"/>
      <c r="W748" s="1473"/>
      <c r="X748" s="1358">
        <f t="shared" si="39"/>
        <v>0</v>
      </c>
      <c r="Y748" s="1359"/>
      <c r="Z748" s="1359"/>
      <c r="AA748" s="1359"/>
      <c r="AB748" s="1360"/>
      <c r="AC748" s="1616"/>
      <c r="AD748" s="1617"/>
      <c r="AE748" s="1617"/>
      <c r="AF748" s="1617"/>
      <c r="AG748" s="1618"/>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07"/>
      <c r="L749" s="1608"/>
      <c r="M749" s="1608"/>
      <c r="N749" s="1609"/>
      <c r="O749" s="1471"/>
      <c r="P749" s="1472"/>
      <c r="Q749" s="1472"/>
      <c r="R749" s="1472"/>
      <c r="S749" s="1473"/>
      <c r="T749" s="1471"/>
      <c r="U749" s="1472"/>
      <c r="V749" s="1472"/>
      <c r="W749" s="1473"/>
      <c r="X749" s="1358">
        <f t="shared" si="39"/>
        <v>0</v>
      </c>
      <c r="Y749" s="1359"/>
      <c r="Z749" s="1359"/>
      <c r="AA749" s="1359"/>
      <c r="AB749" s="1360"/>
      <c r="AC749" s="1616"/>
      <c r="AD749" s="1617"/>
      <c r="AE749" s="1617"/>
      <c r="AF749" s="1617"/>
      <c r="AG749" s="1618"/>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07"/>
      <c r="L750" s="1608"/>
      <c r="M750" s="1608"/>
      <c r="N750" s="1609"/>
      <c r="O750" s="1471"/>
      <c r="P750" s="1472"/>
      <c r="Q750" s="1472"/>
      <c r="R750" s="1472"/>
      <c r="S750" s="1473"/>
      <c r="T750" s="1471"/>
      <c r="U750" s="1472"/>
      <c r="V750" s="1472"/>
      <c r="W750" s="1473"/>
      <c r="X750" s="1358">
        <f t="shared" si="39"/>
        <v>0</v>
      </c>
      <c r="Y750" s="1359"/>
      <c r="Z750" s="1359"/>
      <c r="AA750" s="1359"/>
      <c r="AB750" s="1360"/>
      <c r="AC750" s="1616"/>
      <c r="AD750" s="1617"/>
      <c r="AE750" s="1617"/>
      <c r="AF750" s="1617"/>
      <c r="AG750" s="1618"/>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07"/>
      <c r="L751" s="1608"/>
      <c r="M751" s="1608"/>
      <c r="N751" s="1609"/>
      <c r="O751" s="1471"/>
      <c r="P751" s="1472"/>
      <c r="Q751" s="1472"/>
      <c r="R751" s="1472"/>
      <c r="S751" s="1473"/>
      <c r="T751" s="1471"/>
      <c r="U751" s="1472"/>
      <c r="V751" s="1472"/>
      <c r="W751" s="1473"/>
      <c r="X751" s="1358">
        <f t="shared" si="39"/>
        <v>0</v>
      </c>
      <c r="Y751" s="1359"/>
      <c r="Z751" s="1359"/>
      <c r="AA751" s="1359"/>
      <c r="AB751" s="1360"/>
      <c r="AC751" s="1616"/>
      <c r="AD751" s="1617"/>
      <c r="AE751" s="1617"/>
      <c r="AF751" s="1617"/>
      <c r="AG751" s="1618"/>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07"/>
      <c r="L752" s="1608"/>
      <c r="M752" s="1608"/>
      <c r="N752" s="1609"/>
      <c r="O752" s="1471"/>
      <c r="P752" s="1472"/>
      <c r="Q752" s="1472"/>
      <c r="R752" s="1472"/>
      <c r="S752" s="1473"/>
      <c r="T752" s="1471"/>
      <c r="U752" s="1472"/>
      <c r="V752" s="1472"/>
      <c r="W752" s="1473"/>
      <c r="X752" s="1358">
        <f>O752+T752</f>
        <v>0</v>
      </c>
      <c r="Y752" s="1359"/>
      <c r="Z752" s="1359"/>
      <c r="AA752" s="1359"/>
      <c r="AB752" s="1360"/>
      <c r="AC752" s="1616"/>
      <c r="AD752" s="1617"/>
      <c r="AE752" s="1617"/>
      <c r="AF752" s="1617"/>
      <c r="AG752" s="1618"/>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9" t="s">
        <v>125</v>
      </c>
      <c r="C753" s="1410"/>
      <c r="D753" s="1410"/>
      <c r="E753" s="1410"/>
      <c r="F753" s="1412"/>
      <c r="G753" s="1720">
        <f>SUM(G718:G752)</f>
        <v>149</v>
      </c>
      <c r="H753" s="1721"/>
      <c r="I753" s="1721"/>
      <c r="J753" s="1722"/>
      <c r="K753" s="902" t="s">
        <v>124</v>
      </c>
      <c r="L753" s="5"/>
      <c r="M753" s="5"/>
      <c r="N753" s="46"/>
      <c r="O753" s="1358">
        <f>SUMPRODUCT(G718:G752,O718:O752)</f>
        <v>282935</v>
      </c>
      <c r="P753" s="1359"/>
      <c r="Q753" s="1359"/>
      <c r="R753" s="1359"/>
      <c r="S753" s="1360"/>
      <c r="T753"/>
      <c r="U753"/>
      <c r="V753"/>
      <c r="W753"/>
      <c r="X753" s="904" t="s">
        <v>901</v>
      </c>
      <c r="Y753" s="903"/>
      <c r="Z753" s="903"/>
      <c r="AA753" s="903"/>
      <c r="AB753" s="905"/>
      <c r="AC753" s="1620">
        <f>BH753</f>
        <v>0.55436241610738257</v>
      </c>
      <c r="AD753" s="1621"/>
      <c r="AE753" s="1621"/>
      <c r="AF753" s="1621"/>
      <c r="AG753" s="1622"/>
      <c r="AH753" s="1620">
        <f>IFERROR(BU753,"")</f>
        <v>0.50404524510565285</v>
      </c>
      <c r="AI753" s="1621"/>
      <c r="AJ753" s="1622"/>
      <c r="AK753"/>
      <c r="AL753"/>
      <c r="AM753"/>
      <c r="AN753"/>
      <c r="AO753"/>
      <c r="AP753" s="205"/>
      <c r="AQ753" s="205"/>
      <c r="AR753" s="205"/>
      <c r="AS753" s="205"/>
      <c r="AT753"/>
      <c r="AU753"/>
      <c r="AV753"/>
      <c r="AW753"/>
      <c r="AX753"/>
      <c r="AY753"/>
      <c r="AZ753" s="34"/>
      <c r="BA753" s="34"/>
      <c r="BB753" s="34"/>
      <c r="BC753" s="34"/>
      <c r="BE753" s="290" t="s">
        <v>900</v>
      </c>
      <c r="BF753" s="299">
        <f>SUM(BF718:BF752)</f>
        <v>149</v>
      </c>
      <c r="BG753" s="300">
        <f>SUM(BG718:BG752)</f>
        <v>1</v>
      </c>
      <c r="BH753" s="300">
        <f>SUM(BH718:BH752)</f>
        <v>0.55436241610738257</v>
      </c>
      <c r="BI753"/>
      <c r="BJ753"/>
      <c r="BK753"/>
      <c r="BL753"/>
      <c r="BO753"/>
      <c r="BP753"/>
      <c r="BQ753"/>
      <c r="BR753"/>
      <c r="BS753" s="859">
        <f>SUM(BS718:BS752)</f>
        <v>149</v>
      </c>
      <c r="BT753" s="300">
        <f>SUM(BT718:BT752)</f>
        <v>1</v>
      </c>
      <c r="BU753" s="300">
        <f>SUM(BU718:BU752)</f>
        <v>0.50404524510565285</v>
      </c>
      <c r="CI753" s="1351">
        <f>SUM(CI718:CJ752)</f>
        <v>17</v>
      </c>
      <c r="CJ753" s="1353"/>
      <c r="CM753" s="1351">
        <f>SUM(CM718:CN752)</f>
        <v>17</v>
      </c>
      <c r="CN753" s="1353"/>
      <c r="CP753" s="1351">
        <f>SUM(CP718:CT752)</f>
        <v>15</v>
      </c>
      <c r="CQ753" s="1352"/>
      <c r="CR753" s="1352"/>
      <c r="CS753" s="1352"/>
      <c r="CT753" s="1353"/>
      <c r="CU753" s="1367">
        <f>SUM(CU718:CY752)</f>
        <v>53</v>
      </c>
      <c r="CV753" s="1367"/>
      <c r="CW753" s="1367"/>
      <c r="CX753" s="1367"/>
      <c r="CY753" s="1367"/>
      <c r="CZ753" s="1367">
        <f>SUM(CZ718:DD752)</f>
        <v>38</v>
      </c>
      <c r="DA753" s="1367"/>
      <c r="DB753" s="1367"/>
      <c r="DC753" s="1367"/>
      <c r="DD753" s="1367"/>
      <c r="DE753" s="1367">
        <f>SUM(DE718:DI752)</f>
        <v>43</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2</v>
      </c>
      <c r="DV753" s="1367"/>
      <c r="DW753" s="1367"/>
      <c r="DX753" s="1367"/>
      <c r="DY753" s="1367"/>
      <c r="DZ753" s="1367">
        <f>SUM(DZ718:ED752)</f>
        <v>6</v>
      </c>
      <c r="EA753" s="1367"/>
      <c r="EB753" s="1367"/>
      <c r="EC753" s="1367"/>
      <c r="ED753" s="1367"/>
      <c r="EE753" s="1367">
        <f>SUM(EE718:EI752)</f>
        <v>4</v>
      </c>
      <c r="EF753" s="1367"/>
      <c r="EG753" s="1367"/>
      <c r="EH753" s="1367"/>
      <c r="EI753" s="1367"/>
      <c r="EJ753" s="1367">
        <f>SUM(EJ718:EN752)</f>
        <v>5</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3979</v>
      </c>
      <c r="FA753" s="1367"/>
      <c r="FB753" s="1367"/>
      <c r="FC753" s="1367"/>
      <c r="FD753" s="1367"/>
      <c r="FE753" s="1367">
        <f>SUM(FE718:FI752)</f>
        <v>4265</v>
      </c>
      <c r="FF753" s="1367"/>
      <c r="FG753" s="1367"/>
      <c r="FH753" s="1367"/>
      <c r="FI753" s="1367"/>
      <c r="FJ753" s="1367">
        <f>SUM(FJ718:FN752)</f>
        <v>4947</v>
      </c>
      <c r="FK753" s="1367"/>
      <c r="FL753" s="1367"/>
      <c r="FM753" s="1367"/>
      <c r="FN753" s="1367"/>
      <c r="FO753" s="1367">
        <f>SUM(FO718:FS752)</f>
        <v>6267</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4" t="s">
        <v>1895</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1862</v>
      </c>
      <c r="DO754" s="1351">
        <f>CP753+CU753+CZ753+DE753+DJ753+DO753</f>
        <v>149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15</v>
      </c>
      <c r="CU755" s="3"/>
      <c r="CV755" s="3"/>
      <c r="CW755" s="3"/>
      <c r="CX755" s="3"/>
      <c r="CY755" s="861">
        <f>CU753*1</f>
        <v>53</v>
      </c>
      <c r="CZ755" s="3"/>
      <c r="DA755" s="3"/>
      <c r="DB755" s="3"/>
      <c r="DC755" s="3"/>
      <c r="DD755" s="861">
        <f>CZ753*2</f>
        <v>76</v>
      </c>
      <c r="DE755" s="3"/>
      <c r="DF755" s="3"/>
      <c r="DG755" s="3"/>
      <c r="DH755" s="3"/>
      <c r="DI755" s="861">
        <f>DE753*3</f>
        <v>129</v>
      </c>
      <c r="DJ755" s="3"/>
      <c r="DK755" s="3"/>
      <c r="DL755" s="3"/>
      <c r="DM755" s="3"/>
      <c r="DN755" s="861">
        <f>DJ753*4</f>
        <v>0</v>
      </c>
      <c r="DO755" s="3"/>
      <c r="DP755" s="3"/>
      <c r="DQ755" s="3"/>
      <c r="DR755" s="3"/>
      <c r="DS755" s="861">
        <f>DO753*5</f>
        <v>0</v>
      </c>
      <c r="DU755" s="861">
        <f>CT755+CY755+DD755+DI755+DN755+DS755</f>
        <v>273</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367">
        <f>DU755</f>
        <v>273</v>
      </c>
      <c r="P756" s="1367"/>
      <c r="Q756" s="1367"/>
      <c r="R756" s="1367"/>
      <c r="S756" s="969"/>
      <c r="T756" s="969"/>
      <c r="U756" s="118" t="s">
        <v>1894</v>
      </c>
      <c r="V756" s="1032"/>
      <c r="W756" s="1032"/>
      <c r="X756" s="1032"/>
      <c r="Y756" s="1033"/>
      <c r="Z756" s="1033"/>
      <c r="AA756" s="1033"/>
      <c r="AB756" s="1033"/>
      <c r="AC756" s="1032"/>
      <c r="AD756" s="1032"/>
      <c r="AE756" s="1032"/>
      <c r="AF756" s="1032"/>
      <c r="AG756" s="1716"/>
      <c r="AH756" s="1716"/>
      <c r="AI756" s="1716"/>
      <c r="AJ756" s="171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3" t="s">
        <v>592</v>
      </c>
      <c r="AE759" s="1723"/>
      <c r="AF759" s="17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7" t="s">
        <v>389</v>
      </c>
      <c r="K769" s="1498"/>
      <c r="L769" s="1498"/>
      <c r="M769" s="1498"/>
      <c r="N769" s="1499"/>
      <c r="O769" s="1605" t="s">
        <v>285</v>
      </c>
      <c r="P769" s="1605"/>
      <c r="Q769" s="1605"/>
      <c r="R769" s="1605"/>
      <c r="S769" s="1605"/>
      <c r="T769" s="1514" t="s">
        <v>1681</v>
      </c>
      <c r="U769" s="1515"/>
      <c r="V769" s="1515"/>
      <c r="W769" s="1516"/>
      <c r="X769" s="1497" t="s">
        <v>448</v>
      </c>
      <c r="Y769" s="1498"/>
      <c r="Z769" s="1498"/>
      <c r="AA769" s="1498"/>
      <c r="AB769" s="1499"/>
      <c r="AC769" s="1497" t="s">
        <v>286</v>
      </c>
      <c r="AD769" s="1498"/>
      <c r="AE769" s="1498"/>
      <c r="AF769" s="1498"/>
      <c r="AG769" s="149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0"/>
      <c r="K770" s="1501"/>
      <c r="L770" s="1501"/>
      <c r="M770" s="1501"/>
      <c r="N770" s="1502"/>
      <c r="O770" s="1605"/>
      <c r="P770" s="1605"/>
      <c r="Q770" s="1605"/>
      <c r="R770" s="1605"/>
      <c r="S770" s="1605"/>
      <c r="T770" s="1517"/>
      <c r="U770" s="1518"/>
      <c r="V770" s="1518"/>
      <c r="W770" s="1519"/>
      <c r="X770" s="1500"/>
      <c r="Y770" s="1501"/>
      <c r="Z770" s="1501"/>
      <c r="AA770" s="1501"/>
      <c r="AB770" s="1502"/>
      <c r="AC770" s="1500"/>
      <c r="AD770" s="1501"/>
      <c r="AE770" s="1501"/>
      <c r="AF770" s="1501"/>
      <c r="AG770" s="150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0"/>
      <c r="K771" s="1501"/>
      <c r="L771" s="1501"/>
      <c r="M771" s="1501"/>
      <c r="N771" s="1502"/>
      <c r="O771" s="1605"/>
      <c r="P771" s="1605"/>
      <c r="Q771" s="1605"/>
      <c r="R771" s="1605"/>
      <c r="S771" s="1605"/>
      <c r="T771" s="1517"/>
      <c r="U771" s="1518"/>
      <c r="V771" s="1518"/>
      <c r="W771" s="1519"/>
      <c r="X771" s="1500"/>
      <c r="Y771" s="1501"/>
      <c r="Z771" s="1501"/>
      <c r="AA771" s="1501"/>
      <c r="AB771" s="1502"/>
      <c r="AC771" s="1500"/>
      <c r="AD771" s="1501"/>
      <c r="AE771" s="1501"/>
      <c r="AF771" s="1501"/>
      <c r="AG771" s="150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3"/>
      <c r="K772" s="1504"/>
      <c r="L772" s="1504"/>
      <c r="M772" s="1504"/>
      <c r="N772" s="1505"/>
      <c r="O772" s="1605"/>
      <c r="P772" s="1605"/>
      <c r="Q772" s="1605"/>
      <c r="R772" s="1605"/>
      <c r="S772" s="1605"/>
      <c r="T772" s="1613"/>
      <c r="U772" s="1614"/>
      <c r="V772" s="1614"/>
      <c r="W772" s="1615"/>
      <c r="X772" s="1503"/>
      <c r="Y772" s="1504"/>
      <c r="Z772" s="1504"/>
      <c r="AA772" s="1504"/>
      <c r="AB772" s="1505"/>
      <c r="AC772" s="1503"/>
      <c r="AD772" s="1504"/>
      <c r="AE772" s="1504"/>
      <c r="AF772" s="1504"/>
      <c r="AG772" s="150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164</v>
      </c>
      <c r="K773" s="1356"/>
      <c r="L773" s="1356"/>
      <c r="M773" s="1356"/>
      <c r="N773" s="1357"/>
      <c r="O773" s="1467">
        <v>1</v>
      </c>
      <c r="P773" s="1467"/>
      <c r="Q773" s="1467"/>
      <c r="R773" s="1467"/>
      <c r="S773" s="1467"/>
      <c r="T773" s="1607">
        <f>+K733</f>
        <v>0</v>
      </c>
      <c r="U773" s="1608"/>
      <c r="V773" s="1608"/>
      <c r="W773" s="1609"/>
      <c r="X773" s="1471">
        <v>0</v>
      </c>
      <c r="Y773" s="1472"/>
      <c r="Z773" s="1472"/>
      <c r="AA773" s="1472"/>
      <c r="AB773" s="1473"/>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7"/>
      <c r="P774" s="1467"/>
      <c r="Q774" s="1467"/>
      <c r="R774" s="1467"/>
      <c r="S774" s="1467"/>
      <c r="T774" s="1607"/>
      <c r="U774" s="1608"/>
      <c r="V774" s="1608"/>
      <c r="W774" s="1609"/>
      <c r="X774" s="1471"/>
      <c r="Y774" s="1472"/>
      <c r="Z774" s="1472"/>
      <c r="AA774" s="1472"/>
      <c r="AB774" s="1473"/>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7"/>
      <c r="P775" s="1467"/>
      <c r="Q775" s="1467"/>
      <c r="R775" s="1467"/>
      <c r="S775" s="1467"/>
      <c r="T775" s="1607"/>
      <c r="U775" s="1608"/>
      <c r="V775" s="1608"/>
      <c r="W775" s="1609"/>
      <c r="X775" s="1471"/>
      <c r="Y775" s="1472"/>
      <c r="Z775" s="1472"/>
      <c r="AA775" s="1472"/>
      <c r="AB775" s="1473"/>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7"/>
      <c r="P776" s="1467"/>
      <c r="Q776" s="1467"/>
      <c r="R776" s="1467"/>
      <c r="S776" s="1467"/>
      <c r="T776" s="1607"/>
      <c r="U776" s="1608"/>
      <c r="V776" s="1608"/>
      <c r="W776" s="1609"/>
      <c r="X776" s="1471"/>
      <c r="Y776" s="1472"/>
      <c r="Z776" s="1472"/>
      <c r="AA776" s="1472"/>
      <c r="AB776" s="1473"/>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9" t="s">
        <v>125</v>
      </c>
      <c r="K777" s="1410"/>
      <c r="L777" s="1410"/>
      <c r="M777" s="1410"/>
      <c r="N777" s="1412"/>
      <c r="O777" s="1335">
        <f>SUM(O773:S776)</f>
        <v>1</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1863</v>
      </c>
    </row>
    <row r="779" spans="1:126" ht="12.95"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7" t="s">
        <v>389</v>
      </c>
      <c r="K783" s="1498"/>
      <c r="L783" s="1498"/>
      <c r="M783" s="1498"/>
      <c r="N783" s="1499"/>
      <c r="O783" s="1605" t="s">
        <v>285</v>
      </c>
      <c r="P783" s="1605"/>
      <c r="Q783" s="1605"/>
      <c r="R783" s="1605"/>
      <c r="S783" s="1605"/>
      <c r="T783" s="1514" t="s">
        <v>1681</v>
      </c>
      <c r="U783" s="1515"/>
      <c r="V783" s="1515"/>
      <c r="W783" s="1516"/>
      <c r="X783" s="1497" t="s">
        <v>448</v>
      </c>
      <c r="Y783" s="1498"/>
      <c r="Z783" s="1498"/>
      <c r="AA783" s="1498"/>
      <c r="AB783" s="1499"/>
      <c r="AC783" s="1497" t="s">
        <v>286</v>
      </c>
      <c r="AD783" s="1498"/>
      <c r="AE783" s="1498"/>
      <c r="AF783" s="1498"/>
      <c r="AG783" s="149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0"/>
      <c r="K784" s="1501"/>
      <c r="L784" s="1501"/>
      <c r="M784" s="1501"/>
      <c r="N784" s="1502"/>
      <c r="O784" s="1605"/>
      <c r="P784" s="1605"/>
      <c r="Q784" s="1605"/>
      <c r="R784" s="1605"/>
      <c r="S784" s="1605"/>
      <c r="T784" s="1517"/>
      <c r="U784" s="1518"/>
      <c r="V784" s="1518"/>
      <c r="W784" s="1519"/>
      <c r="X784" s="1500"/>
      <c r="Y784" s="1501"/>
      <c r="Z784" s="1501"/>
      <c r="AA784" s="1501"/>
      <c r="AB784" s="1502"/>
      <c r="AC784" s="1500"/>
      <c r="AD784" s="1501"/>
      <c r="AE784" s="1501"/>
      <c r="AF784" s="1501"/>
      <c r="AG784" s="150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0"/>
      <c r="K785" s="1501"/>
      <c r="L785" s="1501"/>
      <c r="M785" s="1501"/>
      <c r="N785" s="1502"/>
      <c r="O785" s="1605"/>
      <c r="P785" s="1605"/>
      <c r="Q785" s="1605"/>
      <c r="R785" s="1605"/>
      <c r="S785" s="1605"/>
      <c r="T785" s="1517"/>
      <c r="U785" s="1518"/>
      <c r="V785" s="1518"/>
      <c r="W785" s="1519"/>
      <c r="X785" s="1500"/>
      <c r="Y785" s="1501"/>
      <c r="Z785" s="1501"/>
      <c r="AA785" s="1501"/>
      <c r="AB785" s="1502"/>
      <c r="AC785" s="1500"/>
      <c r="AD785" s="1501"/>
      <c r="AE785" s="1501"/>
      <c r="AF785" s="1501"/>
      <c r="AG785" s="150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3"/>
      <c r="K786" s="1504"/>
      <c r="L786" s="1504"/>
      <c r="M786" s="1504"/>
      <c r="N786" s="1505"/>
      <c r="O786" s="1605"/>
      <c r="P786" s="1605"/>
      <c r="Q786" s="1605"/>
      <c r="R786" s="1605"/>
      <c r="S786" s="1605"/>
      <c r="T786" s="1613"/>
      <c r="U786" s="1614"/>
      <c r="V786" s="1614"/>
      <c r="W786" s="1615"/>
      <c r="X786" s="1503"/>
      <c r="Y786" s="1504"/>
      <c r="Z786" s="1504"/>
      <c r="AA786" s="1504"/>
      <c r="AB786" s="1505"/>
      <c r="AC786" s="1503"/>
      <c r="AD786" s="1504"/>
      <c r="AE786" s="1504"/>
      <c r="AF786" s="1504"/>
      <c r="AG786" s="150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7"/>
      <c r="P787" s="1467"/>
      <c r="Q787" s="1467"/>
      <c r="R787" s="1467"/>
      <c r="S787" s="1467"/>
      <c r="T787" s="1607"/>
      <c r="U787" s="1608"/>
      <c r="V787" s="1608"/>
      <c r="W787" s="1609"/>
      <c r="X787" s="1471"/>
      <c r="Y787" s="1472"/>
      <c r="Z787" s="1472"/>
      <c r="AA787" s="1472"/>
      <c r="AB787" s="1473"/>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7"/>
      <c r="P788" s="1467"/>
      <c r="Q788" s="1467"/>
      <c r="R788" s="1467"/>
      <c r="S788" s="1467"/>
      <c r="T788" s="1607"/>
      <c r="U788" s="1608"/>
      <c r="V788" s="1608"/>
      <c r="W788" s="1609"/>
      <c r="X788" s="1471"/>
      <c r="Y788" s="1472"/>
      <c r="Z788" s="1472"/>
      <c r="AA788" s="1472"/>
      <c r="AB788" s="1473"/>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7"/>
      <c r="P789" s="1467"/>
      <c r="Q789" s="1467"/>
      <c r="R789" s="1467"/>
      <c r="S789" s="1467"/>
      <c r="T789" s="1607"/>
      <c r="U789" s="1608"/>
      <c r="V789" s="1608"/>
      <c r="W789" s="1609"/>
      <c r="X789" s="1471"/>
      <c r="Y789" s="1472"/>
      <c r="Z789" s="1472"/>
      <c r="AA789" s="1472"/>
      <c r="AB789" s="1473"/>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7"/>
      <c r="P790" s="1467"/>
      <c r="Q790" s="1467"/>
      <c r="R790" s="1467"/>
      <c r="S790" s="1467"/>
      <c r="T790" s="1607"/>
      <c r="U790" s="1608"/>
      <c r="V790" s="1608"/>
      <c r="W790" s="1609"/>
      <c r="X790" s="1471"/>
      <c r="Y790" s="1472"/>
      <c r="Z790" s="1472"/>
      <c r="AA790" s="1472"/>
      <c r="AB790" s="1473"/>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7"/>
      <c r="P791" s="1467"/>
      <c r="Q791" s="1467"/>
      <c r="R791" s="1467"/>
      <c r="S791" s="1467"/>
      <c r="T791" s="1607"/>
      <c r="U791" s="1608"/>
      <c r="V791" s="1608"/>
      <c r="W791" s="1609"/>
      <c r="X791" s="1471"/>
      <c r="Y791" s="1472"/>
      <c r="Z791" s="1472"/>
      <c r="AA791" s="1472"/>
      <c r="AB791" s="1473"/>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7"/>
      <c r="P792" s="1467"/>
      <c r="Q792" s="1467"/>
      <c r="R792" s="1467"/>
      <c r="S792" s="1467"/>
      <c r="T792" s="1607"/>
      <c r="U792" s="1608"/>
      <c r="V792" s="1608"/>
      <c r="W792" s="1609"/>
      <c r="X792" s="1471"/>
      <c r="Y792" s="1472"/>
      <c r="Z792" s="1472"/>
      <c r="AA792" s="1472"/>
      <c r="AB792" s="1473"/>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7"/>
      <c r="P793" s="1467"/>
      <c r="Q793" s="1467"/>
      <c r="R793" s="1467"/>
      <c r="S793" s="1467"/>
      <c r="T793" s="1607"/>
      <c r="U793" s="1608"/>
      <c r="V793" s="1608"/>
      <c r="W793" s="1609"/>
      <c r="X793" s="1471"/>
      <c r="Y793" s="1472"/>
      <c r="Z793" s="1472"/>
      <c r="AA793" s="1472"/>
      <c r="AB793" s="1473"/>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7"/>
      <c r="P794" s="1467"/>
      <c r="Q794" s="1467"/>
      <c r="R794" s="1467"/>
      <c r="S794" s="1467"/>
      <c r="T794" s="1607"/>
      <c r="U794" s="1608"/>
      <c r="V794" s="1608"/>
      <c r="W794" s="1609"/>
      <c r="X794" s="1471"/>
      <c r="Y794" s="1472"/>
      <c r="Z794" s="1472"/>
      <c r="AA794" s="1472"/>
      <c r="AB794" s="1473"/>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7"/>
      <c r="P795" s="1467"/>
      <c r="Q795" s="1467"/>
      <c r="R795" s="1467"/>
      <c r="S795" s="1467"/>
      <c r="T795" s="1607"/>
      <c r="U795" s="1608"/>
      <c r="V795" s="1608"/>
      <c r="W795" s="1609"/>
      <c r="X795" s="1471"/>
      <c r="Y795" s="1472"/>
      <c r="Z795" s="1472"/>
      <c r="AA795" s="1472"/>
      <c r="AB795" s="1473"/>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7"/>
      <c r="P796" s="1467"/>
      <c r="Q796" s="1467"/>
      <c r="R796" s="1467"/>
      <c r="S796" s="1467"/>
      <c r="T796" s="1607"/>
      <c r="U796" s="1608"/>
      <c r="V796" s="1608"/>
      <c r="W796" s="1609"/>
      <c r="X796" s="1471"/>
      <c r="Y796" s="1472"/>
      <c r="Z796" s="1472"/>
      <c r="AA796" s="1472"/>
      <c r="AB796" s="1473"/>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9" t="s">
        <v>125</v>
      </c>
      <c r="K797" s="1410"/>
      <c r="L797" s="1410"/>
      <c r="M797" s="1410"/>
      <c r="N797" s="1412"/>
      <c r="O797" s="1627">
        <f>SUM(O787:S796)</f>
        <v>0</v>
      </c>
      <c r="P797" s="1627"/>
      <c r="Q797" s="1627"/>
      <c r="R797" s="1627"/>
      <c r="S797" s="1627"/>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282935</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3395220</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15</v>
      </c>
      <c r="CQ802" s="1349"/>
      <c r="CR802" s="1349"/>
      <c r="CS802" s="1349"/>
      <c r="CT802" s="1350"/>
      <c r="CU802" s="1348">
        <f>CU753+CU777+CU797</f>
        <v>53</v>
      </c>
      <c r="CV802" s="1349"/>
      <c r="CW802" s="1349"/>
      <c r="CX802" s="1349"/>
      <c r="CY802" s="1350"/>
      <c r="CZ802" s="1348">
        <f>CZ753+CZ777+CZ797</f>
        <v>38</v>
      </c>
      <c r="DA802" s="1349"/>
      <c r="DB802" s="1349"/>
      <c r="DC802" s="1349"/>
      <c r="DD802" s="1350"/>
      <c r="DE802" s="1348">
        <f>DE753+DE777+DE797</f>
        <v>44</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273</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v>0</v>
      </c>
      <c r="AA808" s="1523"/>
      <c r="AB808" s="1523"/>
      <c r="AC808" s="1523"/>
      <c r="AD808" s="1523"/>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v>22800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5" t="s">
        <v>334</v>
      </c>
      <c r="Q816" s="1646"/>
      <c r="R816" s="1646"/>
      <c r="S816" s="1646"/>
      <c r="T816" s="1646"/>
      <c r="U816" s="1646"/>
      <c r="V816" s="1646"/>
      <c r="W816" s="1646"/>
      <c r="X816" s="1646"/>
      <c r="Y816" s="1647"/>
      <c r="Z816" s="1478"/>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22800</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5">
        <f>Z817+Y801+Z809</f>
        <v>3418020</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8" t="s">
        <v>126</v>
      </c>
      <c r="N823" s="1688"/>
      <c r="O823" s="1688"/>
      <c r="P823" s="1689"/>
      <c r="Q823" s="1624" t="s">
        <v>290</v>
      </c>
      <c r="R823" s="1624"/>
      <c r="S823" s="1624"/>
      <c r="T823" s="1624"/>
      <c r="U823" s="1624" t="s">
        <v>291</v>
      </c>
      <c r="V823" s="1624"/>
      <c r="W823" s="1624"/>
      <c r="X823" s="1624"/>
      <c r="Y823" s="1624" t="s">
        <v>292</v>
      </c>
      <c r="Z823" s="1624"/>
      <c r="AA823" s="1624"/>
      <c r="AB823" s="1624"/>
      <c r="AC823" s="1624" t="s">
        <v>361</v>
      </c>
      <c r="AD823" s="1624"/>
      <c r="AE823" s="1624"/>
      <c r="AF823" s="1624"/>
      <c r="AG823" s="1619" t="s">
        <v>335</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0"/>
      <c r="N824" s="1690"/>
      <c r="O824" s="1690"/>
      <c r="P824" s="1691"/>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6" t="s">
        <v>40</v>
      </c>
      <c r="D825" s="1486"/>
      <c r="E825" s="1486"/>
      <c r="F825" s="1486"/>
      <c r="G825" s="1486"/>
      <c r="H825" s="1486"/>
      <c r="I825" s="48"/>
      <c r="J825" s="48"/>
      <c r="K825" s="48"/>
      <c r="L825" s="49"/>
      <c r="M825" s="1603"/>
      <c r="N825" s="1603"/>
      <c r="O825" s="1603"/>
      <c r="P825" s="1603"/>
      <c r="Q825" s="1603"/>
      <c r="R825" s="1603"/>
      <c r="S825" s="1603"/>
      <c r="T825" s="1603"/>
      <c r="U825" s="1603"/>
      <c r="V825" s="1603"/>
      <c r="W825" s="1603"/>
      <c r="X825" s="1603"/>
      <c r="Y825" s="1603"/>
      <c r="Z825" s="1603"/>
      <c r="AA825" s="1603"/>
      <c r="AB825" s="1603"/>
      <c r="AC825" s="1493"/>
      <c r="AD825" s="1494"/>
      <c r="AE825" s="1494"/>
      <c r="AF825" s="1495"/>
      <c r="AG825" s="1493"/>
      <c r="AH825" s="1494"/>
      <c r="AI825" s="1494"/>
      <c r="AJ825" s="149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7" t="s">
        <v>41</v>
      </c>
      <c r="D826" s="1443"/>
      <c r="E826" s="1443"/>
      <c r="F826" s="1443"/>
      <c r="G826" s="1443"/>
      <c r="H826" s="1443"/>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3"/>
      <c r="AD826" s="1494"/>
      <c r="AE826" s="1494"/>
      <c r="AF826" s="1495"/>
      <c r="AG826" s="1493"/>
      <c r="AH826" s="1494"/>
      <c r="AI826" s="1494"/>
      <c r="AJ826" s="149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7" t="s">
        <v>42</v>
      </c>
      <c r="D827" s="1443"/>
      <c r="E827" s="1443"/>
      <c r="F827" s="1443"/>
      <c r="G827" s="1443"/>
      <c r="H827" s="1443"/>
      <c r="I827" s="60"/>
      <c r="J827" s="60"/>
      <c r="K827" s="60"/>
      <c r="L827" s="61"/>
      <c r="M827" s="1603"/>
      <c r="N827" s="1603"/>
      <c r="O827" s="1603"/>
      <c r="P827" s="1603"/>
      <c r="Q827" s="1603"/>
      <c r="R827" s="1603"/>
      <c r="S827" s="1603"/>
      <c r="T827" s="1603"/>
      <c r="U827" s="1603"/>
      <c r="V827" s="1603"/>
      <c r="W827" s="1603"/>
      <c r="X827" s="1603"/>
      <c r="Y827" s="1603"/>
      <c r="Z827" s="1603"/>
      <c r="AA827" s="1603"/>
      <c r="AB827" s="1603"/>
      <c r="AC827" s="1493"/>
      <c r="AD827" s="1494"/>
      <c r="AE827" s="1494"/>
      <c r="AF827" s="1495"/>
      <c r="AG827" s="1493"/>
      <c r="AH827" s="1494"/>
      <c r="AI827" s="1494"/>
      <c r="AJ827" s="149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7" t="s">
        <v>763</v>
      </c>
      <c r="D828" s="1443"/>
      <c r="E828" s="1443"/>
      <c r="F828" s="1443"/>
      <c r="G828" s="1443"/>
      <c r="H828" s="1443"/>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3"/>
      <c r="AD828" s="1494"/>
      <c r="AE828" s="1494"/>
      <c r="AF828" s="1495"/>
      <c r="AG828" s="1493"/>
      <c r="AH828" s="1494"/>
      <c r="AI828" s="1494"/>
      <c r="AJ828" s="149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7" t="s">
        <v>460</v>
      </c>
      <c r="D829" s="1443"/>
      <c r="E829" s="1443"/>
      <c r="F829" s="1443"/>
      <c r="G829" s="1443"/>
      <c r="H829" s="1443"/>
      <c r="I829" s="60"/>
      <c r="J829" s="60"/>
      <c r="K829" s="60"/>
      <c r="L829" s="61"/>
      <c r="M829" s="1603"/>
      <c r="N829" s="1603"/>
      <c r="O829" s="1603"/>
      <c r="P829" s="1603"/>
      <c r="Q829" s="1603"/>
      <c r="R829" s="1603"/>
      <c r="S829" s="1603"/>
      <c r="T829" s="1603"/>
      <c r="U829" s="1603"/>
      <c r="V829" s="1603"/>
      <c r="W829" s="1603"/>
      <c r="X829" s="1603"/>
      <c r="Y829" s="1603"/>
      <c r="Z829" s="1603"/>
      <c r="AA829" s="1603"/>
      <c r="AB829" s="1603"/>
      <c r="AC829" s="1493"/>
      <c r="AD829" s="1494"/>
      <c r="AE829" s="1494"/>
      <c r="AF829" s="1495"/>
      <c r="AG829" s="1493"/>
      <c r="AH829" s="1494"/>
      <c r="AI829" s="1494"/>
      <c r="AJ829" s="149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3" t="s">
        <v>784</v>
      </c>
      <c r="D830" s="1443"/>
      <c r="E830" s="1443"/>
      <c r="F830" s="1443"/>
      <c r="G830" s="1443"/>
      <c r="H830" s="1443"/>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3"/>
      <c r="AD830" s="1494"/>
      <c r="AE830" s="1494"/>
      <c r="AF830" s="1495"/>
      <c r="AG830" s="1493"/>
      <c r="AH830" s="1494"/>
      <c r="AI830" s="1494"/>
      <c r="AJ830" s="149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5" t="s">
        <v>2716</v>
      </c>
      <c r="G831" s="1646"/>
      <c r="H831" s="1646"/>
      <c r="I831" s="1646"/>
      <c r="J831" s="1646"/>
      <c r="K831" s="1646"/>
      <c r="L831" s="1646"/>
      <c r="M831" s="1603">
        <v>31</v>
      </c>
      <c r="N831" s="1603"/>
      <c r="O831" s="1603"/>
      <c r="P831" s="1603"/>
      <c r="Q831" s="1603">
        <v>36</v>
      </c>
      <c r="R831" s="1603"/>
      <c r="S831" s="1603"/>
      <c r="T831" s="1603"/>
      <c r="U831" s="1603">
        <v>44</v>
      </c>
      <c r="V831" s="1603"/>
      <c r="W831" s="1603"/>
      <c r="X831" s="1603"/>
      <c r="Y831" s="1603">
        <v>53</v>
      </c>
      <c r="Z831" s="1603"/>
      <c r="AA831" s="1603"/>
      <c r="AB831" s="1603"/>
      <c r="AC831" s="1493"/>
      <c r="AD831" s="1494"/>
      <c r="AE831" s="1494"/>
      <c r="AF831" s="1495"/>
      <c r="AG831" s="1493"/>
      <c r="AH831" s="1494"/>
      <c r="AI831" s="1494"/>
      <c r="AJ831" s="149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52">
        <f>SUM(M825:P831)</f>
        <v>31</v>
      </c>
      <c r="N832" s="1652"/>
      <c r="O832" s="1652"/>
      <c r="P832" s="1652"/>
      <c r="Q832" s="1652">
        <f>SUM(Q825:T831)</f>
        <v>36</v>
      </c>
      <c r="R832" s="1652"/>
      <c r="S832" s="1652"/>
      <c r="T832" s="1652"/>
      <c r="U832" s="1652">
        <f>SUM(U825:X831)</f>
        <v>44</v>
      </c>
      <c r="V832" s="1652"/>
      <c r="W832" s="1652"/>
      <c r="X832" s="1652"/>
      <c r="Y832" s="1652">
        <f>SUM(Y825:AB831)</f>
        <v>53</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8" t="s">
        <v>2728</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1">
        <v>5000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1">
        <v>10000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41">
        <v>20000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41">
        <v>25000</v>
      </c>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5" customHeight="1">
      <c r="J846" s="45" t="s">
        <v>170</v>
      </c>
      <c r="K846" s="5"/>
      <c r="L846" s="5"/>
      <c r="M846" s="1645" t="s">
        <v>334</v>
      </c>
      <c r="N846" s="1646"/>
      <c r="O846" s="1646"/>
      <c r="P846" s="1646"/>
      <c r="Q846" s="1646"/>
      <c r="R846" s="1646"/>
      <c r="S846" s="1646"/>
      <c r="T846" s="1646"/>
      <c r="U846" s="1646"/>
      <c r="V846" s="1647"/>
      <c r="W846" s="1641"/>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5">
        <f>SUM(W842:W846)</f>
        <v>60000</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7"/>
      <c r="BH848" s="1637"/>
      <c r="BI848" s="1637"/>
      <c r="BJ848" s="1637"/>
      <c r="BK848" s="1637"/>
      <c r="BL848" s="1637"/>
    </row>
    <row r="849" spans="3:55" ht="12.95" customHeight="1">
      <c r="C849" s="2" t="s">
        <v>344</v>
      </c>
      <c r="J849" s="1409" t="s">
        <v>345</v>
      </c>
      <c r="K849" s="1410"/>
      <c r="L849" s="1410"/>
      <c r="M849" s="1410"/>
      <c r="N849" s="1410"/>
      <c r="O849" s="1410"/>
      <c r="P849" s="1410"/>
      <c r="Q849" s="1410"/>
      <c r="R849" s="1410"/>
      <c r="S849" s="1410"/>
      <c r="T849" s="1410"/>
      <c r="U849" s="1410"/>
      <c r="V849" s="1412"/>
      <c r="W849" s="1478">
        <v>194827</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6"/>
      <c r="X851" s="1656"/>
      <c r="Y851" s="1656"/>
      <c r="Z851" s="1656"/>
      <c r="AA851" s="1656"/>
      <c r="AB851" s="1656"/>
      <c r="AC851" s="1656"/>
      <c r="AZ851" s="1623"/>
      <c r="BA851" s="1623"/>
      <c r="BB851" s="14"/>
      <c r="BC851" s="14"/>
    </row>
    <row r="852" spans="3:55" ht="12.95" customHeight="1">
      <c r="J852" s="45" t="s">
        <v>351</v>
      </c>
      <c r="K852" s="5"/>
      <c r="L852" s="5"/>
      <c r="M852" s="5"/>
      <c r="N852" s="5"/>
      <c r="O852" s="5"/>
      <c r="P852" s="5"/>
      <c r="Q852" s="5"/>
      <c r="R852" s="5"/>
      <c r="S852" s="5"/>
      <c r="T852" s="5"/>
      <c r="U852" s="5"/>
      <c r="V852" s="46"/>
      <c r="W852" s="1656"/>
      <c r="X852" s="1656"/>
      <c r="Y852" s="1656"/>
      <c r="Z852" s="1656"/>
      <c r="AA852" s="1656"/>
      <c r="AB852" s="1656"/>
      <c r="AC852" s="1656"/>
      <c r="AZ852" s="30"/>
      <c r="BA852" s="30"/>
      <c r="BB852" s="14"/>
      <c r="BC852" s="14"/>
    </row>
    <row r="853" spans="3:55" ht="12.95" customHeight="1">
      <c r="J853" s="45" t="s">
        <v>460</v>
      </c>
      <c r="K853" s="5"/>
      <c r="L853" s="5"/>
      <c r="M853" s="5"/>
      <c r="N853" s="5"/>
      <c r="O853" s="5"/>
      <c r="P853" s="5"/>
      <c r="Q853" s="5"/>
      <c r="R853" s="5"/>
      <c r="S853" s="5"/>
      <c r="T853" s="5"/>
      <c r="U853" s="5"/>
      <c r="V853" s="46"/>
      <c r="W853" s="1656">
        <v>50000</v>
      </c>
      <c r="X853" s="1656"/>
      <c r="Y853" s="1656"/>
      <c r="Z853" s="1656"/>
      <c r="AA853" s="1656"/>
      <c r="AB853" s="1656"/>
      <c r="AC853" s="1656"/>
      <c r="AZ853" s="30"/>
      <c r="BA853" s="30"/>
      <c r="BB853" s="14"/>
      <c r="BC853" s="14"/>
    </row>
    <row r="854" spans="3:55" ht="12.95" customHeight="1">
      <c r="J854" s="62" t="s">
        <v>621</v>
      </c>
      <c r="K854" s="5"/>
      <c r="L854" s="5"/>
      <c r="M854" s="5"/>
      <c r="N854" s="5"/>
      <c r="O854" s="5"/>
      <c r="P854" s="5"/>
      <c r="Q854" s="5"/>
      <c r="R854" s="5"/>
      <c r="S854" s="5"/>
      <c r="T854" s="5"/>
      <c r="U854" s="5"/>
      <c r="V854" s="46"/>
      <c r="W854" s="1656">
        <v>80000</v>
      </c>
      <c r="X854" s="1656"/>
      <c r="Y854" s="1656"/>
      <c r="Z854" s="1656"/>
      <c r="AA854" s="1656"/>
      <c r="AB854" s="1656"/>
      <c r="AC854" s="1656"/>
      <c r="AZ854" s="34"/>
      <c r="BA854" s="34"/>
      <c r="BB854" s="34"/>
      <c r="BC854" s="34"/>
    </row>
    <row r="855" spans="3:55" ht="12.95" customHeight="1">
      <c r="J855" s="63"/>
      <c r="K855" s="48"/>
      <c r="L855" s="48"/>
      <c r="M855" s="48"/>
      <c r="N855" s="48"/>
      <c r="O855" s="48"/>
      <c r="P855" s="48"/>
      <c r="Q855" s="48"/>
      <c r="R855" s="48"/>
      <c r="S855" s="48"/>
      <c r="T855" s="48"/>
      <c r="U855" s="48"/>
      <c r="V855" s="54" t="s">
        <v>272</v>
      </c>
      <c r="W855" s="1657">
        <f>SUM(W851:W854)</f>
        <v>130000</v>
      </c>
      <c r="X855" s="1657"/>
      <c r="Y855" s="1657"/>
      <c r="Z855" s="1657"/>
      <c r="AA855" s="1657"/>
      <c r="AB855" s="1657"/>
      <c r="AC855" s="165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3">
        <v>111668</v>
      </c>
      <c r="X857" s="1654"/>
      <c r="Y857" s="1654"/>
      <c r="Z857" s="1654"/>
      <c r="AA857" s="1654"/>
      <c r="AB857" s="1654"/>
      <c r="AC857" s="1655"/>
      <c r="AD857" s="528"/>
      <c r="AZ857" s="34"/>
      <c r="BA857" s="34"/>
      <c r="BB857" s="34"/>
      <c r="BC857" s="34"/>
    </row>
    <row r="858" spans="3:55" ht="12.95" customHeight="1">
      <c r="C858" s="2" t="s">
        <v>347</v>
      </c>
      <c r="J858" s="121" t="s">
        <v>1657</v>
      </c>
      <c r="K858" s="5"/>
      <c r="L858" s="5"/>
      <c r="M858" s="5"/>
      <c r="N858" s="5"/>
      <c r="O858" s="5"/>
      <c r="P858" s="5"/>
      <c r="Q858" s="5"/>
      <c r="R858" s="5"/>
      <c r="S858" s="5"/>
      <c r="T858" s="1639"/>
      <c r="U858" s="1602"/>
      <c r="V858" s="1640"/>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53"/>
      <c r="X859" s="1654"/>
      <c r="Y859" s="1654"/>
      <c r="Z859" s="1654"/>
      <c r="AA859" s="1654"/>
      <c r="AB859" s="1654"/>
      <c r="AC859" s="1655"/>
      <c r="AD859" s="533"/>
      <c r="AZ859" s="34"/>
      <c r="BA859" s="34"/>
      <c r="BB859" s="34"/>
      <c r="BC859" s="34"/>
    </row>
    <row r="860" spans="3:55" ht="12.95" customHeight="1">
      <c r="C860" s="2"/>
      <c r="J860" s="121" t="s">
        <v>1658</v>
      </c>
      <c r="K860" s="5"/>
      <c r="L860" s="5"/>
      <c r="M860" s="5"/>
      <c r="N860" s="5"/>
      <c r="O860" s="5"/>
      <c r="P860" s="5"/>
      <c r="Q860" s="5"/>
      <c r="R860" s="5"/>
      <c r="S860" s="5"/>
      <c r="T860" s="1639"/>
      <c r="U860" s="1602"/>
      <c r="V860" s="1640"/>
      <c r="W860" s="874"/>
      <c r="X860" s="875"/>
      <c r="Y860" s="875"/>
      <c r="Z860" s="875"/>
      <c r="AA860" s="875"/>
      <c r="AB860" s="875"/>
      <c r="AC860" s="876"/>
      <c r="AD860" s="533"/>
      <c r="AZ860" s="34"/>
      <c r="BA860" s="34"/>
      <c r="BB860" s="34"/>
      <c r="BC860" s="34"/>
    </row>
    <row r="861" spans="3:55" ht="12.95" customHeight="1">
      <c r="J861" s="45" t="s">
        <v>170</v>
      </c>
      <c r="K861" s="5"/>
      <c r="L861" s="5"/>
      <c r="M861" s="1645" t="s">
        <v>334</v>
      </c>
      <c r="N861" s="1646"/>
      <c r="O861" s="1646"/>
      <c r="P861" s="1646"/>
      <c r="Q861" s="1646"/>
      <c r="R861" s="1646"/>
      <c r="S861" s="1646"/>
      <c r="T861" s="1646"/>
      <c r="U861" s="1646"/>
      <c r="V861" s="1647"/>
      <c r="W861" s="1653"/>
      <c r="X861" s="1654"/>
      <c r="Y861" s="1654"/>
      <c r="Z861" s="1654"/>
      <c r="AA861" s="1654"/>
      <c r="AB861" s="1654"/>
      <c r="AC861" s="1655"/>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642">
        <f>SUM(W857:W861)</f>
        <v>111668</v>
      </c>
      <c r="X862" s="1643"/>
      <c r="Y862" s="1643"/>
      <c r="Z862" s="1643"/>
      <c r="AA862" s="1643"/>
      <c r="AB862" s="1643"/>
      <c r="AC862" s="164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53">
        <v>225000</v>
      </c>
      <c r="X863" s="1654"/>
      <c r="Y863" s="1654"/>
      <c r="Z863" s="1654"/>
      <c r="AA863" s="1654"/>
      <c r="AB863" s="1654"/>
      <c r="AC863" s="1655"/>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41">
        <v>5000</v>
      </c>
      <c r="X865" s="1641"/>
      <c r="Y865" s="1641"/>
      <c r="Z865" s="1641"/>
      <c r="AA865" s="1641"/>
      <c r="AB865" s="1641"/>
      <c r="AC865" s="1641"/>
      <c r="AU865" s="14"/>
      <c r="AZ865" s="34"/>
      <c r="BA865" s="34"/>
      <c r="BB865" s="34"/>
      <c r="BC865" s="34"/>
    </row>
    <row r="866" spans="3:55" ht="12.95" customHeight="1">
      <c r="J866" s="45" t="s">
        <v>523</v>
      </c>
      <c r="K866" s="5"/>
      <c r="L866" s="5"/>
      <c r="M866" s="5"/>
      <c r="N866" s="5"/>
      <c r="O866" s="5"/>
      <c r="P866" s="5"/>
      <c r="Q866" s="5"/>
      <c r="R866" s="5"/>
      <c r="S866" s="5"/>
      <c r="T866" s="5"/>
      <c r="U866" s="5"/>
      <c r="V866" s="46"/>
      <c r="W866" s="1641">
        <v>37021</v>
      </c>
      <c r="X866" s="1641"/>
      <c r="Y866" s="1641"/>
      <c r="Z866" s="1641"/>
      <c r="AA866" s="1641"/>
      <c r="AB866" s="1641"/>
      <c r="AC866" s="1641"/>
      <c r="AU866" s="4"/>
      <c r="AZ866" s="34"/>
      <c r="BA866" s="34"/>
      <c r="BB866" s="34"/>
      <c r="BC866" s="34"/>
    </row>
    <row r="867" spans="3:55" ht="12.95" customHeight="1">
      <c r="J867" s="45" t="s">
        <v>522</v>
      </c>
      <c r="K867" s="5"/>
      <c r="L867" s="5"/>
      <c r="M867" s="5"/>
      <c r="N867" s="5"/>
      <c r="O867" s="5"/>
      <c r="P867" s="5"/>
      <c r="Q867" s="5"/>
      <c r="R867" s="5"/>
      <c r="S867" s="5"/>
      <c r="T867" s="5"/>
      <c r="U867" s="5"/>
      <c r="V867" s="46"/>
      <c r="W867" s="1641">
        <v>30000</v>
      </c>
      <c r="X867" s="1641"/>
      <c r="Y867" s="1641"/>
      <c r="Z867" s="1641"/>
      <c r="AA867" s="1641"/>
      <c r="AB867" s="1641"/>
      <c r="AC867" s="1641"/>
      <c r="AU867" s="4"/>
      <c r="AZ867" s="34"/>
      <c r="BA867" s="34"/>
      <c r="BB867" s="34"/>
      <c r="BC867" s="34"/>
    </row>
    <row r="868" spans="3:55" ht="12.95" customHeight="1">
      <c r="J868" s="45" t="s">
        <v>521</v>
      </c>
      <c r="K868" s="5"/>
      <c r="L868" s="5"/>
      <c r="M868" s="5"/>
      <c r="N868" s="5"/>
      <c r="O868" s="5"/>
      <c r="P868" s="5"/>
      <c r="Q868" s="5"/>
      <c r="R868" s="5"/>
      <c r="S868" s="5"/>
      <c r="T868" s="5"/>
      <c r="U868" s="5"/>
      <c r="V868" s="46"/>
      <c r="W868" s="1641">
        <f>796668-793516</f>
        <v>3152</v>
      </c>
      <c r="X868" s="1641"/>
      <c r="Y868" s="1641"/>
      <c r="Z868" s="1641"/>
      <c r="AA868" s="1641"/>
      <c r="AB868" s="1641"/>
      <c r="AC868" s="1641"/>
      <c r="AU868" s="4"/>
      <c r="AZ868" s="34"/>
      <c r="BA868" s="34"/>
      <c r="BB868" s="34"/>
      <c r="BC868" s="34"/>
    </row>
    <row r="869" spans="3:55" ht="12.95" customHeight="1">
      <c r="J869" s="45" t="s">
        <v>520</v>
      </c>
      <c r="K869" s="5"/>
      <c r="L869" s="5"/>
      <c r="M869" s="5"/>
      <c r="N869" s="5"/>
      <c r="O869" s="5"/>
      <c r="P869" s="5"/>
      <c r="Q869" s="5"/>
      <c r="R869" s="5"/>
      <c r="S869" s="5"/>
      <c r="T869" s="5"/>
      <c r="U869" s="5"/>
      <c r="V869" s="46"/>
      <c r="W869" s="1641"/>
      <c r="X869" s="1641"/>
      <c r="Y869" s="1641"/>
      <c r="Z869" s="1641"/>
      <c r="AA869" s="1641"/>
      <c r="AB869" s="1641"/>
      <c r="AC869" s="1641"/>
      <c r="AU869" s="4"/>
      <c r="AZ869" s="34"/>
      <c r="BA869" s="34"/>
      <c r="BB869" s="34"/>
      <c r="BC869" s="34"/>
    </row>
    <row r="870" spans="3:55" ht="12.95" customHeight="1">
      <c r="J870" s="45" t="s">
        <v>519</v>
      </c>
      <c r="K870" s="5"/>
      <c r="L870" s="5"/>
      <c r="M870" s="5"/>
      <c r="N870" s="5"/>
      <c r="O870" s="5"/>
      <c r="P870" s="5"/>
      <c r="Q870" s="5"/>
      <c r="R870" s="5"/>
      <c r="S870" s="5"/>
      <c r="T870" s="5"/>
      <c r="U870" s="5"/>
      <c r="V870" s="46"/>
      <c r="W870" s="1641"/>
      <c r="X870" s="1641"/>
      <c r="Y870" s="1641"/>
      <c r="Z870" s="1641"/>
      <c r="AA870" s="1641"/>
      <c r="AB870" s="1641"/>
      <c r="AC870" s="1641"/>
      <c r="AU870" s="4"/>
      <c r="AZ870" s="34"/>
      <c r="BA870" s="34"/>
      <c r="BB870" s="34"/>
      <c r="BC870" s="34"/>
    </row>
    <row r="871" spans="3:55" ht="12.95" customHeight="1">
      <c r="J871" s="45" t="s">
        <v>170</v>
      </c>
      <c r="K871" s="5"/>
      <c r="L871" s="5"/>
      <c r="M871" s="1645" t="s">
        <v>334</v>
      </c>
      <c r="N871" s="1646"/>
      <c r="O871" s="1646"/>
      <c r="P871" s="1646"/>
      <c r="Q871" s="1646"/>
      <c r="R871" s="1646"/>
      <c r="S871" s="1646"/>
      <c r="T871" s="1646"/>
      <c r="U871" s="1646"/>
      <c r="V871" s="1647"/>
      <c r="W871" s="1641"/>
      <c r="X871" s="1641"/>
      <c r="Y871" s="1641"/>
      <c r="Z871" s="1641"/>
      <c r="AA871" s="1641"/>
      <c r="AB871" s="1641"/>
      <c r="AC871" s="164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4">
        <f>SUM(W865:W871)</f>
        <v>75173</v>
      </c>
      <c r="X872" s="1604"/>
      <c r="Y872" s="1604"/>
      <c r="Z872" s="1604"/>
      <c r="AA872" s="1604"/>
      <c r="AB872" s="1604"/>
      <c r="AC872" s="16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1245</v>
      </c>
      <c r="J874" s="45" t="s">
        <v>170</v>
      </c>
      <c r="K874" s="5"/>
      <c r="L874" s="5"/>
      <c r="M874" s="1645" t="s">
        <v>334</v>
      </c>
      <c r="N874" s="1646"/>
      <c r="O874" s="1646"/>
      <c r="P874" s="1646"/>
      <c r="Q874" s="1646"/>
      <c r="R874" s="1646"/>
      <c r="S874" s="1646"/>
      <c r="T874" s="1646"/>
      <c r="U874" s="1646"/>
      <c r="V874" s="1647"/>
      <c r="W874" s="1478"/>
      <c r="X874" s="1338"/>
      <c r="Y874" s="1338"/>
      <c r="Z874" s="1338"/>
      <c r="AA874" s="1338"/>
      <c r="AB874" s="1338"/>
      <c r="AC874" s="1339"/>
      <c r="AD874" s="533"/>
      <c r="AV874" s="14"/>
      <c r="AW874" s="14"/>
      <c r="AX874" s="14"/>
      <c r="AY874" s="14"/>
      <c r="AZ874" s="34"/>
      <c r="BA874" s="34"/>
      <c r="BB874" s="34"/>
      <c r="BC874" s="34"/>
    </row>
    <row r="875" spans="3:55" ht="12.95" customHeight="1">
      <c r="C875" s="2" t="s">
        <v>1246</v>
      </c>
      <c r="J875" s="45" t="s">
        <v>170</v>
      </c>
      <c r="K875" s="5"/>
      <c r="L875" s="5"/>
      <c r="M875" s="1645" t="s">
        <v>334</v>
      </c>
      <c r="N875" s="1646"/>
      <c r="O875" s="1646"/>
      <c r="P875" s="1646"/>
      <c r="Q875" s="1646"/>
      <c r="R875" s="1646"/>
      <c r="S875" s="1646"/>
      <c r="T875" s="1646"/>
      <c r="U875" s="1646"/>
      <c r="V875" s="1647"/>
      <c r="W875" s="1478"/>
      <c r="X875" s="1338"/>
      <c r="Y875" s="1338"/>
      <c r="Z875" s="1338"/>
      <c r="AA875" s="1338"/>
      <c r="AB875" s="1338"/>
      <c r="AC875" s="1339"/>
      <c r="AD875" s="533"/>
      <c r="AV875" s="14"/>
      <c r="AW875" s="14"/>
      <c r="AX875" s="14"/>
      <c r="AY875" s="14"/>
      <c r="AZ875" s="34"/>
      <c r="BA875" s="34"/>
      <c r="BB875" s="34"/>
      <c r="BC875" s="34"/>
    </row>
    <row r="876" spans="3:55" ht="12.95" customHeight="1">
      <c r="J876" s="45" t="s">
        <v>170</v>
      </c>
      <c r="K876" s="5"/>
      <c r="L876" s="5"/>
      <c r="M876" s="1645" t="s">
        <v>334</v>
      </c>
      <c r="N876" s="1646"/>
      <c r="O876" s="1646"/>
      <c r="P876" s="1646"/>
      <c r="Q876" s="1646"/>
      <c r="R876" s="1646"/>
      <c r="S876" s="1646"/>
      <c r="T876" s="1646"/>
      <c r="U876" s="1646"/>
      <c r="V876" s="1647"/>
      <c r="W876" s="1478"/>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5" t="s">
        <v>334</v>
      </c>
      <c r="N877" s="1646"/>
      <c r="O877" s="1646"/>
      <c r="P877" s="1646"/>
      <c r="Q877" s="1646"/>
      <c r="R877" s="1646"/>
      <c r="S877" s="1646"/>
      <c r="T877" s="1646"/>
      <c r="U877" s="1646"/>
      <c r="V877" s="1647"/>
      <c r="W877" s="1478"/>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5" t="s">
        <v>334</v>
      </c>
      <c r="N878" s="1646"/>
      <c r="O878" s="1646"/>
      <c r="P878" s="1646"/>
      <c r="Q878" s="1646"/>
      <c r="R878" s="1646"/>
      <c r="S878" s="1646"/>
      <c r="T878" s="1646"/>
      <c r="U878" s="1646"/>
      <c r="V878" s="1647"/>
      <c r="W878" s="1478"/>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5">
        <f>SUM(W874:W878)</f>
        <v>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6">
        <f>W847+W855+W862+W863+W872+W879+W849</f>
        <v>796668</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8">
        <f>O797+O777+G753</f>
        <v>150</v>
      </c>
      <c r="AD884" s="1648"/>
      <c r="AE884" s="1648"/>
      <c r="AF884" s="1648"/>
      <c r="AG884" s="1648"/>
      <c r="AH884" s="1649"/>
      <c r="AL884" s="4"/>
      <c r="AM884" s="4"/>
      <c r="AN884" s="4"/>
      <c r="AO884" s="4"/>
      <c r="AP884" s="4"/>
      <c r="AQ884" s="4"/>
      <c r="AR884" s="4"/>
      <c r="AS884" s="4"/>
      <c r="AT884" s="4"/>
      <c r="AZ884" s="34"/>
      <c r="BA884" s="34"/>
      <c r="BB884" s="34"/>
      <c r="BC884" s="34"/>
    </row>
    <row r="885" spans="3:55" ht="12.95"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4">
        <f>IF(ISERROR((ROUNDDOWN(AC883/AC884,0))),0,(ROUNDDOWN(AC883/AC884,0)))</f>
        <v>5311</v>
      </c>
      <c r="AD885" s="1604"/>
      <c r="AE885" s="1604"/>
      <c r="AF885" s="1604"/>
      <c r="AG885" s="1604"/>
      <c r="AH885" s="16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0">
        <f>+'Sources and Uses Budget'!C75</f>
        <v>733586</v>
      </c>
      <c r="AD886" s="1651"/>
      <c r="AE886" s="1651"/>
      <c r="AF886" s="1651"/>
      <c r="AG886" s="1651"/>
      <c r="AH886" s="1651"/>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41"/>
      <c r="AE887" s="1641"/>
      <c r="AF887" s="1641"/>
      <c r="AG887" s="1641"/>
      <c r="AH887" s="164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15000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37500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93"/>
      <c r="AD890" s="1494"/>
      <c r="AE890" s="1494"/>
      <c r="AF890" s="1494"/>
      <c r="AG890" s="1494"/>
      <c r="AH890" s="149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5" hidden="1" customHeight="1">
      <c r="C892" s="1409" t="s">
        <v>2234</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338"/>
      <c r="AD893" s="1338"/>
      <c r="AE893" s="1338"/>
      <c r="AF893" s="1338"/>
      <c r="AG893" s="1338"/>
      <c r="AH893" s="1339"/>
      <c r="AZ893" s="34"/>
      <c r="BA893" s="34"/>
      <c r="BB893" s="34"/>
      <c r="BC893" s="34"/>
    </row>
    <row r="894" spans="3:55" ht="12.95" customHeight="1">
      <c r="C894" s="1668" t="s">
        <v>957</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1"/>
      <c r="AD894" s="1641"/>
      <c r="AE894" s="1641"/>
      <c r="AF894" s="1641"/>
      <c r="AG894" s="1641"/>
      <c r="AH894" s="1641"/>
      <c r="AZ894" s="34"/>
      <c r="BA894" s="34"/>
      <c r="BB894" s="34"/>
      <c r="BC894" s="34"/>
    </row>
    <row r="895" spans="3:55" ht="12.95" customHeight="1">
      <c r="C895" s="1668" t="s">
        <v>957</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1"/>
      <c r="AD895" s="1641"/>
      <c r="AE895" s="1641"/>
      <c r="AF895" s="1641"/>
      <c r="AG895" s="1641"/>
      <c r="AH895" s="164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8"/>
      <c r="AA899" s="1338"/>
      <c r="AB899" s="1338"/>
      <c r="AC899" s="1338"/>
      <c r="AD899" s="1338"/>
      <c r="AE899" s="1339"/>
      <c r="AF899" s="533"/>
      <c r="AZ899" s="34"/>
      <c r="BB899" s="30"/>
      <c r="BC899" s="816"/>
      <c r="BD899" s="1638"/>
      <c r="BE899" s="163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8"/>
      <c r="AA900" s="1338"/>
      <c r="AB900" s="1338"/>
      <c r="AC900" s="1338"/>
      <c r="AD900" s="1338"/>
      <c r="AE900" s="1339"/>
      <c r="AZ900" s="34"/>
      <c r="BB900" s="30"/>
      <c r="BC900" s="816"/>
      <c r="BD900" s="1638"/>
      <c r="BE900" s="163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8"/>
      <c r="AA901" s="1338"/>
      <c r="AB901" s="1338"/>
      <c r="AC901" s="1338"/>
      <c r="AD901" s="1338"/>
      <c r="AE901" s="1339"/>
      <c r="AZ901" s="34"/>
      <c r="BB901" s="30"/>
      <c r="BC901" s="816"/>
      <c r="BD901" s="1637"/>
      <c r="BE901" s="163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5">
        <f>Z899-(Z900+Z901)</f>
        <v>0</v>
      </c>
      <c r="AA902" s="1476"/>
      <c r="AB902" s="1476"/>
      <c r="AC902" s="1476"/>
      <c r="AD902" s="1476"/>
      <c r="AE902" s="1477"/>
      <c r="AZ902" s="34"/>
      <c r="BB902" s="30"/>
      <c r="BC902" s="816"/>
      <c r="BD902" s="1637"/>
      <c r="BE902" s="163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2.95" customHeight="1">
      <c r="AZ909" s="34"/>
      <c r="BB909" s="30"/>
      <c r="BC909" s="816"/>
    </row>
    <row r="910" spans="1:58" ht="12.95"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8"/>
      <c r="BE910" s="1637"/>
      <c r="BF910" s="911"/>
    </row>
    <row r="911" spans="1:58" ht="12.95"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3" t="s">
        <v>793</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2.95" customHeight="1">
      <c r="B916" s="2"/>
      <c r="F916" s="1757" t="s">
        <v>819</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2.95"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2" t="s">
        <v>391</v>
      </c>
      <c r="AC917" s="1432"/>
      <c r="AD917" s="1432"/>
      <c r="AE917" s="1432"/>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31" t="s">
        <v>546</v>
      </c>
      <c r="V918" s="1428"/>
      <c r="W918" s="1428"/>
      <c r="X918" s="1428"/>
      <c r="Y918" s="1428"/>
      <c r="Z918" s="1429"/>
      <c r="AA918" s="1635">
        <f>+AM554+AM556</f>
        <v>24349851</v>
      </c>
      <c r="AB918" s="1527"/>
      <c r="AC918" s="1527"/>
      <c r="AD918" s="1527"/>
      <c r="AE918" s="1527"/>
      <c r="AF918" s="1636"/>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31" t="s">
        <v>546</v>
      </c>
      <c r="V919" s="1428"/>
      <c r="W919" s="1428"/>
      <c r="X919" s="1428"/>
      <c r="Y919" s="1428"/>
      <c r="Z919" s="1429"/>
      <c r="AA919" s="1635">
        <f>+AM555</f>
        <v>28859761</v>
      </c>
      <c r="AB919" s="1527"/>
      <c r="AC919" s="1527"/>
      <c r="AD919" s="1527"/>
      <c r="AE919" s="1527"/>
      <c r="AF919" s="1636"/>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31" t="s">
        <v>592</v>
      </c>
      <c r="V920" s="1428"/>
      <c r="W920" s="1428"/>
      <c r="X920" s="1428"/>
      <c r="Y920" s="1428"/>
      <c r="Z920" s="1429"/>
      <c r="AA920" s="1635"/>
      <c r="AB920" s="1527"/>
      <c r="AC920" s="1527"/>
      <c r="AD920" s="1527"/>
      <c r="AE920" s="1527"/>
      <c r="AF920" s="1636"/>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31" t="s">
        <v>592</v>
      </c>
      <c r="V921" s="1428"/>
      <c r="W921" s="1428"/>
      <c r="X921" s="1428"/>
      <c r="Y921" s="1428"/>
      <c r="Z921" s="1429"/>
      <c r="AA921" s="1635"/>
      <c r="AB921" s="1527"/>
      <c r="AC921" s="1527"/>
      <c r="AD921" s="1527"/>
      <c r="AE921" s="1527"/>
      <c r="AF921" s="1636"/>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31" t="s">
        <v>592</v>
      </c>
      <c r="V922" s="1428"/>
      <c r="W922" s="1428"/>
      <c r="X922" s="1428"/>
      <c r="Y922" s="1428"/>
      <c r="Z922" s="1429"/>
      <c r="AA922" s="1635"/>
      <c r="AB922" s="1527"/>
      <c r="AC922" s="1527"/>
      <c r="AD922" s="1527"/>
      <c r="AE922" s="1527"/>
      <c r="AF922" s="1636"/>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31" t="s">
        <v>592</v>
      </c>
      <c r="V923" s="1428"/>
      <c r="W923" s="1428"/>
      <c r="X923" s="1428"/>
      <c r="Y923" s="1428"/>
      <c r="Z923" s="1429"/>
      <c r="AA923" s="1635"/>
      <c r="AB923" s="1527"/>
      <c r="AC923" s="1527"/>
      <c r="AD923" s="1527"/>
      <c r="AE923" s="1527"/>
      <c r="AF923" s="1636"/>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31" t="s">
        <v>592</v>
      </c>
      <c r="V924" s="1428"/>
      <c r="W924" s="1428"/>
      <c r="X924" s="1428"/>
      <c r="Y924" s="1428"/>
      <c r="Z924" s="1429"/>
      <c r="AA924" s="1635"/>
      <c r="AB924" s="1527"/>
      <c r="AC924" s="1527"/>
      <c r="AD924" s="1527"/>
      <c r="AE924" s="1527"/>
      <c r="AF924" s="1636"/>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31" t="s">
        <v>592</v>
      </c>
      <c r="V925" s="1428"/>
      <c r="W925" s="1428"/>
      <c r="X925" s="1428"/>
      <c r="Y925" s="1428"/>
      <c r="Z925" s="1429"/>
      <c r="AA925" s="1635"/>
      <c r="AB925" s="1527"/>
      <c r="AC925" s="1527"/>
      <c r="AD925" s="1527"/>
      <c r="AE925" s="1527"/>
      <c r="AF925" s="1636"/>
      <c r="AZ925" s="34"/>
      <c r="BA925" s="34"/>
      <c r="BB925" s="34"/>
      <c r="BC925" s="34"/>
    </row>
    <row r="926" spans="1:58" ht="12.95" customHeight="1">
      <c r="F926" s="1628" t="s">
        <v>2194</v>
      </c>
      <c r="G926" s="1629"/>
      <c r="H926" s="1629"/>
      <c r="I926" s="1629"/>
      <c r="J926" s="1629"/>
      <c r="K926" s="1629"/>
      <c r="L926" s="1629"/>
      <c r="M926" s="1629"/>
      <c r="N926" s="1629"/>
      <c r="O926" s="1629"/>
      <c r="P926" s="1629"/>
      <c r="Q926" s="1629"/>
      <c r="R926" s="1629"/>
      <c r="S926" s="1629"/>
      <c r="T926" s="1630"/>
      <c r="U926" s="1631" t="s">
        <v>592</v>
      </c>
      <c r="V926" s="1428"/>
      <c r="W926" s="1428"/>
      <c r="X926" s="1428"/>
      <c r="Y926" s="1428"/>
      <c r="Z926" s="1429"/>
      <c r="AA926" s="1635"/>
      <c r="AB926" s="1527"/>
      <c r="AC926" s="1527"/>
      <c r="AD926" s="1527"/>
      <c r="AE926" s="1527"/>
      <c r="AF926" s="1636"/>
      <c r="AZ926" s="34"/>
      <c r="BA926" s="34"/>
      <c r="BB926" s="34"/>
      <c r="BC926" s="34"/>
    </row>
    <row r="927" spans="1:58" ht="12.95" customHeight="1">
      <c r="F927" s="1628" t="s">
        <v>680</v>
      </c>
      <c r="G927" s="1629"/>
      <c r="H927" s="1629"/>
      <c r="I927" s="1629"/>
      <c r="J927" s="1629"/>
      <c r="K927" s="1629"/>
      <c r="L927" s="1629"/>
      <c r="M927" s="1629"/>
      <c r="N927" s="1629"/>
      <c r="O927" s="1629"/>
      <c r="P927" s="1629"/>
      <c r="Q927" s="1629"/>
      <c r="R927" s="1629"/>
      <c r="S927" s="1629"/>
      <c r="T927" s="1630"/>
      <c r="U927" s="1631" t="s">
        <v>592</v>
      </c>
      <c r="V927" s="1428"/>
      <c r="W927" s="1428"/>
      <c r="X927" s="1428"/>
      <c r="Y927" s="1428"/>
      <c r="Z927" s="1429"/>
      <c r="AA927" s="1635"/>
      <c r="AB927" s="1527"/>
      <c r="AC927" s="1527"/>
      <c r="AD927" s="1527"/>
      <c r="AE927" s="1527"/>
      <c r="AF927" s="1636"/>
      <c r="AU927" s="2"/>
      <c r="AZ927" s="34"/>
      <c r="BA927" s="34"/>
      <c r="BB927" s="34"/>
      <c r="BC927" s="34"/>
    </row>
    <row r="928" spans="1:58" ht="12.95" customHeight="1">
      <c r="F928" s="1628" t="s">
        <v>2195</v>
      </c>
      <c r="G928" s="1629"/>
      <c r="H928" s="1629"/>
      <c r="I928" s="1629"/>
      <c r="J928" s="1629"/>
      <c r="K928" s="1629"/>
      <c r="L928" s="1629"/>
      <c r="M928" s="1629"/>
      <c r="N928" s="1629"/>
      <c r="O928" s="1629"/>
      <c r="P928" s="1629"/>
      <c r="Q928" s="1629"/>
      <c r="R928" s="1629"/>
      <c r="S928" s="1629"/>
      <c r="T928" s="1630"/>
      <c r="U928" s="1631" t="s">
        <v>592</v>
      </c>
      <c r="V928" s="1428"/>
      <c r="W928" s="1428"/>
      <c r="X928" s="1428"/>
      <c r="Y928" s="1428"/>
      <c r="Z928" s="1429"/>
      <c r="AA928" s="1635"/>
      <c r="AB928" s="1527"/>
      <c r="AC928" s="1527"/>
      <c r="AD928" s="1527"/>
      <c r="AE928" s="1527"/>
      <c r="AF928" s="1636"/>
      <c r="AU928" s="2"/>
      <c r="AZ928" s="34"/>
      <c r="BA928" s="34"/>
      <c r="BB928" s="34"/>
      <c r="BC928" s="34"/>
    </row>
    <row r="929" spans="6:55" ht="12.95" customHeight="1">
      <c r="F929" s="1628" t="s">
        <v>2196</v>
      </c>
      <c r="G929" s="1629"/>
      <c r="H929" s="1629"/>
      <c r="I929" s="1629"/>
      <c r="J929" s="1629"/>
      <c r="K929" s="1629"/>
      <c r="L929" s="1629"/>
      <c r="M929" s="1629"/>
      <c r="N929" s="1629"/>
      <c r="O929" s="1629"/>
      <c r="P929" s="1629"/>
      <c r="Q929" s="1629"/>
      <c r="R929" s="1629"/>
      <c r="S929" s="1629"/>
      <c r="T929" s="1630"/>
      <c r="U929" s="1631" t="s">
        <v>592</v>
      </c>
      <c r="V929" s="1428"/>
      <c r="W929" s="1428"/>
      <c r="X929" s="1428"/>
      <c r="Y929" s="1428"/>
      <c r="Z929" s="1429"/>
      <c r="AA929" s="1635"/>
      <c r="AB929" s="1527"/>
      <c r="AC929" s="1527"/>
      <c r="AD929" s="1527"/>
      <c r="AE929" s="1527"/>
      <c r="AF929" s="1636"/>
      <c r="AU929" s="2"/>
      <c r="AZ929" s="34"/>
      <c r="BA929" s="34"/>
      <c r="BB929" s="34"/>
      <c r="BC929" s="34"/>
    </row>
    <row r="930" spans="6:55" ht="12.95" customHeight="1">
      <c r="F930" s="1628" t="s">
        <v>2197</v>
      </c>
      <c r="G930" s="1629"/>
      <c r="H930" s="1629"/>
      <c r="I930" s="1629"/>
      <c r="J930" s="1629"/>
      <c r="K930" s="1629"/>
      <c r="L930" s="1629"/>
      <c r="M930" s="1629"/>
      <c r="N930" s="1629"/>
      <c r="O930" s="1629"/>
      <c r="P930" s="1629"/>
      <c r="Q930" s="1629"/>
      <c r="R930" s="1629"/>
      <c r="S930" s="1629"/>
      <c r="T930" s="1630"/>
      <c r="U930" s="1631" t="s">
        <v>592</v>
      </c>
      <c r="V930" s="1428"/>
      <c r="W930" s="1428"/>
      <c r="X930" s="1428"/>
      <c r="Y930" s="1428"/>
      <c r="Z930" s="1429"/>
      <c r="AA930" s="1635"/>
      <c r="AB930" s="1527"/>
      <c r="AC930" s="1527"/>
      <c r="AD930" s="1527"/>
      <c r="AE930" s="1527"/>
      <c r="AF930" s="1636"/>
      <c r="AU930" s="2"/>
      <c r="AZ930" s="34"/>
      <c r="BA930" s="34"/>
      <c r="BB930" s="34"/>
      <c r="BC930" s="34"/>
    </row>
    <row r="931" spans="6:55" ht="12.95" customHeight="1">
      <c r="F931" s="1628" t="s">
        <v>2198</v>
      </c>
      <c r="G931" s="1629"/>
      <c r="H931" s="1629"/>
      <c r="I931" s="1629"/>
      <c r="J931" s="1629"/>
      <c r="K931" s="1629"/>
      <c r="L931" s="1629"/>
      <c r="M931" s="1629"/>
      <c r="N931" s="1629"/>
      <c r="O931" s="1629"/>
      <c r="P931" s="1629"/>
      <c r="Q931" s="1629"/>
      <c r="R931" s="1629"/>
      <c r="S931" s="1629"/>
      <c r="T931" s="1630"/>
      <c r="U931" s="1631" t="s">
        <v>592</v>
      </c>
      <c r="V931" s="1428"/>
      <c r="W931" s="1428"/>
      <c r="X931" s="1428"/>
      <c r="Y931" s="1428"/>
      <c r="Z931" s="1429"/>
      <c r="AA931" s="1635"/>
      <c r="AB931" s="1527"/>
      <c r="AC931" s="1527"/>
      <c r="AD931" s="1527"/>
      <c r="AE931" s="1527"/>
      <c r="AF931" s="1636"/>
      <c r="AU931" s="2"/>
      <c r="AZ931" s="34"/>
      <c r="BA931" s="34"/>
      <c r="BB931" s="34"/>
      <c r="BC931" s="34"/>
    </row>
    <row r="932" spans="6:55" ht="12.95" customHeight="1">
      <c r="F932" s="1628" t="s">
        <v>2199</v>
      </c>
      <c r="G932" s="1629"/>
      <c r="H932" s="1629"/>
      <c r="I932" s="1629"/>
      <c r="J932" s="1629"/>
      <c r="K932" s="1629"/>
      <c r="L932" s="1629"/>
      <c r="M932" s="1629"/>
      <c r="N932" s="1629"/>
      <c r="O932" s="1629"/>
      <c r="P932" s="1629"/>
      <c r="Q932" s="1629"/>
      <c r="R932" s="1629"/>
      <c r="S932" s="1629"/>
      <c r="T932" s="1630"/>
      <c r="U932" s="1631" t="s">
        <v>592</v>
      </c>
      <c r="V932" s="1428"/>
      <c r="W932" s="1428"/>
      <c r="X932" s="1428"/>
      <c r="Y932" s="1428"/>
      <c r="Z932" s="1429"/>
      <c r="AA932" s="1635"/>
      <c r="AB932" s="1527"/>
      <c r="AC932" s="1527"/>
      <c r="AD932" s="1527"/>
      <c r="AE932" s="1527"/>
      <c r="AF932" s="1636"/>
      <c r="AZ932" s="30"/>
      <c r="BA932" s="30"/>
    </row>
    <row r="933" spans="6:55" ht="12.95" customHeight="1">
      <c r="F933" s="178" t="s">
        <v>677</v>
      </c>
      <c r="G933" s="5"/>
      <c r="H933" s="5"/>
      <c r="I933" s="5"/>
      <c r="J933" s="5"/>
      <c r="K933" s="5"/>
      <c r="L933" s="5"/>
      <c r="M933" s="5"/>
      <c r="N933" s="5"/>
      <c r="O933" s="5"/>
      <c r="P933" s="5"/>
      <c r="Q933" s="5"/>
      <c r="R933" s="5"/>
      <c r="S933" s="5"/>
      <c r="T933" s="46"/>
      <c r="U933" s="1631" t="s">
        <v>592</v>
      </c>
      <c r="V933" s="1428"/>
      <c r="W933" s="1428"/>
      <c r="X933" s="1428"/>
      <c r="Y933" s="1428"/>
      <c r="Z933" s="1429"/>
      <c r="AA933" s="1635"/>
      <c r="AB933" s="1527"/>
      <c r="AC933" s="1527"/>
      <c r="AD933" s="1527"/>
      <c r="AE933" s="1527"/>
      <c r="AF933" s="1636"/>
    </row>
    <row r="934" spans="6:55" ht="12.95" customHeight="1">
      <c r="F934" s="121" t="s">
        <v>1279</v>
      </c>
      <c r="G934" s="5"/>
      <c r="H934" s="5"/>
      <c r="I934" s="5"/>
      <c r="J934" s="5"/>
      <c r="K934" s="5"/>
      <c r="L934" s="5"/>
      <c r="M934" s="5"/>
      <c r="N934" s="5"/>
      <c r="O934" s="5"/>
      <c r="P934" s="5"/>
      <c r="Q934" s="5"/>
      <c r="R934" s="5"/>
      <c r="S934" s="5"/>
      <c r="T934" s="46"/>
      <c r="U934" s="1631" t="s">
        <v>592</v>
      </c>
      <c r="V934" s="1428"/>
      <c r="W934" s="1428"/>
      <c r="X934" s="1428"/>
      <c r="Y934" s="1428"/>
      <c r="Z934" s="1429"/>
      <c r="AA934" s="1635"/>
      <c r="AB934" s="1527"/>
      <c r="AC934" s="1527"/>
      <c r="AD934" s="1527"/>
      <c r="AE934" s="1527"/>
      <c r="AF934" s="1636"/>
      <c r="AZ934" s="30"/>
      <c r="BA934" s="14"/>
    </row>
    <row r="935" spans="6:55" ht="12.95" customHeight="1">
      <c r="F935" s="66" t="s">
        <v>803</v>
      </c>
      <c r="G935" s="5"/>
      <c r="H935" s="5"/>
      <c r="I935" s="5"/>
      <c r="J935" s="5"/>
      <c r="K935" s="5"/>
      <c r="L935" s="5"/>
      <c r="M935" s="5"/>
      <c r="N935" s="5"/>
      <c r="O935" s="5"/>
      <c r="P935" s="5"/>
      <c r="Q935" s="5"/>
      <c r="R935" s="5"/>
      <c r="S935" s="5"/>
      <c r="T935" s="46"/>
      <c r="U935" s="1631" t="s">
        <v>592</v>
      </c>
      <c r="V935" s="1428"/>
      <c r="W935" s="1428"/>
      <c r="X935" s="1428"/>
      <c r="Y935" s="1428"/>
      <c r="Z935" s="1429"/>
      <c r="AA935" s="1635"/>
      <c r="AB935" s="1527"/>
      <c r="AC935" s="1527"/>
      <c r="AD935" s="1527"/>
      <c r="AE935" s="1527"/>
      <c r="AF935" s="1636"/>
      <c r="AZ935" s="30"/>
      <c r="BA935" s="14"/>
    </row>
    <row r="936" spans="6:55" ht="12.95" customHeight="1">
      <c r="F936" s="1632" t="s">
        <v>2203</v>
      </c>
      <c r="G936" s="1633"/>
      <c r="H936" s="1633"/>
      <c r="I936" s="1633"/>
      <c r="J936" s="1633"/>
      <c r="K936" s="1633"/>
      <c r="L936" s="1633"/>
      <c r="M936" s="1633"/>
      <c r="N936" s="1633"/>
      <c r="O936" s="1633"/>
      <c r="P936" s="1633"/>
      <c r="Q936" s="1633"/>
      <c r="R936" s="1633"/>
      <c r="S936" s="1633"/>
      <c r="T936" s="1634"/>
      <c r="U936" s="1631" t="s">
        <v>592</v>
      </c>
      <c r="V936" s="1428"/>
      <c r="W936" s="1428"/>
      <c r="X936" s="1428"/>
      <c r="Y936" s="1428"/>
      <c r="Z936" s="1429"/>
      <c r="AA936" s="1635"/>
      <c r="AB936" s="1527"/>
      <c r="AC936" s="1527"/>
      <c r="AD936" s="1527"/>
      <c r="AE936" s="1527"/>
      <c r="AF936" s="1636"/>
      <c r="AZ936" s="30"/>
      <c r="BA936" s="14"/>
    </row>
    <row r="937" spans="6:55" ht="12.95" customHeight="1">
      <c r="F937" s="1632" t="s">
        <v>2204</v>
      </c>
      <c r="G937" s="1633"/>
      <c r="H937" s="1633"/>
      <c r="I937" s="1633"/>
      <c r="J937" s="1633"/>
      <c r="K937" s="1633"/>
      <c r="L937" s="1633"/>
      <c r="M937" s="1633"/>
      <c r="N937" s="1633"/>
      <c r="O937" s="1633"/>
      <c r="P937" s="1633"/>
      <c r="Q937" s="1633"/>
      <c r="R937" s="1633"/>
      <c r="S937" s="1633"/>
      <c r="T937" s="1634"/>
      <c r="U937" s="1631" t="s">
        <v>592</v>
      </c>
      <c r="V937" s="1428"/>
      <c r="W937" s="1428"/>
      <c r="X937" s="1428"/>
      <c r="Y937" s="1428"/>
      <c r="Z937" s="1429"/>
      <c r="AA937" s="1635"/>
      <c r="AB937" s="1527"/>
      <c r="AC937" s="1527"/>
      <c r="AD937" s="1527"/>
      <c r="AE937" s="1527"/>
      <c r="AF937" s="1636"/>
      <c r="AZ937" s="30"/>
      <c r="BA937" s="30"/>
    </row>
    <row r="938" spans="6:55" ht="12.95" customHeight="1">
      <c r="F938" s="1628" t="s">
        <v>2200</v>
      </c>
      <c r="G938" s="1629"/>
      <c r="H938" s="1629"/>
      <c r="I938" s="1629"/>
      <c r="J938" s="1629"/>
      <c r="K938" s="1629"/>
      <c r="L938" s="1629"/>
      <c r="M938" s="1629"/>
      <c r="N938" s="1629"/>
      <c r="O938" s="1629"/>
      <c r="P938" s="1629"/>
      <c r="Q938" s="1629"/>
      <c r="R938" s="1629"/>
      <c r="S938" s="1629"/>
      <c r="T938" s="1630"/>
      <c r="U938" s="1631" t="s">
        <v>592</v>
      </c>
      <c r="V938" s="1428"/>
      <c r="W938" s="1428"/>
      <c r="X938" s="1428"/>
      <c r="Y938" s="1428"/>
      <c r="Z938" s="1429"/>
      <c r="AA938" s="1635"/>
      <c r="AB938" s="1527"/>
      <c r="AC938" s="1527"/>
      <c r="AD938" s="1527"/>
      <c r="AE938" s="1527"/>
      <c r="AF938" s="1636"/>
      <c r="AZ938" s="30"/>
      <c r="BA938" s="30"/>
    </row>
    <row r="939" spans="6:55" ht="12.95" customHeight="1">
      <c r="F939" s="1628" t="s">
        <v>2201</v>
      </c>
      <c r="G939" s="1629"/>
      <c r="H939" s="1629"/>
      <c r="I939" s="1629"/>
      <c r="J939" s="1629"/>
      <c r="K939" s="1629"/>
      <c r="L939" s="1629"/>
      <c r="M939" s="1629"/>
      <c r="N939" s="1629"/>
      <c r="O939" s="1629"/>
      <c r="P939" s="1629"/>
      <c r="Q939" s="1629"/>
      <c r="R939" s="1629"/>
      <c r="S939" s="1629"/>
      <c r="T939" s="1630"/>
      <c r="U939" s="1631" t="s">
        <v>592</v>
      </c>
      <c r="V939" s="1428"/>
      <c r="W939" s="1428"/>
      <c r="X939" s="1428"/>
      <c r="Y939" s="1428"/>
      <c r="Z939" s="1429"/>
      <c r="AA939" s="1635"/>
      <c r="AB939" s="1527"/>
      <c r="AC939" s="1527"/>
      <c r="AD939" s="1527"/>
      <c r="AE939" s="1527"/>
      <c r="AF939" s="1636"/>
      <c r="AZ939" s="30"/>
      <c r="BA939" s="30"/>
    </row>
    <row r="940" spans="6:55" ht="12.95" customHeight="1">
      <c r="F940" s="1628" t="s">
        <v>2202</v>
      </c>
      <c r="G940" s="1629"/>
      <c r="H940" s="1629"/>
      <c r="I940" s="1629"/>
      <c r="J940" s="1629"/>
      <c r="K940" s="1629"/>
      <c r="L940" s="1629"/>
      <c r="M940" s="1629"/>
      <c r="N940" s="1629"/>
      <c r="O940" s="1629"/>
      <c r="P940" s="1629"/>
      <c r="Q940" s="1629"/>
      <c r="R940" s="1629"/>
      <c r="S940" s="1629"/>
      <c r="T940" s="1630"/>
      <c r="U940" s="1631" t="s">
        <v>592</v>
      </c>
      <c r="V940" s="1428"/>
      <c r="W940" s="1428"/>
      <c r="X940" s="1428"/>
      <c r="Y940" s="1428"/>
      <c r="Z940" s="1429"/>
      <c r="AA940" s="1635"/>
      <c r="AB940" s="1527"/>
      <c r="AC940" s="1527"/>
      <c r="AD940" s="1527"/>
      <c r="AE940" s="1527"/>
      <c r="AF940" s="1636"/>
      <c r="AZ940" s="34"/>
      <c r="BA940" s="34"/>
      <c r="BB940" s="14"/>
      <c r="BC940" s="14"/>
    </row>
    <row r="941" spans="6:55" ht="12.95" customHeight="1">
      <c r="F941" s="121" t="s">
        <v>1263</v>
      </c>
      <c r="G941" s="5"/>
      <c r="H941" s="5"/>
      <c r="I941" s="5"/>
      <c r="J941" s="5"/>
      <c r="K941" s="5"/>
      <c r="L941" s="5"/>
      <c r="M941" s="5"/>
      <c r="N941" s="5"/>
      <c r="O941" s="5"/>
      <c r="P941" s="5"/>
      <c r="Q941" s="5"/>
      <c r="R941" s="5"/>
      <c r="S941" s="5"/>
      <c r="T941" s="46"/>
      <c r="U941" s="1631" t="s">
        <v>592</v>
      </c>
      <c r="V941" s="1428"/>
      <c r="W941" s="1428"/>
      <c r="X941" s="1428"/>
      <c r="Y941" s="1428"/>
      <c r="Z941" s="1429"/>
      <c r="AA941" s="1635"/>
      <c r="AB941" s="1527"/>
      <c r="AC941" s="1527"/>
      <c r="AD941" s="1527"/>
      <c r="AE941" s="1527"/>
      <c r="AF941" s="1636"/>
      <c r="AZ941" s="34"/>
      <c r="BA941" s="34"/>
      <c r="BB941" s="14"/>
      <c r="BC941" s="14"/>
    </row>
    <row r="942" spans="6:55" ht="12.95" customHeight="1">
      <c r="F942" s="1632" t="s">
        <v>2205</v>
      </c>
      <c r="G942" s="1633"/>
      <c r="H942" s="1633"/>
      <c r="I942" s="1633"/>
      <c r="J942" s="1633"/>
      <c r="K942" s="1633"/>
      <c r="L942" s="1633"/>
      <c r="M942" s="1633"/>
      <c r="N942" s="1633"/>
      <c r="O942" s="1633"/>
      <c r="P942" s="1633"/>
      <c r="Q942" s="1633"/>
      <c r="R942" s="1633"/>
      <c r="S942" s="1633"/>
      <c r="T942" s="1634"/>
      <c r="U942" s="1631" t="s">
        <v>592</v>
      </c>
      <c r="V942" s="1428"/>
      <c r="W942" s="1428"/>
      <c r="X942" s="1428"/>
      <c r="Y942" s="1428"/>
      <c r="Z942" s="1429"/>
      <c r="AA942" s="1635"/>
      <c r="AB942" s="1527"/>
      <c r="AC942" s="1527"/>
      <c r="AD942" s="1527"/>
      <c r="AE942" s="1527"/>
      <c r="AF942" s="1636"/>
      <c r="AZ942" s="34"/>
      <c r="BA942" s="34"/>
      <c r="BB942" s="34"/>
      <c r="BC942" s="34"/>
    </row>
    <row r="943" spans="6:55" ht="12.95" customHeight="1">
      <c r="F943" s="121" t="s">
        <v>1264</v>
      </c>
      <c r="G943" s="5"/>
      <c r="H943" s="5"/>
      <c r="I943" s="5"/>
      <c r="J943" s="5"/>
      <c r="K943" s="5"/>
      <c r="L943" s="5"/>
      <c r="M943" s="5"/>
      <c r="N943" s="5"/>
      <c r="O943" s="5"/>
      <c r="P943" s="5"/>
      <c r="Q943" s="5"/>
      <c r="R943" s="5"/>
      <c r="S943" s="5"/>
      <c r="T943" s="46"/>
      <c r="U943" s="1631" t="s">
        <v>592</v>
      </c>
      <c r="V943" s="1428"/>
      <c r="W943" s="1428"/>
      <c r="X943" s="1428"/>
      <c r="Y943" s="1428"/>
      <c r="Z943" s="1429"/>
      <c r="AA943" s="1635"/>
      <c r="AB943" s="1527"/>
      <c r="AC943" s="1527"/>
      <c r="AD943" s="1527"/>
      <c r="AE943" s="1527"/>
      <c r="AF943" s="1636"/>
      <c r="AZ943" s="34"/>
      <c r="BA943" s="34"/>
      <c r="BB943" s="34"/>
      <c r="BC943" s="34"/>
    </row>
    <row r="944" spans="6:55" ht="12.95" customHeight="1">
      <c r="F944" s="1632" t="s">
        <v>2206</v>
      </c>
      <c r="G944" s="1633"/>
      <c r="H944" s="1633"/>
      <c r="I944" s="1633"/>
      <c r="J944" s="1633"/>
      <c r="K944" s="1633"/>
      <c r="L944" s="1633"/>
      <c r="M944" s="1633"/>
      <c r="N944" s="1633"/>
      <c r="O944" s="1633"/>
      <c r="P944" s="1633"/>
      <c r="Q944" s="1633"/>
      <c r="R944" s="1633"/>
      <c r="S944" s="1633"/>
      <c r="T944" s="1634"/>
      <c r="U944" s="1631" t="s">
        <v>592</v>
      </c>
      <c r="V944" s="1428"/>
      <c r="W944" s="1428"/>
      <c r="X944" s="1428"/>
      <c r="Y944" s="1428"/>
      <c r="Z944" s="1429"/>
      <c r="AA944" s="1635"/>
      <c r="AB944" s="1527"/>
      <c r="AC944" s="1527"/>
      <c r="AD944" s="1527"/>
      <c r="AE944" s="1527"/>
      <c r="AF944" s="1636"/>
      <c r="AZ944" s="34"/>
      <c r="BA944" s="34"/>
      <c r="BB944" s="34"/>
      <c r="BC944" s="34"/>
    </row>
    <row r="945" spans="1:55" ht="12.95" customHeight="1">
      <c r="F945" s="45" t="s">
        <v>807</v>
      </c>
      <c r="G945" s="5"/>
      <c r="H945" s="5"/>
      <c r="I945" s="5"/>
      <c r="J945" s="5"/>
      <c r="K945" s="5"/>
      <c r="L945" s="5"/>
      <c r="M945" s="5"/>
      <c r="N945" s="5"/>
      <c r="O945" s="5"/>
      <c r="P945" s="1631" t="s">
        <v>670</v>
      </c>
      <c r="Q945" s="1428"/>
      <c r="R945" s="1428"/>
      <c r="S945" s="1428"/>
      <c r="T945" s="1429"/>
      <c r="U945" s="1631" t="s">
        <v>592</v>
      </c>
      <c r="V945" s="1428"/>
      <c r="W945" s="1428"/>
      <c r="X945" s="1428"/>
      <c r="Y945" s="1428"/>
      <c r="Z945" s="1429"/>
      <c r="AA945" s="1635"/>
      <c r="AB945" s="1527"/>
      <c r="AC945" s="1527"/>
      <c r="AD945" s="1527"/>
      <c r="AE945" s="1527"/>
      <c r="AF945" s="1636"/>
      <c r="AZ945" s="34"/>
      <c r="BA945" s="34"/>
      <c r="BB945" s="34"/>
      <c r="BC945" s="34"/>
    </row>
    <row r="946" spans="1:55" ht="12.95" customHeight="1">
      <c r="F946" s="1628" t="s">
        <v>2193</v>
      </c>
      <c r="G946" s="1629"/>
      <c r="H946" s="1630"/>
      <c r="I946" s="1645" t="s">
        <v>334</v>
      </c>
      <c r="J946" s="1646"/>
      <c r="K946" s="1646"/>
      <c r="L946" s="1646"/>
      <c r="M946" s="1646"/>
      <c r="N946" s="1646"/>
      <c r="O946" s="1646"/>
      <c r="P946" s="1646"/>
      <c r="Q946" s="1646"/>
      <c r="R946" s="1646"/>
      <c r="S946" s="1646"/>
      <c r="T946" s="1647"/>
      <c r="U946" s="1631" t="s">
        <v>592</v>
      </c>
      <c r="V946" s="1428"/>
      <c r="W946" s="1428"/>
      <c r="X946" s="1428"/>
      <c r="Y946" s="1428"/>
      <c r="Z946" s="1429"/>
      <c r="AA946" s="1635"/>
      <c r="AB946" s="1527"/>
      <c r="AC946" s="1527"/>
      <c r="AD946" s="1527"/>
      <c r="AE946" s="1527"/>
      <c r="AF946" s="1636"/>
      <c r="AZ946" s="34"/>
      <c r="BA946" s="34"/>
      <c r="BB946" s="34"/>
      <c r="BC946" s="34"/>
    </row>
    <row r="947" spans="1:55" ht="12.95" customHeight="1">
      <c r="F947" s="45" t="s">
        <v>86</v>
      </c>
      <c r="G947" s="48"/>
      <c r="H947" s="48"/>
      <c r="I947" s="1645" t="s">
        <v>334</v>
      </c>
      <c r="J947" s="1646"/>
      <c r="K947" s="1646"/>
      <c r="L947" s="1646"/>
      <c r="M947" s="1646"/>
      <c r="N947" s="1646"/>
      <c r="O947" s="1646"/>
      <c r="P947" s="1646"/>
      <c r="Q947" s="1646"/>
      <c r="R947" s="1646"/>
      <c r="S947" s="1646"/>
      <c r="T947" s="1647"/>
      <c r="U947" s="1631" t="s">
        <v>592</v>
      </c>
      <c r="V947" s="1428"/>
      <c r="W947" s="1428"/>
      <c r="X947" s="1428"/>
      <c r="Y947" s="1428"/>
      <c r="Z947" s="1429"/>
      <c r="AA947" s="1635"/>
      <c r="AB947" s="1527"/>
      <c r="AC947" s="1527"/>
      <c r="AD947" s="1527"/>
      <c r="AE947" s="1527"/>
      <c r="AF947" s="1636"/>
      <c r="AZ947" s="34"/>
      <c r="BA947" s="34"/>
      <c r="BB947" s="34"/>
      <c r="BC947" s="34"/>
    </row>
    <row r="948" spans="1:55" ht="12.95" customHeight="1">
      <c r="F948" s="45" t="s">
        <v>10</v>
      </c>
      <c r="G948" s="48"/>
      <c r="H948" s="48"/>
      <c r="I948" s="1700" t="s">
        <v>334</v>
      </c>
      <c r="J948" s="1701"/>
      <c r="K948" s="1701"/>
      <c r="L948" s="1701"/>
      <c r="M948" s="1701"/>
      <c r="N948" s="1701"/>
      <c r="O948" s="1701"/>
      <c r="P948" s="1701"/>
      <c r="Q948" s="1701"/>
      <c r="R948" s="1701"/>
      <c r="S948" s="1701"/>
      <c r="T948" s="1702"/>
      <c r="U948" s="1631" t="s">
        <v>592</v>
      </c>
      <c r="V948" s="1428"/>
      <c r="W948" s="1428"/>
      <c r="X948" s="1428"/>
      <c r="Y948" s="1428"/>
      <c r="Z948" s="1429"/>
      <c r="AA948" s="1635"/>
      <c r="AB948" s="1527"/>
      <c r="AC948" s="1527"/>
      <c r="AD948" s="1527"/>
      <c r="AE948" s="1527"/>
      <c r="AF948" s="1636"/>
      <c r="AV948" s="2"/>
      <c r="AW948" s="2"/>
      <c r="AX948" s="2"/>
      <c r="AY948" s="2"/>
      <c r="AZ948" s="34"/>
      <c r="BA948" s="34"/>
      <c r="BB948" s="34"/>
      <c r="BC948" s="34"/>
    </row>
    <row r="949" spans="1:55" ht="12.95" customHeight="1">
      <c r="F949" s="47" t="s">
        <v>170</v>
      </c>
      <c r="G949" s="48"/>
      <c r="H949" s="48"/>
      <c r="I949" s="1700" t="s">
        <v>334</v>
      </c>
      <c r="J949" s="1701"/>
      <c r="K949" s="1701"/>
      <c r="L949" s="1701"/>
      <c r="M949" s="1701"/>
      <c r="N949" s="1701"/>
      <c r="O949" s="1701"/>
      <c r="P949" s="1701"/>
      <c r="Q949" s="1701"/>
      <c r="R949" s="1701"/>
      <c r="S949" s="1701"/>
      <c r="T949" s="1702"/>
      <c r="U949" s="1631" t="s">
        <v>592</v>
      </c>
      <c r="V949" s="1428"/>
      <c r="W949" s="1428"/>
      <c r="X949" s="1428"/>
      <c r="Y949" s="1428"/>
      <c r="Z949" s="1429"/>
      <c r="AA949" s="1635"/>
      <c r="AB949" s="1527"/>
      <c r="AC949" s="1527"/>
      <c r="AD949" s="1527"/>
      <c r="AE949" s="1527"/>
      <c r="AF949" s="1636"/>
      <c r="AU949" s="2"/>
      <c r="AZ949" s="34"/>
      <c r="BA949" s="34"/>
      <c r="BB949" s="34"/>
      <c r="BC949" s="34"/>
    </row>
    <row r="950" spans="1:55" ht="12.95" customHeight="1">
      <c r="F950" s="47" t="s">
        <v>170</v>
      </c>
      <c r="G950" s="48"/>
      <c r="H950" s="48"/>
      <c r="I950" s="1700" t="s">
        <v>334</v>
      </c>
      <c r="J950" s="1701"/>
      <c r="K950" s="1701"/>
      <c r="L950" s="1701"/>
      <c r="M950" s="1701"/>
      <c r="N950" s="1701"/>
      <c r="O950" s="1701"/>
      <c r="P950" s="1701"/>
      <c r="Q950" s="1701"/>
      <c r="R950" s="1701"/>
      <c r="S950" s="1701"/>
      <c r="T950" s="1702"/>
      <c r="U950" s="1631" t="s">
        <v>592</v>
      </c>
      <c r="V950" s="1428"/>
      <c r="W950" s="1428"/>
      <c r="X950" s="1428"/>
      <c r="Y950" s="1428"/>
      <c r="Z950" s="1429"/>
      <c r="AA950" s="1635"/>
      <c r="AB950" s="1527"/>
      <c r="AC950" s="1527"/>
      <c r="AD950" s="1527"/>
      <c r="AE950" s="1527"/>
      <c r="AF950" s="1636"/>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4"/>
      <c r="N955" s="1523"/>
      <c r="O955" s="1523"/>
      <c r="P955" s="1523"/>
      <c r="Q955" s="1523"/>
      <c r="R955" s="1523"/>
      <c r="S955" s="1626"/>
      <c r="U955" s="66" t="s">
        <v>11</v>
      </c>
      <c r="V955" s="5"/>
      <c r="W955" s="5"/>
      <c r="X955" s="5"/>
      <c r="Y955" s="5"/>
      <c r="Z955" s="5"/>
      <c r="AA955" s="5"/>
      <c r="AB955" s="5"/>
      <c r="AC955" s="5"/>
      <c r="AD955" s="46"/>
      <c r="AE955" s="1704"/>
      <c r="AF955" s="1523"/>
      <c r="AG955" s="1523"/>
      <c r="AH955" s="1523"/>
      <c r="AI955" s="1523"/>
      <c r="AJ955" s="1523"/>
      <c r="AK955" s="1626"/>
      <c r="AZ955" s="34"/>
      <c r="BA955" s="34"/>
      <c r="BB955" s="34"/>
      <c r="BC955" s="34"/>
    </row>
    <row r="956" spans="1:55" ht="12.95" customHeight="1">
      <c r="C956" s="66" t="s">
        <v>12</v>
      </c>
      <c r="D956" s="5"/>
      <c r="E956" s="5"/>
      <c r="F956" s="5"/>
      <c r="G956" s="5"/>
      <c r="H956" s="5"/>
      <c r="I956" s="5"/>
      <c r="J956" s="5"/>
      <c r="K956" s="5"/>
      <c r="L956" s="46"/>
      <c r="M956" s="1465"/>
      <c r="N956" s="1525"/>
      <c r="O956" s="1525"/>
      <c r="P956" s="1525"/>
      <c r="Q956" s="1525"/>
      <c r="R956" s="1525"/>
      <c r="S956" s="1664"/>
      <c r="U956" s="66" t="s">
        <v>12</v>
      </c>
      <c r="V956" s="5"/>
      <c r="W956" s="5"/>
      <c r="X956" s="5"/>
      <c r="Y956" s="5"/>
      <c r="Z956" s="5"/>
      <c r="AA956" s="5"/>
      <c r="AB956" s="5"/>
      <c r="AC956" s="5"/>
      <c r="AD956" s="46"/>
      <c r="AE956" s="1465"/>
      <c r="AF956" s="1525"/>
      <c r="AG956" s="1525"/>
      <c r="AH956" s="1525"/>
      <c r="AI956" s="1525"/>
      <c r="AJ956" s="1525"/>
      <c r="AK956" s="1664"/>
      <c r="AZ956" s="34"/>
      <c r="BA956" s="34"/>
      <c r="BB956" s="34"/>
      <c r="BC956" s="34"/>
    </row>
    <row r="957" spans="1:55" ht="12.95" customHeight="1">
      <c r="C957" s="66" t="s">
        <v>881</v>
      </c>
      <c r="D957" s="5"/>
      <c r="E957" s="5"/>
      <c r="J957" s="1808" t="s">
        <v>307</v>
      </c>
      <c r="K957" s="1809"/>
      <c r="L957" s="1809"/>
      <c r="M957" s="1809"/>
      <c r="N957" s="1809"/>
      <c r="O957" s="1809"/>
      <c r="P957" s="1809"/>
      <c r="Q957" s="1809"/>
      <c r="R957" s="1809"/>
      <c r="S957" s="1810"/>
      <c r="U957" s="66" t="s">
        <v>881</v>
      </c>
      <c r="V957" s="5"/>
      <c r="W957" s="5"/>
      <c r="AB957" s="1808" t="s">
        <v>307</v>
      </c>
      <c r="AC957" s="1809"/>
      <c r="AD957" s="1809"/>
      <c r="AE957" s="1809"/>
      <c r="AF957" s="1809"/>
      <c r="AG957" s="1809"/>
      <c r="AH957" s="1809"/>
      <c r="AI957" s="1809"/>
      <c r="AJ957" s="1809"/>
      <c r="AK957" s="1810"/>
      <c r="AZ957" s="34"/>
      <c r="BA957" s="34"/>
      <c r="BB957" s="34"/>
      <c r="BC957" s="34"/>
    </row>
    <row r="958" spans="1:55" ht="12.95" customHeight="1">
      <c r="C958" s="66" t="s">
        <v>13</v>
      </c>
      <c r="D958" s="5"/>
      <c r="E958" s="5"/>
      <c r="F958" s="5"/>
      <c r="G958" s="5"/>
      <c r="H958" s="5"/>
      <c r="I958" s="5"/>
      <c r="J958" s="5"/>
      <c r="K958" s="5"/>
      <c r="L958" s="46"/>
      <c r="M958" s="1705"/>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2.95" customHeight="1">
      <c r="C959" s="66" t="s">
        <v>14</v>
      </c>
      <c r="D959" s="5"/>
      <c r="E959" s="5"/>
      <c r="F959" s="5"/>
      <c r="G959" s="5"/>
      <c r="H959" s="5"/>
      <c r="I959" s="5"/>
      <c r="J959" s="5"/>
      <c r="K959" s="5"/>
      <c r="L959" s="46"/>
      <c r="M959" s="1725"/>
      <c r="N959" s="1611"/>
      <c r="O959" s="1611"/>
      <c r="P959" s="1611"/>
      <c r="Q959" s="1611"/>
      <c r="R959" s="1611"/>
      <c r="S959" s="1612"/>
      <c r="U959" s="66" t="s">
        <v>14</v>
      </c>
      <c r="V959" s="5"/>
      <c r="W959" s="5"/>
      <c r="X959" s="5"/>
      <c r="Y959" s="5"/>
      <c r="Z959" s="5"/>
      <c r="AA959" s="5"/>
      <c r="AB959" s="5"/>
      <c r="AC959" s="5"/>
      <c r="AD959" s="46"/>
      <c r="AE959" s="1725"/>
      <c r="AF959" s="1611"/>
      <c r="AG959" s="1611"/>
      <c r="AH959" s="1611"/>
      <c r="AI959" s="1611"/>
      <c r="AJ959" s="1611"/>
      <c r="AK959" s="1612"/>
      <c r="AV959" s="2"/>
      <c r="AW959" s="2"/>
      <c r="AX959" s="2"/>
      <c r="AY959" s="2"/>
      <c r="AZ959" s="34"/>
      <c r="BA959" s="34"/>
      <c r="BB959" s="34"/>
      <c r="BC959" s="34"/>
    </row>
    <row r="960" spans="1:55" ht="12.95" customHeight="1">
      <c r="C960" s="66" t="s">
        <v>15</v>
      </c>
      <c r="D960" s="5"/>
      <c r="E960" s="5"/>
      <c r="F960" s="5"/>
      <c r="G960" s="5"/>
      <c r="H960" s="5"/>
      <c r="I960" s="5"/>
      <c r="J960" s="5"/>
      <c r="K960" s="5"/>
      <c r="L960" s="46"/>
      <c r="M960" s="1635"/>
      <c r="N960" s="1527"/>
      <c r="O960" s="1527"/>
      <c r="P960" s="1527"/>
      <c r="Q960" s="1527"/>
      <c r="R960" s="1527"/>
      <c r="S960" s="1636"/>
      <c r="U960" s="66" t="s">
        <v>15</v>
      </c>
      <c r="V960" s="5"/>
      <c r="W960" s="5"/>
      <c r="X960" s="5"/>
      <c r="Y960" s="5"/>
      <c r="Z960" s="5"/>
      <c r="AA960" s="5"/>
      <c r="AB960" s="5"/>
      <c r="AC960" s="5"/>
      <c r="AD960" s="46"/>
      <c r="AE960" s="1635"/>
      <c r="AF960" s="1527"/>
      <c r="AG960" s="1527"/>
      <c r="AH960" s="1527"/>
      <c r="AI960" s="1527"/>
      <c r="AJ960" s="1527"/>
      <c r="AK960" s="1636"/>
      <c r="AV960" s="2"/>
      <c r="AW960" s="2"/>
      <c r="AX960" s="2"/>
      <c r="AY960" s="2"/>
      <c r="AZ960" s="34"/>
      <c r="BA960" s="34"/>
      <c r="BB960" s="34"/>
      <c r="BC960" s="34"/>
    </row>
    <row r="961" spans="1:64" ht="12.95" customHeight="1">
      <c r="C961" s="66" t="s">
        <v>16</v>
      </c>
      <c r="D961" s="5"/>
      <c r="E961" s="5"/>
      <c r="F961" s="5"/>
      <c r="G961" s="5"/>
      <c r="H961" s="5"/>
      <c r="I961" s="5"/>
      <c r="J961" s="5"/>
      <c r="K961" s="5"/>
      <c r="L961" s="46"/>
      <c r="M961" s="1635"/>
      <c r="N961" s="1527"/>
      <c r="O961" s="1527"/>
      <c r="P961" s="1527"/>
      <c r="Q961" s="1527"/>
      <c r="R961" s="1527"/>
      <c r="S961" s="1636"/>
      <c r="U961" s="66" t="s">
        <v>16</v>
      </c>
      <c r="V961" s="5"/>
      <c r="W961" s="5"/>
      <c r="X961" s="5"/>
      <c r="Y961" s="5"/>
      <c r="Z961" s="5"/>
      <c r="AA961" s="5"/>
      <c r="AB961" s="5"/>
      <c r="AC961" s="5"/>
      <c r="AD961" s="46"/>
      <c r="AE961" s="1635"/>
      <c r="AF961" s="1527"/>
      <c r="AG961" s="1527"/>
      <c r="AH961" s="1527"/>
      <c r="AI961" s="1527"/>
      <c r="AJ961" s="1527"/>
      <c r="AK961" s="1636"/>
      <c r="AV961" s="2"/>
      <c r="AW961" s="2"/>
      <c r="AX961" s="2"/>
      <c r="AY961" s="2"/>
      <c r="AZ961" s="34"/>
      <c r="BB961" s="34"/>
      <c r="BC961" s="34"/>
    </row>
    <row r="962" spans="1:64" ht="12.95" customHeight="1">
      <c r="C962" s="121" t="s">
        <v>1663</v>
      </c>
      <c r="D962" s="5"/>
      <c r="E962" s="5"/>
      <c r="F962" s="5"/>
      <c r="G962" s="5"/>
      <c r="H962" s="5"/>
      <c r="I962" s="5"/>
      <c r="J962" s="5"/>
      <c r="K962" s="5"/>
      <c r="L962" s="46"/>
      <c r="M962" s="1776"/>
      <c r="N962" s="1777"/>
      <c r="O962" s="1777"/>
      <c r="P962" s="1777"/>
      <c r="Q962" s="1777"/>
      <c r="R962" s="1777"/>
      <c r="S962" s="1778"/>
      <c r="U962" s="121" t="s">
        <v>1663</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61"/>
      <c r="N967" s="1662"/>
      <c r="O967" s="1662"/>
      <c r="P967" s="1662"/>
      <c r="Q967" s="1662"/>
      <c r="R967" s="1662"/>
      <c r="S967" s="1663"/>
      <c r="T967" s="66" t="s">
        <v>791</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61"/>
      <c r="N968" s="1662"/>
      <c r="O968" s="1662"/>
      <c r="P968" s="1662"/>
      <c r="Q968" s="1662"/>
      <c r="R968" s="1662"/>
      <c r="S968" s="1663"/>
      <c r="T968" s="66" t="s">
        <v>790</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8" t="s">
        <v>592</v>
      </c>
      <c r="N969" s="1709"/>
      <c r="O969" s="1709"/>
      <c r="P969" s="1709"/>
      <c r="Q969" s="1709"/>
      <c r="R969" s="1709"/>
      <c r="S969" s="1710"/>
      <c r="T969" s="45" t="s">
        <v>337</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61"/>
      <c r="N970" s="1662"/>
      <c r="O970" s="1662"/>
      <c r="P970" s="1662"/>
      <c r="Q970" s="1662"/>
      <c r="R970" s="1662"/>
      <c r="S970" s="1663"/>
      <c r="T970" s="45" t="s">
        <v>338</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61"/>
      <c r="N971" s="1662"/>
      <c r="O971" s="1662"/>
      <c r="P971" s="1662"/>
      <c r="Q971" s="1662"/>
      <c r="R971" s="1662"/>
      <c r="S971" s="1663"/>
      <c r="T971" s="45" t="s">
        <v>376</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61"/>
      <c r="N973" s="1662"/>
      <c r="O973" s="1662"/>
      <c r="P973" s="1662"/>
      <c r="Q973" s="1662"/>
      <c r="R973" s="1662"/>
      <c r="S973" s="1663"/>
      <c r="T973" s="1763"/>
      <c r="U973" s="1764"/>
      <c r="V973" s="1764"/>
      <c r="W973" s="1764"/>
      <c r="X973" s="1764"/>
      <c r="Y973" s="1764"/>
      <c r="Z973" s="1765"/>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70" t="s">
        <v>670</v>
      </c>
      <c r="P974" s="1372"/>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2.95" customHeight="1">
      <c r="F975" s="1606" t="s">
        <v>33</v>
      </c>
      <c r="G975" s="1486"/>
      <c r="H975" s="1486"/>
      <c r="I975" s="1486"/>
      <c r="J975" s="1486"/>
      <c r="K975" s="1486"/>
      <c r="L975" s="1486"/>
      <c r="M975" s="1661"/>
      <c r="N975" s="1662"/>
      <c r="O975" s="1662"/>
      <c r="P975" s="1662"/>
      <c r="Q975" s="1662"/>
      <c r="R975" s="1662"/>
      <c r="S975" s="1663"/>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6" t="s">
        <v>549</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2"/>
      <c r="BC979" s="912"/>
    </row>
    <row r="980" spans="1:64" ht="12.9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2.95"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1" t="s">
        <v>639</v>
      </c>
      <c r="E985" s="1792"/>
      <c r="F985" s="1792"/>
      <c r="G985" s="1792"/>
      <c r="H985" s="1792"/>
      <c r="I985" s="1792"/>
      <c r="J985" s="1792"/>
      <c r="K985" s="1792"/>
      <c r="L985" s="1792"/>
      <c r="M985" s="1792"/>
      <c r="N985" s="1792"/>
      <c r="O985" s="1792"/>
      <c r="P985" s="1792"/>
      <c r="Q985" s="1793"/>
      <c r="R985" s="1791" t="s">
        <v>640</v>
      </c>
      <c r="S985" s="1792"/>
      <c r="T985" s="1792"/>
      <c r="U985" s="1792"/>
      <c r="V985" s="1792"/>
      <c r="W985" s="1792"/>
      <c r="X985" s="1792"/>
      <c r="Y985" s="1792"/>
      <c r="Z985" s="1792"/>
      <c r="AA985" s="1793"/>
      <c r="AB985" s="1791" t="s">
        <v>641</v>
      </c>
      <c r="AC985" s="1792"/>
      <c r="AD985" s="1792"/>
      <c r="AE985" s="1792"/>
      <c r="AF985" s="1792"/>
      <c r="AG985" s="1792"/>
      <c r="AH985" s="1792"/>
      <c r="AI985" s="1793"/>
      <c r="AJ985" s="1791" t="s">
        <v>642</v>
      </c>
      <c r="AK985" s="1792"/>
      <c r="AL985" s="1792"/>
      <c r="AM985" s="1792"/>
      <c r="AN985" s="1792"/>
      <c r="AO985" s="1792"/>
      <c r="AP985" s="1792"/>
      <c r="AQ985" s="1793"/>
      <c r="AR985" s="68"/>
      <c r="AS985" s="68"/>
      <c r="AT985" s="68"/>
      <c r="AU985" s="68"/>
      <c r="AV985" s="68"/>
      <c r="AW985" s="68"/>
      <c r="AX985" s="68"/>
      <c r="AY985" s="68"/>
      <c r="AZ985" s="30"/>
      <c r="BB985" s="14"/>
      <c r="BC985" s="14"/>
    </row>
    <row r="986" spans="1:64" ht="12.95" customHeight="1">
      <c r="A986" s="14"/>
      <c r="B986" s="73"/>
      <c r="C986" s="929"/>
      <c r="D986" s="1797" t="s">
        <v>634</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404366</v>
      </c>
      <c r="S986" s="1784"/>
      <c r="T986" s="1784"/>
      <c r="U986" s="1784"/>
      <c r="V986" s="1784"/>
      <c r="W986" s="1784"/>
      <c r="X986" s="1784"/>
      <c r="Y986" s="1784"/>
      <c r="Z986" s="1784"/>
      <c r="AA986" s="1784"/>
      <c r="AB986" s="1781">
        <f>CP802</f>
        <v>15</v>
      </c>
      <c r="AC986" s="1782"/>
      <c r="AD986" s="1782"/>
      <c r="AE986" s="1782"/>
      <c r="AF986" s="1782"/>
      <c r="AG986" s="1782"/>
      <c r="AH986" s="1782"/>
      <c r="AI986" s="1783"/>
      <c r="AJ986" s="1717">
        <f>IF(ISERROR((R986*AB986)),0,(R986*AB986))</f>
        <v>6065490</v>
      </c>
      <c r="AK986" s="1718"/>
      <c r="AL986" s="1718"/>
      <c r="AM986" s="1718"/>
      <c r="AN986" s="1718"/>
      <c r="AO986" s="1718"/>
      <c r="AP986" s="1718"/>
      <c r="AQ986" s="1719"/>
      <c r="AR986" s="68"/>
      <c r="AS986" s="68"/>
      <c r="AT986" s="68"/>
      <c r="AU986" s="68"/>
      <c r="AV986" s="68"/>
      <c r="AW986" s="68"/>
      <c r="AX986" s="68"/>
      <c r="AY986" s="68"/>
      <c r="AZ986" s="30"/>
      <c r="BB986" s="14"/>
      <c r="BC986" s="14"/>
    </row>
    <row r="987" spans="1:64" ht="12.95"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466230</v>
      </c>
      <c r="S987" s="1784"/>
      <c r="T987" s="1784"/>
      <c r="U987" s="1784"/>
      <c r="V987" s="1784"/>
      <c r="W987" s="1784"/>
      <c r="X987" s="1784"/>
      <c r="Y987" s="1784"/>
      <c r="Z987" s="1784"/>
      <c r="AA987" s="1784"/>
      <c r="AB987" s="1781">
        <f>CU802</f>
        <v>53</v>
      </c>
      <c r="AC987" s="1782"/>
      <c r="AD987" s="1782"/>
      <c r="AE987" s="1782"/>
      <c r="AF987" s="1782"/>
      <c r="AG987" s="1782"/>
      <c r="AH987" s="1782"/>
      <c r="AI987" s="1783"/>
      <c r="AJ987" s="1717">
        <f>IF(ISERROR((R987*AB987)),0,(R987*AB987))</f>
        <v>24710190</v>
      </c>
      <c r="AK987" s="1718"/>
      <c r="AL987" s="1718"/>
      <c r="AM987" s="1718"/>
      <c r="AN987" s="1718"/>
      <c r="AO987" s="1718"/>
      <c r="AP987" s="1718"/>
      <c r="AQ987" s="1719"/>
      <c r="AR987" s="68"/>
      <c r="AS987" s="68"/>
      <c r="AT987" s="68"/>
      <c r="AU987" s="68"/>
      <c r="AV987" s="68"/>
      <c r="AW987" s="68"/>
      <c r="AX987" s="68"/>
      <c r="AY987" s="68"/>
      <c r="AZ987" s="30"/>
      <c r="BB987" s="14"/>
      <c r="BC987" s="14"/>
    </row>
    <row r="988" spans="1:64" ht="12.95"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562400</v>
      </c>
      <c r="S988" s="1784"/>
      <c r="T988" s="1784"/>
      <c r="U988" s="1784"/>
      <c r="V988" s="1784"/>
      <c r="W988" s="1784"/>
      <c r="X988" s="1784"/>
      <c r="Y988" s="1784"/>
      <c r="Z988" s="1784"/>
      <c r="AA988" s="1784"/>
      <c r="AB988" s="1781">
        <f>CZ802</f>
        <v>38</v>
      </c>
      <c r="AC988" s="1782"/>
      <c r="AD988" s="1782"/>
      <c r="AE988" s="1782"/>
      <c r="AF988" s="1782"/>
      <c r="AG988" s="1782"/>
      <c r="AH988" s="1782"/>
      <c r="AI988" s="1783"/>
      <c r="AJ988" s="1717">
        <f>IF(ISERROR((R988*AB988)),0,(R988*AB988))</f>
        <v>21371200</v>
      </c>
      <c r="AK988" s="1718"/>
      <c r="AL988" s="1718"/>
      <c r="AM988" s="1718"/>
      <c r="AN988" s="1718"/>
      <c r="AO988" s="1718"/>
      <c r="AP988" s="1718"/>
      <c r="AQ988" s="1719"/>
      <c r="AR988" s="68"/>
      <c r="AS988" s="68"/>
      <c r="AT988" s="68"/>
      <c r="AU988" s="68"/>
      <c r="AV988" s="68"/>
      <c r="AW988" s="68"/>
      <c r="AX988" s="68"/>
      <c r="AY988" s="68"/>
      <c r="AZ988" s="30"/>
      <c r="BB988" s="14"/>
      <c r="BC988" s="14"/>
    </row>
    <row r="989" spans="1:64" ht="12.95"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719872</v>
      </c>
      <c r="S989" s="1784"/>
      <c r="T989" s="1784"/>
      <c r="U989" s="1784"/>
      <c r="V989" s="1784"/>
      <c r="W989" s="1784"/>
      <c r="X989" s="1784"/>
      <c r="Y989" s="1784"/>
      <c r="Z989" s="1784"/>
      <c r="AA989" s="1784"/>
      <c r="AB989" s="1781">
        <f>DE802</f>
        <v>44</v>
      </c>
      <c r="AC989" s="1782"/>
      <c r="AD989" s="1782"/>
      <c r="AE989" s="1782"/>
      <c r="AF989" s="1782"/>
      <c r="AG989" s="1782"/>
      <c r="AH989" s="1782"/>
      <c r="AI989" s="1783"/>
      <c r="AJ989" s="1717">
        <f>IF(ISERROR((R989*AB989)),0,(R989*AB989))</f>
        <v>31674368</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2.95" customHeight="1">
      <c r="A990" s="14"/>
      <c r="B990" s="47"/>
      <c r="C990" s="78"/>
      <c r="D990" s="1797" t="s">
        <v>461</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801982</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2.95"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150</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2.95" customHeight="1">
      <c r="A992" s="14"/>
      <c r="B992" s="1794" t="s">
        <v>513</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83821248</v>
      </c>
      <c r="AK992" s="1718"/>
      <c r="AL992" s="1718"/>
      <c r="AM992" s="1718"/>
      <c r="AN992" s="1718"/>
      <c r="AO992" s="1718"/>
      <c r="AP992" s="1718"/>
      <c r="AQ992" s="1719"/>
      <c r="AR992" s="68"/>
      <c r="AS992" s="68"/>
      <c r="AT992" s="68"/>
      <c r="AU992" s="68"/>
      <c r="AV992" s="68"/>
      <c r="AW992" s="68"/>
      <c r="AX992" s="68"/>
      <c r="AY992" s="68"/>
      <c r="AZ992" s="34"/>
      <c r="BB992" s="34"/>
      <c r="BC992" s="34"/>
    </row>
    <row r="993" spans="1:55" ht="12.95"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667</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2.95" customHeight="1">
      <c r="A994" s="14"/>
      <c r="B994" s="73"/>
      <c r="C994" s="927" t="s">
        <v>669</v>
      </c>
      <c r="D994" s="1735" t="s">
        <v>1221</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670</v>
      </c>
      <c r="AH994" s="1830"/>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2.95" customHeight="1">
      <c r="A995" s="14"/>
      <c r="B995" s="257"/>
      <c r="C995" s="256"/>
      <c r="D995" s="1769" t="s">
        <v>2236</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2.95" customHeight="1">
      <c r="A996" s="14"/>
      <c r="B996" s="257"/>
      <c r="C996" s="256"/>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2.95" customHeight="1">
      <c r="A997" s="14"/>
      <c r="B997" s="257"/>
      <c r="C997" s="256"/>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2.95" customHeight="1">
      <c r="A998" s="14"/>
      <c r="B998" s="257"/>
      <c r="C998" s="256"/>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2.95" customHeight="1">
      <c r="A999" s="14"/>
      <c r="B999" s="257"/>
      <c r="C999" s="256"/>
      <c r="D999" s="1772" t="s">
        <v>2207</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2.95" customHeight="1">
      <c r="A1000" s="14"/>
      <c r="B1000" s="257"/>
      <c r="C1000" s="256"/>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2.95" customHeight="1">
      <c r="A1001" s="14"/>
      <c r="B1001" s="255"/>
      <c r="C1001" s="318"/>
      <c r="D1001" s="1766" t="s">
        <v>1288</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2.95" customHeight="1">
      <c r="A1002" s="14"/>
      <c r="B1002" s="257"/>
      <c r="C1002" s="82"/>
      <c r="D1002" s="1769" t="s">
        <v>1286</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2.95" customHeight="1">
      <c r="A1003" s="14"/>
      <c r="B1003" s="257"/>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4">
        <f>G753+O797</f>
        <v>149</v>
      </c>
      <c r="AZ1003" s="34"/>
      <c r="BB1003" s="34"/>
    </row>
    <row r="1004" spans="1:55" ht="12.95" customHeight="1">
      <c r="A1004" s="14"/>
      <c r="B1004" s="257"/>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2.95" customHeight="1">
      <c r="A1005" s="14"/>
      <c r="B1005" s="257"/>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3">
        <f>ROUNDDOWN(X1048/I1048,2)</f>
        <v>0.11</v>
      </c>
      <c r="AZ1005" s="34"/>
      <c r="BB1005" s="34"/>
    </row>
    <row r="1006" spans="1:55" ht="12.95"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3">
        <f>ROUNDDOWN(X1052/I1052,2)</f>
        <v>0.11</v>
      </c>
      <c r="AZ1006" s="34"/>
      <c r="BB1006" s="34"/>
    </row>
    <row r="1007" spans="1:55" ht="12.95" customHeight="1">
      <c r="A1007" s="14"/>
      <c r="B1007" s="255"/>
      <c r="C1007" s="80" t="s">
        <v>673</v>
      </c>
      <c r="D1007" s="1766" t="s">
        <v>1685</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546</v>
      </c>
      <c r="AH1007" s="1753"/>
      <c r="AI1007" s="87"/>
      <c r="AJ1007" s="1726">
        <f>ROUND(IF(AG1007="yes",AJ992*0.1,0),0)</f>
        <v>8382125</v>
      </c>
      <c r="AK1007" s="1727"/>
      <c r="AL1007" s="1727"/>
      <c r="AM1007" s="1727"/>
      <c r="AN1007" s="1727"/>
      <c r="AO1007" s="1727"/>
      <c r="AP1007" s="1727"/>
      <c r="AQ1007" s="1728"/>
      <c r="AR1007" s="68"/>
      <c r="AS1007" s="68"/>
      <c r="AT1007" s="68"/>
      <c r="AU1007" s="68"/>
      <c r="AV1007" s="68"/>
      <c r="AW1007" s="68"/>
      <c r="AX1007" s="68"/>
      <c r="BB1007" s="34"/>
    </row>
    <row r="1008" spans="1:55" ht="12.95" customHeight="1">
      <c r="A1008" s="14"/>
      <c r="B1008" s="73"/>
      <c r="C1008" s="74"/>
      <c r="D1008" s="1697" t="s">
        <v>1287</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2" ht="12.95"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2" ht="12.95"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2" ht="12.95" customHeight="1">
      <c r="A1011" s="14"/>
      <c r="B1011" s="79"/>
      <c r="C1011" s="80" t="s">
        <v>212</v>
      </c>
      <c r="D1011" s="1766" t="s">
        <v>1289</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row>
    <row r="1012" spans="1:52" ht="14.25" customHeight="1">
      <c r="A1012" s="14"/>
      <c r="B1012" s="73"/>
      <c r="C1012" s="74"/>
      <c r="D1012" s="1744" t="s">
        <v>1290</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3" t="s">
        <v>1843</v>
      </c>
      <c r="AZ1012" s="3" t="s">
        <v>2608</v>
      </c>
    </row>
    <row r="1013" spans="1:52" ht="12.95" customHeight="1">
      <c r="A1013" s="14"/>
      <c r="B1013" s="79"/>
      <c r="C1013" s="80" t="s">
        <v>215</v>
      </c>
      <c r="D1013" s="1766" t="s">
        <v>1291</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697" t="s">
        <v>1292</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9"/>
      <c r="AK1014" s="1730"/>
      <c r="AL1014" s="1730"/>
      <c r="AM1014" s="1730"/>
      <c r="AN1014" s="1730"/>
      <c r="AO1014" s="1730"/>
      <c r="AP1014" s="1730"/>
      <c r="AQ1014" s="1731"/>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3"/>
      <c r="AG1015" s="1854"/>
      <c r="AH1015" s="1854"/>
      <c r="AI1015" s="1855"/>
      <c r="AJ1015" s="1732"/>
      <c r="AK1015" s="1733"/>
      <c r="AL1015" s="1733"/>
      <c r="AM1015" s="1733"/>
      <c r="AN1015" s="1733"/>
      <c r="AO1015" s="1733"/>
      <c r="AP1015" s="1733"/>
      <c r="AQ1015" s="1734"/>
      <c r="AR1015" s="68"/>
      <c r="AS1015" s="68"/>
      <c r="AT1015" s="68"/>
      <c r="AU1015" s="68"/>
      <c r="AV1015" s="68"/>
      <c r="AW1015" s="68"/>
      <c r="AX1015" s="3">
        <v>3</v>
      </c>
      <c r="AY1015" s="200">
        <f t="shared" si="53"/>
        <v>0</v>
      </c>
      <c r="AZ1015" s="1255">
        <v>0.05</v>
      </c>
    </row>
    <row r="1016" spans="1:52" ht="12.95" customHeight="1">
      <c r="A1016" s="14"/>
      <c r="B1016" s="79"/>
      <c r="C1016" s="80" t="s">
        <v>218</v>
      </c>
      <c r="D1016" s="1735" t="s">
        <v>2237</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670</v>
      </c>
      <c r="AH1016" s="1753"/>
      <c r="AI1016" s="87"/>
      <c r="AJ1016" s="1726">
        <f>IF(AG1016="yes",AJ992*AY1024,0)</f>
        <v>0</v>
      </c>
      <c r="AK1016" s="1727"/>
      <c r="AL1016" s="1727"/>
      <c r="AM1016" s="1727"/>
      <c r="AN1016" s="1727"/>
      <c r="AO1016" s="1727"/>
      <c r="AP1016" s="1727"/>
      <c r="AQ1016" s="1728"/>
      <c r="AR1016" s="68"/>
      <c r="AS1016" s="68"/>
      <c r="AT1016" s="68"/>
      <c r="AU1016" s="68"/>
      <c r="AV1016" s="68"/>
      <c r="AW1016" s="68"/>
      <c r="AX1016" s="3">
        <v>4</v>
      </c>
      <c r="AY1016" s="200">
        <f t="shared" si="53"/>
        <v>0</v>
      </c>
      <c r="AZ1016" s="1255">
        <v>0.02</v>
      </c>
    </row>
    <row r="1017" spans="1:52" ht="12.95" customHeight="1">
      <c r="A1017" s="14"/>
      <c r="B1017" s="73"/>
      <c r="C1017" s="74"/>
      <c r="D1017" s="1697" t="s">
        <v>1293</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IF(AND(AG1016="Yes",AY1024=0),AY1027,"")</f>
        <v/>
      </c>
      <c r="AG1017" s="1845"/>
      <c r="AH1017" s="1845"/>
      <c r="AI1017" s="1846"/>
      <c r="AJ1017" s="1729"/>
      <c r="AK1017" s="1730"/>
      <c r="AL1017" s="1730"/>
      <c r="AM1017" s="1730"/>
      <c r="AN1017" s="1730"/>
      <c r="AO1017" s="1730"/>
      <c r="AP1017" s="1730"/>
      <c r="AQ1017" s="1731"/>
      <c r="AR1017" s="68"/>
      <c r="AS1017" s="68"/>
      <c r="AT1017" s="68"/>
      <c r="AU1017" s="68"/>
      <c r="AV1017" s="68"/>
      <c r="AW1017" s="68"/>
      <c r="AX1017" s="3">
        <v>5</v>
      </c>
      <c r="AY1017" s="200">
        <f t="shared" si="53"/>
        <v>0</v>
      </c>
      <c r="AZ1017" s="1255">
        <v>0.04</v>
      </c>
    </row>
    <row r="1018" spans="1:52" ht="12.95"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9"/>
      <c r="AK1018" s="1730"/>
      <c r="AL1018" s="1730"/>
      <c r="AM1018" s="1730"/>
      <c r="AN1018" s="1730"/>
      <c r="AO1018" s="1730"/>
      <c r="AP1018" s="1730"/>
      <c r="AQ1018" s="1731"/>
      <c r="AR1018" s="68"/>
      <c r="AS1018" s="68"/>
      <c r="AT1018" s="68"/>
      <c r="AU1018" s="68"/>
      <c r="AV1018" s="68"/>
      <c r="AW1018" s="68"/>
      <c r="AX1018" s="3">
        <v>6</v>
      </c>
      <c r="AY1018" s="200">
        <f t="shared" si="53"/>
        <v>0</v>
      </c>
      <c r="AZ1018" s="1255">
        <v>0.04</v>
      </c>
    </row>
    <row r="1019" spans="1:52" ht="12.95"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7"/>
      <c r="AG1019" s="1848"/>
      <c r="AH1019" s="1848"/>
      <c r="AI1019" s="1849"/>
      <c r="AJ1019" s="1732"/>
      <c r="AK1019" s="1733"/>
      <c r="AL1019" s="1733"/>
      <c r="AM1019" s="1733"/>
      <c r="AN1019" s="1733"/>
      <c r="AO1019" s="1733"/>
      <c r="AP1019" s="1733"/>
      <c r="AQ1019" s="1734"/>
      <c r="AR1019" s="68"/>
      <c r="AS1019" s="68"/>
      <c r="AT1019" s="68"/>
      <c r="AU1019" s="68"/>
      <c r="AV1019" s="68"/>
      <c r="AW1019" s="68"/>
      <c r="AX1019" s="3">
        <v>7</v>
      </c>
      <c r="AY1019" s="200">
        <f t="shared" si="53"/>
        <v>0</v>
      </c>
      <c r="AZ1019" s="1255">
        <v>0.01</v>
      </c>
    </row>
    <row r="1020" spans="1:52" ht="12.95" customHeight="1">
      <c r="A1020" s="14"/>
      <c r="B1020" s="79"/>
      <c r="C1020" s="80" t="s">
        <v>223</v>
      </c>
      <c r="D1020" s="1814" t="s">
        <v>1294</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670</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3">
        <v>8</v>
      </c>
      <c r="AY1020" s="200">
        <f t="shared" si="53"/>
        <v>0</v>
      </c>
      <c r="AZ1020" s="1255">
        <v>0.01</v>
      </c>
    </row>
    <row r="1021" spans="1:52" ht="12.95"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9"/>
      <c r="AK1021" s="1730"/>
      <c r="AL1021" s="1730"/>
      <c r="AM1021" s="1730"/>
      <c r="AN1021" s="1730"/>
      <c r="AO1021" s="1730"/>
      <c r="AP1021" s="1730"/>
      <c r="AQ1021" s="1731"/>
      <c r="AR1021" s="68"/>
      <c r="AS1021" s="68"/>
      <c r="AT1021" s="68"/>
      <c r="AU1021" s="68"/>
      <c r="AV1021" s="68"/>
      <c r="AW1021" s="68"/>
      <c r="AX1021" s="3">
        <v>9</v>
      </c>
      <c r="AY1021" s="200">
        <f t="shared" si="53"/>
        <v>0</v>
      </c>
      <c r="AZ1021" s="1255">
        <v>0.01</v>
      </c>
    </row>
    <row r="1022" spans="1:52" ht="12.95" customHeight="1">
      <c r="A1022" s="14"/>
      <c r="B1022" s="81"/>
      <c r="C1022" s="84"/>
      <c r="D1022" s="1697" t="s">
        <v>1295</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3">
        <v>10</v>
      </c>
      <c r="AY1022" s="200">
        <f t="shared" si="53"/>
        <v>0</v>
      </c>
      <c r="AZ1022" s="1255">
        <v>0.02</v>
      </c>
    </row>
    <row r="1023" spans="1:52" ht="12.95"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823" t="s">
        <v>592</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1032" t="s">
        <v>2607</v>
      </c>
      <c r="AY1024" s="201">
        <f>IF(SUM(AY1013:AY1023)&lt;=0.2,SUM(AY1013:AY1023),0.2)</f>
        <v>0</v>
      </c>
    </row>
    <row r="1025" spans="1:57" ht="12.95" customHeight="1">
      <c r="A1025" s="14"/>
      <c r="B1025" s="79"/>
      <c r="C1025" s="80" t="s">
        <v>229</v>
      </c>
      <c r="D1025" s="1766" t="s">
        <v>1296</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670</v>
      </c>
      <c r="AH1025" s="1753"/>
      <c r="AI1025" s="87"/>
      <c r="AJ1025" s="1726">
        <f>ROUND(IF(AG1025="Yes",AF1027,0),0)</f>
        <v>0</v>
      </c>
      <c r="AK1025" s="1727"/>
      <c r="AL1025" s="1727"/>
      <c r="AM1025" s="1727"/>
      <c r="AN1025" s="1727"/>
      <c r="AO1025" s="1727"/>
      <c r="AP1025" s="1727"/>
      <c r="AQ1025" s="1728"/>
      <c r="AR1025" s="68"/>
      <c r="AS1025" s="68"/>
      <c r="AT1025" s="68"/>
      <c r="AU1025" s="68"/>
      <c r="AV1025" s="68"/>
      <c r="AW1025" s="68"/>
      <c r="AX1025" s="68"/>
      <c r="AY1025" s="68"/>
    </row>
    <row r="1026" spans="1:57" ht="12.95" customHeight="1">
      <c r="A1026" s="14"/>
      <c r="B1026" s="73"/>
      <c r="C1026" s="74"/>
      <c r="D1026" s="1697" t="s">
        <v>1692</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2.95"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2.95" customHeight="1">
      <c r="A1029" s="14"/>
      <c r="B1029" s="79"/>
      <c r="C1029" s="80" t="s">
        <v>234</v>
      </c>
      <c r="D1029" s="1735" t="s">
        <v>1297</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546</v>
      </c>
      <c r="AH1029" s="1753"/>
      <c r="AI1029" s="87"/>
      <c r="AJ1029" s="1726">
        <f>ROUND(IF(AG1029="yes",(AJ992*0.1),0),0)</f>
        <v>8382125</v>
      </c>
      <c r="AK1029" s="1727"/>
      <c r="AL1029" s="1727"/>
      <c r="AM1029" s="1727"/>
      <c r="AN1029" s="1727"/>
      <c r="AO1029" s="1727"/>
      <c r="AP1029" s="1727"/>
      <c r="AQ1029" s="1728"/>
      <c r="AR1029" s="68"/>
      <c r="AS1029" s="68"/>
      <c r="AT1029" s="68"/>
      <c r="AU1029" s="68"/>
      <c r="AV1029" s="68"/>
      <c r="AW1029" s="68"/>
      <c r="AX1029" s="68"/>
      <c r="AY1029" s="68"/>
    </row>
    <row r="1030" spans="1:57" ht="12.95" customHeight="1">
      <c r="A1030" s="14"/>
      <c r="B1030" s="73"/>
      <c r="C1030" s="74"/>
      <c r="D1030" s="1697" t="s">
        <v>1298</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2.95"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2.95" customHeight="1">
      <c r="A1032" s="14"/>
      <c r="B1032" s="73"/>
      <c r="C1032" s="339" t="s">
        <v>688</v>
      </c>
      <c r="D1032" s="1766" t="s">
        <v>1688</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2.95" customHeight="1">
      <c r="A1033" s="14"/>
      <c r="B1033" s="73"/>
      <c r="C1033" s="74"/>
      <c r="D1033" s="1803" t="s">
        <v>1689</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4"/>
      <c r="AF1033" s="915"/>
      <c r="AG1033" s="916"/>
      <c r="AH1033" s="916"/>
      <c r="AI1033" s="917"/>
      <c r="AJ1033" s="1729"/>
      <c r="AK1033" s="1730"/>
      <c r="AL1033" s="1730"/>
      <c r="AM1033" s="1730"/>
      <c r="AN1033" s="1730"/>
      <c r="AO1033" s="1730"/>
      <c r="AP1033" s="1730"/>
      <c r="AQ1033" s="1731"/>
      <c r="AR1033" s="68"/>
      <c r="AS1033" s="68"/>
      <c r="AT1033" s="68"/>
      <c r="AU1033" s="68"/>
      <c r="AV1033" s="68"/>
      <c r="AW1033" s="68"/>
      <c r="AX1033" s="68"/>
      <c r="AY1033" s="68"/>
    </row>
    <row r="1034" spans="1:57" ht="12.95" customHeight="1">
      <c r="A1034" s="14"/>
      <c r="B1034" s="73"/>
      <c r="C1034" s="74"/>
      <c r="D1034" s="1803"/>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4"/>
      <c r="AF1034" s="915"/>
      <c r="AG1034" s="916"/>
      <c r="AH1034" s="916"/>
      <c r="AI1034" s="917"/>
      <c r="AJ1034" s="1729"/>
      <c r="AK1034" s="1730"/>
      <c r="AL1034" s="1730"/>
      <c r="AM1034" s="1730"/>
      <c r="AN1034" s="1730"/>
      <c r="AO1034" s="1730"/>
      <c r="AP1034" s="1730"/>
      <c r="AQ1034" s="1731"/>
      <c r="AR1034" s="68"/>
      <c r="AS1034" s="68"/>
      <c r="AT1034" s="68"/>
      <c r="AU1034" s="68"/>
      <c r="AV1034" s="68"/>
      <c r="AW1034" s="68"/>
      <c r="AX1034" s="68"/>
      <c r="AY1034" s="68"/>
    </row>
    <row r="1035" spans="1:57" ht="12.95"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8"/>
      <c r="AG1035" s="919"/>
      <c r="AH1035" s="919"/>
      <c r="AI1035" s="920"/>
      <c r="AJ1035" s="1732"/>
      <c r="AK1035" s="1733"/>
      <c r="AL1035" s="1733"/>
      <c r="AM1035" s="1733"/>
      <c r="AN1035" s="1733"/>
      <c r="AO1035" s="1733"/>
      <c r="AP1035" s="1733"/>
      <c r="AQ1035" s="1734"/>
      <c r="AR1035" s="68"/>
      <c r="AS1035" s="68"/>
      <c r="AT1035" s="68"/>
      <c r="AU1035" s="68"/>
      <c r="AV1035" s="68"/>
      <c r="AW1035" s="68"/>
      <c r="AX1035" s="68"/>
      <c r="AY1035" s="68"/>
    </row>
    <row r="1036" spans="1:57" ht="12.95" customHeight="1">
      <c r="A1036" s="14"/>
      <c r="B1036" s="73"/>
      <c r="C1036" s="339" t="s">
        <v>688</v>
      </c>
      <c r="D1036" s="1735" t="s">
        <v>1690</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546</v>
      </c>
      <c r="AH1036" s="1755"/>
      <c r="AI1036" s="83"/>
      <c r="AJ1036" s="1726">
        <f>ROUND(IF(AND(AG1036="yes",AJ1032=0),(AJ992*0.1),0),0)</f>
        <v>8382125</v>
      </c>
      <c r="AK1036" s="1727"/>
      <c r="AL1036" s="1727"/>
      <c r="AM1036" s="1727"/>
      <c r="AN1036" s="1727"/>
      <c r="AO1036" s="1727"/>
      <c r="AP1036" s="1727"/>
      <c r="AQ1036" s="1728"/>
      <c r="AR1036" s="68"/>
      <c r="AS1036" s="68"/>
      <c r="AT1036" s="68"/>
      <c r="AU1036" s="68"/>
      <c r="AV1036" s="68"/>
      <c r="AW1036" s="68"/>
      <c r="AX1036" s="68"/>
      <c r="AY1036" s="68"/>
    </row>
    <row r="1037" spans="1:57" ht="12.95" customHeight="1">
      <c r="A1037" s="14"/>
      <c r="B1037" s="73"/>
      <c r="C1037" s="74"/>
      <c r="D1037" s="1803" t="s">
        <v>1691</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2.95" customHeight="1">
      <c r="A1038" s="14"/>
      <c r="B1038" s="73"/>
      <c r="C1038" s="74"/>
      <c r="D1038" s="1803"/>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5" customHeight="1">
      <c r="A1039" s="14"/>
      <c r="B1039" s="73"/>
      <c r="C1039" s="74"/>
      <c r="D1039" s="1803"/>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0.22818791946308725</v>
      </c>
      <c r="BB1039" s="3" t="s">
        <v>2494</v>
      </c>
    </row>
    <row r="1040" spans="1:57" ht="12.95"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2491</v>
      </c>
    </row>
    <row r="1041" spans="1:56" ht="12.95" customHeight="1">
      <c r="A1041" s="14"/>
      <c r="B1041" s="79"/>
      <c r="C1041" s="131" t="s">
        <v>1011</v>
      </c>
      <c r="D1041" s="1766" t="s">
        <v>1299</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670</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2492</v>
      </c>
    </row>
    <row r="1042" spans="1:56" ht="12.95" customHeight="1">
      <c r="A1042" s="14"/>
      <c r="B1042" s="73"/>
      <c r="C1042" s="74"/>
      <c r="D1042" s="1697" t="s">
        <v>2146</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4">
        <f>T212</f>
        <v>0</v>
      </c>
      <c r="BB1042" s="3" t="s">
        <v>2493</v>
      </c>
    </row>
    <row r="1043" spans="1:56" ht="12.95"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2.95"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2.95" customHeight="1">
      <c r="A1045" s="14"/>
      <c r="B1045" s="79"/>
      <c r="C1045" s="131" t="s">
        <v>1686</v>
      </c>
      <c r="D1045" s="1735" t="s">
        <v>1866</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9220337.2799999993</v>
      </c>
      <c r="AK1045" s="1727"/>
      <c r="AL1045" s="1727"/>
      <c r="AM1045" s="1727"/>
      <c r="AN1045" s="1727"/>
      <c r="AO1045" s="1727"/>
      <c r="AP1045" s="1727"/>
      <c r="AQ1045" s="172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697" t="s">
        <v>1301</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9"/>
      <c r="AK1046" s="1730"/>
      <c r="AL1046" s="1730"/>
      <c r="AM1046" s="1730"/>
      <c r="AN1046" s="1730"/>
      <c r="AO1046" s="1730"/>
      <c r="AP1046" s="1730"/>
      <c r="AQ1046" s="1731"/>
      <c r="AR1046" s="68"/>
      <c r="AS1046" s="68"/>
      <c r="AT1046" s="68"/>
      <c r="AU1046" s="13"/>
      <c r="AV1046" s="68"/>
      <c r="AW1046" s="68"/>
      <c r="AX1046" s="68"/>
      <c r="AY1046" s="68"/>
      <c r="AZ1046" s="962">
        <f>'Sources and Uses Budget'!S97*BA1046</f>
        <v>8083741.0499999998</v>
      </c>
      <c r="BA1046" s="1182">
        <f>IF(BA1040,20%,15%)</f>
        <v>0.15</v>
      </c>
      <c r="BB1046" s="3" t="s">
        <v>2480</v>
      </c>
      <c r="BC1046" s="3" t="s">
        <v>2481</v>
      </c>
      <c r="BD1046" s="3"/>
    </row>
    <row r="1047" spans="1:56" ht="12.95"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9"/>
      <c r="AK1047" s="1730"/>
      <c r="AL1047" s="1730"/>
      <c r="AM1047" s="1730"/>
      <c r="AN1047" s="1730"/>
      <c r="AO1047" s="1730"/>
      <c r="AP1047" s="1730"/>
      <c r="AQ1047" s="1731"/>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973</v>
      </c>
      <c r="E1048" s="133"/>
      <c r="F1048" s="133"/>
      <c r="G1048" s="133"/>
      <c r="H1048" s="133"/>
      <c r="I1048" s="1789">
        <f>AY1003</f>
        <v>149</v>
      </c>
      <c r="J1048" s="1790"/>
      <c r="K1048" s="7"/>
      <c r="L1048" s="133"/>
      <c r="M1048" s="133"/>
      <c r="N1048" s="133"/>
      <c r="O1048" s="133"/>
      <c r="P1048" s="133"/>
      <c r="Q1048" s="133"/>
      <c r="R1048" s="133"/>
      <c r="S1048" s="133"/>
      <c r="T1048" s="133"/>
      <c r="U1048" s="133"/>
      <c r="V1048" s="134" t="s">
        <v>974</v>
      </c>
      <c r="W1048" s="48"/>
      <c r="X1048" s="1787">
        <f>CI753</f>
        <v>17</v>
      </c>
      <c r="Y1048" s="1788"/>
      <c r="Z1048" s="48"/>
      <c r="AA1048" s="48"/>
      <c r="AB1048" s="48"/>
      <c r="AC1048" s="48"/>
      <c r="AD1048" s="48"/>
      <c r="AE1048" s="49"/>
      <c r="AF1048" s="924"/>
      <c r="AG1048" s="925"/>
      <c r="AH1048" s="925"/>
      <c r="AI1048" s="926"/>
      <c r="AJ1048" s="1732"/>
      <c r="AK1048" s="1733"/>
      <c r="AL1048" s="1733"/>
      <c r="AM1048" s="1733"/>
      <c r="AN1048" s="1733"/>
      <c r="AO1048" s="1733"/>
      <c r="AP1048" s="1733"/>
      <c r="AQ1048" s="1734"/>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2.95" customHeight="1">
      <c r="A1049" s="14"/>
      <c r="B1049" s="79"/>
      <c r="C1049" s="131" t="s">
        <v>1687</v>
      </c>
      <c r="D1049" s="1766" t="s">
        <v>2172</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18440674.559999999</v>
      </c>
      <c r="AK1049" s="1727"/>
      <c r="AL1049" s="1727"/>
      <c r="AM1049" s="1727"/>
      <c r="AN1049" s="1727"/>
      <c r="AO1049" s="1727"/>
      <c r="AP1049" s="1727"/>
      <c r="AQ1049" s="1728"/>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697" t="s">
        <v>1300</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9"/>
      <c r="AK1050" s="1730"/>
      <c r="AL1050" s="1730"/>
      <c r="AM1050" s="1730"/>
      <c r="AN1050" s="1730"/>
      <c r="AO1050" s="1730"/>
      <c r="AP1050" s="1730"/>
      <c r="AQ1050" s="1731"/>
      <c r="AR1050" s="68"/>
      <c r="AS1050" s="68"/>
      <c r="AT1050" s="68"/>
      <c r="AU1050" s="68"/>
      <c r="AV1050" s="68"/>
      <c r="AW1050" s="68"/>
      <c r="AX1050" s="68"/>
      <c r="AY1050" s="68"/>
      <c r="AZ1050" s="962"/>
      <c r="BA1050" s="3"/>
      <c r="BB1050" s="3"/>
      <c r="BC1050" s="3"/>
      <c r="BD1050" s="3"/>
    </row>
    <row r="1051" spans="1:56" ht="12.95"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9"/>
      <c r="AK1051" s="1730"/>
      <c r="AL1051" s="1730"/>
      <c r="AM1051" s="1730"/>
      <c r="AN1051" s="1730"/>
      <c r="AO1051" s="1730"/>
      <c r="AP1051" s="1730"/>
      <c r="AQ1051" s="1731"/>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9">
        <f>AY1003</f>
        <v>149</v>
      </c>
      <c r="J1052" s="1790"/>
      <c r="K1052" s="14"/>
      <c r="L1052" s="133"/>
      <c r="M1052" s="133"/>
      <c r="N1052" s="133"/>
      <c r="O1052" s="133"/>
      <c r="P1052" s="133"/>
      <c r="Q1052" s="133"/>
      <c r="R1052" s="133"/>
      <c r="S1052" s="133"/>
      <c r="T1052" s="133"/>
      <c r="U1052" s="133"/>
      <c r="V1052" s="134" t="s">
        <v>975</v>
      </c>
      <c r="X1052" s="1787">
        <f>CM753</f>
        <v>17</v>
      </c>
      <c r="Y1052" s="1788"/>
      <c r="AF1052" s="924"/>
      <c r="AG1052" s="925"/>
      <c r="AH1052" s="925"/>
      <c r="AI1052" s="926"/>
      <c r="AJ1052" s="1732"/>
      <c r="AK1052" s="1733"/>
      <c r="AL1052" s="1733"/>
      <c r="AM1052" s="1733"/>
      <c r="AN1052" s="1733"/>
      <c r="AO1052" s="1733"/>
      <c r="AP1052" s="1733"/>
      <c r="AQ1052" s="1734"/>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785" t="s">
        <v>514</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136628634.84</v>
      </c>
      <c r="AK1053" s="1801"/>
      <c r="AL1053" s="1801"/>
      <c r="AM1053" s="1801"/>
      <c r="AN1053" s="1801"/>
      <c r="AO1053" s="1801"/>
      <c r="AP1053" s="1801"/>
      <c r="AQ1053" s="1802"/>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61975348</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8083741.0499999998</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0.51750791150138242</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8083741</v>
      </c>
      <c r="BB1058" s="3" t="s">
        <v>2495</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5583741</v>
      </c>
      <c r="BB1059" s="3" t="s">
        <v>2496</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592</v>
      </c>
      <c r="B1065" s="1416"/>
      <c r="C1065" s="1857">
        <v>1</v>
      </c>
      <c r="D1065" s="1857"/>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592</v>
      </c>
      <c r="B1067" s="1416"/>
      <c r="C1067" s="1857">
        <v>2</v>
      </c>
      <c r="D1067" s="1857"/>
      <c r="E1067" s="1859" t="s">
        <v>2239</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5"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5"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592</v>
      </c>
      <c r="B1070" s="1416"/>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592</v>
      </c>
      <c r="B1075" s="1416"/>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592</v>
      </c>
      <c r="B1081" s="1416"/>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592</v>
      </c>
      <c r="B1085" s="1416"/>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592</v>
      </c>
      <c r="B1089" s="1416"/>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592</v>
      </c>
      <c r="B1094" s="1416"/>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592</v>
      </c>
      <c r="B1097" s="1416"/>
      <c r="C1097" s="1857">
        <v>9</v>
      </c>
      <c r="D1097" s="1857"/>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592</v>
      </c>
      <c r="B1100" s="1416"/>
      <c r="C1100" s="1857">
        <v>10</v>
      </c>
      <c r="D1100" s="1857"/>
      <c r="E1100" s="1858" t="s">
        <v>2240</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5"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592</v>
      </c>
      <c r="B1103" s="1416"/>
      <c r="C1103" s="1857">
        <v>11</v>
      </c>
      <c r="D1103" s="1857"/>
      <c r="E1103" s="1858" t="s">
        <v>2242</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5"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8" workbookViewId="0">
      <selection activeCell="R108" sqref="R10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 Bank Perm Loan</v>
      </c>
      <c r="G2" s="139" t="str">
        <f>Application!B628&amp;Application!C628</f>
        <v>2)Deffered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1300000</v>
      </c>
      <c r="C4" s="147">
        <v>1300000</v>
      </c>
      <c r="D4" s="147"/>
      <c r="E4" s="147">
        <f>+C4-SUM(F4:I4)</f>
        <v>1300000</v>
      </c>
      <c r="F4" s="147"/>
      <c r="G4" s="147"/>
      <c r="H4" s="147"/>
      <c r="I4" s="147"/>
      <c r="J4" s="147"/>
      <c r="K4" s="147"/>
      <c r="L4" s="147"/>
      <c r="M4" s="147"/>
      <c r="N4" s="147"/>
      <c r="O4" s="147"/>
      <c r="P4" s="147"/>
      <c r="Q4" s="147"/>
      <c r="R4" s="516">
        <f>SUM(E4:Q4)</f>
        <v>1300000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1300000</v>
      </c>
      <c r="C8" s="146">
        <f t="shared" ref="C8:Q8" si="0">SUM(C4:C7)</f>
        <v>1300000</v>
      </c>
      <c r="D8" s="146">
        <f t="shared" si="0"/>
        <v>0</v>
      </c>
      <c r="E8" s="146">
        <f t="shared" si="0"/>
        <v>1300000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1300000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1300000</v>
      </c>
      <c r="C12" s="146">
        <f t="shared" si="2"/>
        <v>1300000</v>
      </c>
      <c r="D12" s="146">
        <f t="shared" si="2"/>
        <v>0</v>
      </c>
      <c r="E12" s="146">
        <f t="shared" si="2"/>
        <v>1300000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1300000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1645</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1642</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f t="shared" ref="E29:E37" si="7">+C29-SUM(F29:I29)</f>
        <v>0</v>
      </c>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600</v>
      </c>
      <c r="B30" s="146">
        <f t="shared" si="6"/>
        <v>36681120</v>
      </c>
      <c r="C30" s="147">
        <v>36681120</v>
      </c>
      <c r="D30" s="147"/>
      <c r="E30" s="147">
        <f t="shared" si="7"/>
        <v>6206245</v>
      </c>
      <c r="F30" s="147">
        <f>+Application!AO627</f>
        <v>30474875</v>
      </c>
      <c r="G30" s="147"/>
      <c r="H30" s="147"/>
      <c r="I30" s="147"/>
      <c r="J30" s="147"/>
      <c r="K30" s="147"/>
      <c r="L30" s="147"/>
      <c r="M30" s="147"/>
      <c r="N30" s="147"/>
      <c r="O30" s="147"/>
      <c r="P30" s="147"/>
      <c r="Q30" s="147"/>
      <c r="R30" s="516">
        <f t="shared" si="8"/>
        <v>36681120</v>
      </c>
      <c r="S30" s="147">
        <f>+R30</f>
        <v>36681120</v>
      </c>
      <c r="T30" s="147"/>
      <c r="U30" s="143"/>
    </row>
    <row r="31" spans="1:21" s="144" customFormat="1">
      <c r="A31" s="145" t="s">
        <v>601</v>
      </c>
      <c r="B31" s="146">
        <f t="shared" si="6"/>
        <v>2200867</v>
      </c>
      <c r="C31" s="147">
        <v>2200867</v>
      </c>
      <c r="D31" s="147"/>
      <c r="E31" s="147">
        <f t="shared" si="7"/>
        <v>2200867</v>
      </c>
      <c r="F31" s="147"/>
      <c r="G31" s="147"/>
      <c r="H31" s="147"/>
      <c r="I31" s="147"/>
      <c r="J31" s="147"/>
      <c r="K31" s="147"/>
      <c r="L31" s="147"/>
      <c r="M31" s="147"/>
      <c r="N31" s="147"/>
      <c r="O31" s="147"/>
      <c r="P31" s="147"/>
      <c r="Q31" s="147"/>
      <c r="R31" s="516">
        <f t="shared" si="8"/>
        <v>2200867</v>
      </c>
      <c r="S31" s="147">
        <f t="shared" ref="S31:S37" si="9">+R31</f>
        <v>2200867</v>
      </c>
      <c r="T31" s="147"/>
      <c r="U31" s="143"/>
    </row>
    <row r="32" spans="1:21" s="144" customFormat="1">
      <c r="A32" s="145" t="s">
        <v>137</v>
      </c>
      <c r="B32" s="146">
        <f t="shared" si="6"/>
        <v>777640</v>
      </c>
      <c r="C32" s="147">
        <v>777640</v>
      </c>
      <c r="D32" s="147"/>
      <c r="E32" s="147">
        <f t="shared" si="7"/>
        <v>777640</v>
      </c>
      <c r="F32" s="147"/>
      <c r="G32" s="147"/>
      <c r="H32" s="147"/>
      <c r="I32" s="147"/>
      <c r="J32" s="147"/>
      <c r="K32" s="147"/>
      <c r="L32" s="147"/>
      <c r="M32" s="147"/>
      <c r="N32" s="147"/>
      <c r="O32" s="147"/>
      <c r="P32" s="147"/>
      <c r="Q32" s="147"/>
      <c r="R32" s="516">
        <f t="shared" si="8"/>
        <v>777640</v>
      </c>
      <c r="S32" s="147">
        <f t="shared" si="9"/>
        <v>777640</v>
      </c>
      <c r="T32" s="147"/>
      <c r="U32" s="143"/>
    </row>
    <row r="33" spans="1:21" s="144" customFormat="1">
      <c r="A33" s="145" t="s">
        <v>138</v>
      </c>
      <c r="B33" s="146">
        <f t="shared" si="6"/>
        <v>2332919</v>
      </c>
      <c r="C33" s="147">
        <v>2332919</v>
      </c>
      <c r="D33" s="147"/>
      <c r="E33" s="147">
        <f t="shared" si="7"/>
        <v>2332919</v>
      </c>
      <c r="F33" s="147"/>
      <c r="G33" s="147"/>
      <c r="H33" s="147"/>
      <c r="I33" s="147"/>
      <c r="J33" s="147"/>
      <c r="K33" s="147"/>
      <c r="L33" s="147"/>
      <c r="M33" s="147"/>
      <c r="N33" s="147"/>
      <c r="O33" s="147"/>
      <c r="P33" s="147"/>
      <c r="Q33" s="147"/>
      <c r="R33" s="516">
        <f t="shared" si="8"/>
        <v>2332919</v>
      </c>
      <c r="S33" s="147">
        <f t="shared" si="9"/>
        <v>2332919</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1259776</v>
      </c>
      <c r="C35" s="147">
        <v>1259776</v>
      </c>
      <c r="D35" s="147"/>
      <c r="E35" s="147">
        <f t="shared" si="7"/>
        <v>1259776</v>
      </c>
      <c r="F35" s="147"/>
      <c r="G35" s="147"/>
      <c r="H35" s="147"/>
      <c r="I35" s="147"/>
      <c r="J35" s="147"/>
      <c r="K35" s="147"/>
      <c r="L35" s="147"/>
      <c r="M35" s="147"/>
      <c r="N35" s="147"/>
      <c r="O35" s="147"/>
      <c r="P35" s="147"/>
      <c r="Q35" s="147"/>
      <c r="R35" s="516">
        <f t="shared" si="8"/>
        <v>1259776</v>
      </c>
      <c r="S35" s="147">
        <f t="shared" si="9"/>
        <v>1259776</v>
      </c>
      <c r="T35" s="147"/>
      <c r="U35" s="143"/>
    </row>
    <row r="36" spans="1:21" s="144" customFormat="1">
      <c r="A36" s="283" t="s">
        <v>1642</v>
      </c>
      <c r="B36" s="146">
        <f t="shared" si="6"/>
        <v>0</v>
      </c>
      <c r="C36" s="147"/>
      <c r="D36" s="147"/>
      <c r="E36" s="147">
        <f t="shared" si="7"/>
        <v>0</v>
      </c>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9" t="s">
        <v>34</v>
      </c>
      <c r="B37" s="146">
        <f t="shared" si="6"/>
        <v>0</v>
      </c>
      <c r="C37" s="147"/>
      <c r="D37" s="147"/>
      <c r="E37" s="147">
        <f t="shared" si="7"/>
        <v>0</v>
      </c>
      <c r="F37" s="147"/>
      <c r="G37" s="147"/>
      <c r="H37" s="147"/>
      <c r="I37" s="147"/>
      <c r="J37" s="147"/>
      <c r="K37" s="147"/>
      <c r="L37" s="147"/>
      <c r="M37" s="147"/>
      <c r="N37" s="147"/>
      <c r="O37" s="147"/>
      <c r="P37" s="147"/>
      <c r="Q37" s="147"/>
      <c r="R37" s="516">
        <f t="shared" si="8"/>
        <v>0</v>
      </c>
      <c r="S37" s="147">
        <f t="shared" si="9"/>
        <v>0</v>
      </c>
      <c r="T37" s="147"/>
      <c r="U37" s="143"/>
    </row>
    <row r="38" spans="1:21" s="144" customFormat="1">
      <c r="A38" s="149" t="s">
        <v>143</v>
      </c>
      <c r="B38" s="146">
        <f t="shared" si="6"/>
        <v>43252322</v>
      </c>
      <c r="C38" s="146">
        <f>SUM(C29:C37)</f>
        <v>43252322</v>
      </c>
      <c r="D38" s="146">
        <f t="shared" ref="D38:Q38" si="10">SUM(D29:D37)</f>
        <v>0</v>
      </c>
      <c r="E38" s="146">
        <f t="shared" si="10"/>
        <v>12777447</v>
      </c>
      <c r="F38" s="146">
        <f t="shared" si="10"/>
        <v>30474875</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43252322</v>
      </c>
      <c r="S38" s="150">
        <f>SUM(S29:S37)</f>
        <v>43252322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f t="shared" ref="E40:E41" si="11">+C40-SUM(F40:I40)</f>
        <v>750000</v>
      </c>
      <c r="F40" s="147"/>
      <c r="G40" s="147"/>
      <c r="H40" s="147"/>
      <c r="I40" s="147"/>
      <c r="J40" s="147"/>
      <c r="K40" s="147"/>
      <c r="L40" s="147"/>
      <c r="M40" s="147"/>
      <c r="N40" s="147"/>
      <c r="O40" s="147"/>
      <c r="P40" s="147"/>
      <c r="Q40" s="147"/>
      <c r="R40" s="516">
        <f>SUM(E40:Q40)</f>
        <v>750000</v>
      </c>
      <c r="S40" s="147">
        <f t="shared" ref="S40:S41" si="12">+R40</f>
        <v>750000</v>
      </c>
      <c r="T40" s="147"/>
      <c r="U40" s="143"/>
    </row>
    <row r="41" spans="1:21" s="144" customFormat="1">
      <c r="A41" s="145" t="s">
        <v>146</v>
      </c>
      <c r="B41" s="146">
        <f>SUM(C41+D41)</f>
        <v>200000</v>
      </c>
      <c r="C41" s="147">
        <v>200000</v>
      </c>
      <c r="D41" s="147"/>
      <c r="E41" s="147">
        <f t="shared" si="11"/>
        <v>200000</v>
      </c>
      <c r="F41" s="147"/>
      <c r="G41" s="147"/>
      <c r="H41" s="147"/>
      <c r="I41" s="147"/>
      <c r="J41" s="147"/>
      <c r="K41" s="147"/>
      <c r="L41" s="147"/>
      <c r="M41" s="147"/>
      <c r="N41" s="147"/>
      <c r="O41" s="147"/>
      <c r="P41" s="147"/>
      <c r="Q41" s="147"/>
      <c r="R41" s="516">
        <f>SUM(E41:Q41)</f>
        <v>200000</v>
      </c>
      <c r="S41" s="147">
        <f t="shared" si="12"/>
        <v>200000</v>
      </c>
      <c r="T41" s="147"/>
      <c r="U41" s="143"/>
    </row>
    <row r="42" spans="1:21" s="144" customFormat="1">
      <c r="A42" s="149" t="s">
        <v>147</v>
      </c>
      <c r="B42" s="146">
        <f>SUM(C42:D42)</f>
        <v>950000</v>
      </c>
      <c r="C42" s="146">
        <f>SUM(C39:C41)</f>
        <v>950000</v>
      </c>
      <c r="D42" s="146">
        <f>SUM(D39:D41)</f>
        <v>0</v>
      </c>
      <c r="E42" s="146">
        <f t="shared" ref="E42:T42" si="13">SUM(E40:E41)</f>
        <v>950000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950000</v>
      </c>
      <c r="S42" s="150">
        <f t="shared" si="13"/>
        <v>950000</v>
      </c>
      <c r="T42" s="150">
        <f t="shared" si="13"/>
        <v>0</v>
      </c>
      <c r="U42" s="143"/>
    </row>
    <row r="43" spans="1:21" s="144" customFormat="1">
      <c r="A43" s="149" t="s">
        <v>148</v>
      </c>
      <c r="B43" s="146">
        <f>SUM(C43:D43)</f>
        <v>350000</v>
      </c>
      <c r="C43" s="147">
        <v>350000</v>
      </c>
      <c r="D43" s="147"/>
      <c r="E43" s="147">
        <f>+C43-SUM(F43:I43)</f>
        <v>350000</v>
      </c>
      <c r="F43" s="147"/>
      <c r="G43" s="147"/>
      <c r="H43" s="147"/>
      <c r="I43" s="147"/>
      <c r="J43" s="147"/>
      <c r="K43" s="147"/>
      <c r="L43" s="147"/>
      <c r="M43" s="147"/>
      <c r="N43" s="147"/>
      <c r="O43" s="147"/>
      <c r="P43" s="147"/>
      <c r="Q43" s="147"/>
      <c r="R43" s="516">
        <f>SUM(E43:Q43)</f>
        <v>350000</v>
      </c>
      <c r="S43" s="147">
        <f>+R43</f>
        <v>350000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3938947</v>
      </c>
      <c r="C45" s="147">
        <f>3688947+250000</f>
        <v>3938947</v>
      </c>
      <c r="D45" s="147"/>
      <c r="E45" s="147">
        <f t="shared" ref="E45:E53" si="15">+C45-SUM(F45:I45)</f>
        <v>3938947</v>
      </c>
      <c r="F45" s="147"/>
      <c r="G45" s="147"/>
      <c r="H45" s="147"/>
      <c r="I45" s="147"/>
      <c r="J45" s="147"/>
      <c r="K45" s="147"/>
      <c r="L45" s="147"/>
      <c r="M45" s="147"/>
      <c r="N45" s="147"/>
      <c r="O45" s="147"/>
      <c r="P45" s="147"/>
      <c r="Q45" s="147"/>
      <c r="R45" s="516">
        <f t="shared" ref="R45:R53" si="16">SUM(E45:Q45)</f>
        <v>3938947</v>
      </c>
      <c r="S45" s="147">
        <v>3688947</v>
      </c>
      <c r="T45" s="147"/>
      <c r="U45" s="143"/>
    </row>
    <row r="46" spans="1:21" s="144" customFormat="1">
      <c r="A46" s="145" t="s">
        <v>151</v>
      </c>
      <c r="B46" s="146">
        <f t="shared" si="14"/>
        <v>532096</v>
      </c>
      <c r="C46" s="147">
        <v>532096</v>
      </c>
      <c r="D46" s="147"/>
      <c r="E46" s="147">
        <f t="shared" si="15"/>
        <v>532096</v>
      </c>
      <c r="F46" s="147"/>
      <c r="G46" s="147"/>
      <c r="H46" s="147"/>
      <c r="I46" s="147"/>
      <c r="J46" s="147"/>
      <c r="K46" s="147"/>
      <c r="L46" s="147"/>
      <c r="M46" s="147"/>
      <c r="N46" s="147"/>
      <c r="O46" s="147"/>
      <c r="P46" s="147"/>
      <c r="Q46" s="147"/>
      <c r="R46" s="516">
        <f t="shared" si="16"/>
        <v>532096</v>
      </c>
      <c r="S46" s="147">
        <f t="shared" ref="S46:S53" si="17">+R46</f>
        <v>532096</v>
      </c>
      <c r="T46" s="147"/>
      <c r="U46" s="143"/>
    </row>
    <row r="47" spans="1:21" s="144" customFormat="1">
      <c r="A47" s="186" t="s">
        <v>152</v>
      </c>
      <c r="B47" s="146">
        <f t="shared" si="14"/>
        <v>35000</v>
      </c>
      <c r="C47" s="147">
        <v>35000</v>
      </c>
      <c r="D47" s="147"/>
      <c r="E47" s="147">
        <f t="shared" si="15"/>
        <v>35000</v>
      </c>
      <c r="F47" s="147"/>
      <c r="G47" s="147"/>
      <c r="H47" s="147"/>
      <c r="I47" s="147"/>
      <c r="J47" s="147"/>
      <c r="K47" s="147"/>
      <c r="L47" s="147"/>
      <c r="M47" s="147"/>
      <c r="N47" s="147"/>
      <c r="O47" s="147"/>
      <c r="P47" s="147"/>
      <c r="Q47" s="147"/>
      <c r="R47" s="516">
        <f t="shared" si="16"/>
        <v>35000</v>
      </c>
      <c r="S47" s="147">
        <f t="shared" si="17"/>
        <v>35000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224333</v>
      </c>
      <c r="C49" s="147">
        <v>224333</v>
      </c>
      <c r="D49" s="147"/>
      <c r="E49" s="147">
        <f t="shared" si="15"/>
        <v>224333</v>
      </c>
      <c r="F49" s="147"/>
      <c r="G49" s="147"/>
      <c r="H49" s="147"/>
      <c r="I49" s="147"/>
      <c r="J49" s="147"/>
      <c r="K49" s="147"/>
      <c r="L49" s="147"/>
      <c r="M49" s="147"/>
      <c r="N49" s="147"/>
      <c r="O49" s="147"/>
      <c r="P49" s="147"/>
      <c r="Q49" s="147"/>
      <c r="R49" s="516">
        <f t="shared" si="16"/>
        <v>224333</v>
      </c>
      <c r="S49" s="147"/>
      <c r="T49" s="147"/>
      <c r="U49" s="143"/>
    </row>
    <row r="50" spans="1:21" s="144" customFormat="1">
      <c r="A50" s="145" t="s">
        <v>156</v>
      </c>
      <c r="B50" s="146">
        <f t="shared" si="14"/>
        <v>40000</v>
      </c>
      <c r="C50" s="147">
        <v>40000</v>
      </c>
      <c r="D50" s="147"/>
      <c r="E50" s="147">
        <f t="shared" si="15"/>
        <v>40000</v>
      </c>
      <c r="F50" s="147"/>
      <c r="G50" s="147"/>
      <c r="H50" s="147"/>
      <c r="I50" s="147"/>
      <c r="J50" s="147"/>
      <c r="K50" s="147"/>
      <c r="L50" s="147"/>
      <c r="M50" s="147"/>
      <c r="N50" s="147"/>
      <c r="O50" s="147"/>
      <c r="P50" s="147"/>
      <c r="Q50" s="147"/>
      <c r="R50" s="516">
        <f t="shared" si="16"/>
        <v>40000</v>
      </c>
      <c r="S50" s="147">
        <f t="shared" si="17"/>
        <v>40000</v>
      </c>
      <c r="T50" s="147"/>
      <c r="U50" s="143"/>
    </row>
    <row r="51" spans="1:21" s="144" customFormat="1">
      <c r="A51" s="283" t="s">
        <v>154</v>
      </c>
      <c r="B51" s="146">
        <f t="shared" si="14"/>
        <v>26000</v>
      </c>
      <c r="C51" s="147">
        <v>26000</v>
      </c>
      <c r="D51" s="147"/>
      <c r="E51" s="147">
        <f t="shared" si="15"/>
        <v>26000</v>
      </c>
      <c r="F51" s="147"/>
      <c r="G51" s="147"/>
      <c r="H51" s="147"/>
      <c r="I51" s="147"/>
      <c r="J51" s="147"/>
      <c r="K51" s="147"/>
      <c r="L51" s="147"/>
      <c r="M51" s="147"/>
      <c r="N51" s="147"/>
      <c r="O51" s="147"/>
      <c r="P51" s="147"/>
      <c r="Q51" s="147"/>
      <c r="R51" s="516">
        <f t="shared" si="16"/>
        <v>26000</v>
      </c>
      <c r="S51" s="147">
        <f t="shared" si="17"/>
        <v>26000</v>
      </c>
      <c r="T51" s="147"/>
      <c r="U51" s="143"/>
    </row>
    <row r="52" spans="1:21" s="144" customFormat="1">
      <c r="A52" s="145" t="s">
        <v>155</v>
      </c>
      <c r="B52" s="146">
        <f t="shared" si="14"/>
        <v>0</v>
      </c>
      <c r="C52" s="147"/>
      <c r="D52" s="147"/>
      <c r="E52" s="147">
        <f t="shared" si="15"/>
        <v>0</v>
      </c>
      <c r="F52" s="147"/>
      <c r="G52" s="147"/>
      <c r="H52" s="147"/>
      <c r="I52" s="147"/>
      <c r="J52" s="147"/>
      <c r="K52" s="147"/>
      <c r="L52" s="147"/>
      <c r="M52" s="147"/>
      <c r="N52" s="147"/>
      <c r="O52" s="147"/>
      <c r="P52" s="147"/>
      <c r="Q52" s="147"/>
      <c r="R52" s="516">
        <f t="shared" si="16"/>
        <v>0</v>
      </c>
      <c r="S52" s="147">
        <f t="shared" si="17"/>
        <v>0</v>
      </c>
      <c r="T52" s="147"/>
      <c r="U52" s="143"/>
    </row>
    <row r="53" spans="1:21" s="144" customFormat="1">
      <c r="A53" s="1149" t="s">
        <v>2703</v>
      </c>
      <c r="B53" s="146">
        <f t="shared" si="14"/>
        <v>20000</v>
      </c>
      <c r="C53" s="147">
        <v>20000</v>
      </c>
      <c r="D53" s="147"/>
      <c r="E53" s="147">
        <f t="shared" si="15"/>
        <v>20000</v>
      </c>
      <c r="F53" s="147"/>
      <c r="G53" s="147"/>
      <c r="H53" s="147"/>
      <c r="I53" s="147"/>
      <c r="J53" s="147"/>
      <c r="K53" s="147"/>
      <c r="L53" s="147"/>
      <c r="M53" s="147"/>
      <c r="N53" s="147"/>
      <c r="O53" s="147"/>
      <c r="P53" s="147"/>
      <c r="Q53" s="147"/>
      <c r="R53" s="516">
        <f t="shared" si="16"/>
        <v>20000</v>
      </c>
      <c r="S53" s="147">
        <f t="shared" si="17"/>
        <v>20000</v>
      </c>
      <c r="T53" s="147"/>
      <c r="U53" s="143"/>
    </row>
    <row r="54" spans="1:21" s="153" customFormat="1">
      <c r="A54" s="149" t="s">
        <v>157</v>
      </c>
      <c r="B54" s="150">
        <f>SUM(C54:D54)</f>
        <v>4816376</v>
      </c>
      <c r="C54" s="150">
        <f t="shared" ref="C54:T54" si="18">SUM(C45:C53)</f>
        <v>4816376</v>
      </c>
      <c r="D54" s="150">
        <f t="shared" si="18"/>
        <v>0</v>
      </c>
      <c r="E54" s="150">
        <f t="shared" si="18"/>
        <v>4816376</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4816376</v>
      </c>
      <c r="S54" s="150">
        <f t="shared" si="18"/>
        <v>4342043</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 t="shared" ref="E56:E61" si="20">+C56-SUM(F56:I56)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10000</v>
      </c>
      <c r="C57" s="190">
        <v>10000</v>
      </c>
      <c r="D57" s="190"/>
      <c r="E57" s="190">
        <f t="shared" si="20"/>
        <v>10000</v>
      </c>
      <c r="F57" s="190"/>
      <c r="G57" s="190"/>
      <c r="H57" s="190"/>
      <c r="I57" s="190"/>
      <c r="J57" s="190"/>
      <c r="K57" s="190"/>
      <c r="L57" s="190"/>
      <c r="M57" s="190"/>
      <c r="N57" s="190"/>
      <c r="O57" s="190"/>
      <c r="P57" s="190"/>
      <c r="Q57" s="190"/>
      <c r="R57" s="516">
        <f t="shared" si="21"/>
        <v>10000</v>
      </c>
      <c r="S57" s="194"/>
      <c r="T57" s="194"/>
      <c r="U57" s="191"/>
    </row>
    <row r="58" spans="1:21" s="144" customFormat="1">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19"/>
        <v>0</v>
      </c>
      <c r="C61" s="147"/>
      <c r="D61" s="147"/>
      <c r="E61" s="147">
        <f t="shared" si="20"/>
        <v>0</v>
      </c>
      <c r="F61" s="147"/>
      <c r="G61" s="147"/>
      <c r="H61" s="147"/>
      <c r="I61" s="147"/>
      <c r="J61" s="147"/>
      <c r="K61" s="147"/>
      <c r="L61" s="147"/>
      <c r="M61" s="147"/>
      <c r="N61" s="147"/>
      <c r="O61" s="147"/>
      <c r="P61" s="147"/>
      <c r="Q61" s="147"/>
      <c r="R61" s="516">
        <f t="shared" si="21"/>
        <v>0</v>
      </c>
      <c r="S61" s="148"/>
      <c r="T61" s="148"/>
      <c r="U61" s="143"/>
    </row>
    <row r="62" spans="1:21" s="144" customFormat="1" ht="13.7" customHeight="1">
      <c r="A62" s="149" t="s">
        <v>301</v>
      </c>
      <c r="B62" s="146">
        <f>SUM(C62:D62)</f>
        <v>15000</v>
      </c>
      <c r="C62" s="146">
        <f t="shared" ref="C62:R62" si="22">SUM(C56:C61)</f>
        <v>15000</v>
      </c>
      <c r="D62" s="146">
        <f t="shared" si="22"/>
        <v>0</v>
      </c>
      <c r="E62" s="146">
        <f t="shared" si="22"/>
        <v>15000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15000</v>
      </c>
      <c r="S62" s="148"/>
      <c r="T62" s="148"/>
      <c r="U62" s="143"/>
    </row>
    <row r="63" spans="1:21" s="144" customFormat="1">
      <c r="A63" s="154" t="s">
        <v>302</v>
      </c>
      <c r="B63" s="146">
        <f t="shared" ref="B63:R63" si="23">SUM(B8+B11+B13+B14+B15+B26+B27+B38+B42+B43+B54+B62)</f>
        <v>50683698</v>
      </c>
      <c r="C63" s="146">
        <f t="shared" si="23"/>
        <v>50683698</v>
      </c>
      <c r="D63" s="146">
        <f t="shared" si="23"/>
        <v>0</v>
      </c>
      <c r="E63" s="146">
        <f t="shared" si="23"/>
        <v>20208823</v>
      </c>
      <c r="F63" s="146">
        <f t="shared" si="23"/>
        <v>30474875</v>
      </c>
      <c r="G63" s="146">
        <f t="shared" si="23"/>
        <v>0</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50683698</v>
      </c>
      <c r="S63" s="146">
        <f>SUM(S10+S13+S14+S15+S26+S27+S38+S42+S43+S54)</f>
        <v>48894365</v>
      </c>
      <c r="T63" s="146">
        <f>SUM(T11+T13+T14+T15+T26+T27+T38+T42+T43+T54)</f>
        <v>0</v>
      </c>
      <c r="U63" s="143"/>
    </row>
    <row r="64" spans="1:21" s="144" customFormat="1" ht="24">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4">+C65-SUM(F65:I65)</f>
        <v>65000</v>
      </c>
      <c r="F65" s="147"/>
      <c r="G65" s="147"/>
      <c r="H65" s="147"/>
      <c r="I65" s="147"/>
      <c r="J65" s="147"/>
      <c r="K65" s="147"/>
      <c r="L65" s="147"/>
      <c r="M65" s="147"/>
      <c r="N65" s="147"/>
      <c r="O65" s="147"/>
      <c r="P65" s="147"/>
      <c r="Q65" s="147"/>
      <c r="R65" s="516">
        <f>SUM(E65:Q65)</f>
        <v>65000</v>
      </c>
      <c r="S65" s="147">
        <f t="shared" ref="S65:S69" si="25">+R65</f>
        <v>65000</v>
      </c>
      <c r="T65" s="147"/>
      <c r="U65" s="143"/>
    </row>
    <row r="66" spans="1:21" s="144" customFormat="1" ht="24" customHeight="1">
      <c r="A66" s="283" t="s">
        <v>1643</v>
      </c>
      <c r="B66" s="146">
        <f>SUM(C66+D66)</f>
        <v>0</v>
      </c>
      <c r="C66" s="147"/>
      <c r="D66" s="147"/>
      <c r="E66" s="147">
        <f t="shared" si="24"/>
        <v>0</v>
      </c>
      <c r="F66" s="147"/>
      <c r="G66" s="147"/>
      <c r="H66" s="147"/>
      <c r="I66" s="147"/>
      <c r="J66" s="147"/>
      <c r="K66" s="147"/>
      <c r="L66" s="147"/>
      <c r="M66" s="147"/>
      <c r="N66" s="147"/>
      <c r="O66" s="147"/>
      <c r="P66" s="147"/>
      <c r="Q66" s="147"/>
      <c r="R66" s="516">
        <f>SUM(E66:Q66)</f>
        <v>0</v>
      </c>
      <c r="S66" s="147">
        <f t="shared" si="25"/>
        <v>0</v>
      </c>
      <c r="T66" s="147"/>
      <c r="U66" s="143"/>
    </row>
    <row r="67" spans="1:21" s="144" customFormat="1" ht="24" customHeight="1">
      <c r="A67" s="283" t="s">
        <v>1644</v>
      </c>
      <c r="B67" s="146">
        <f>SUM(C67+D67)</f>
        <v>0</v>
      </c>
      <c r="C67" s="147"/>
      <c r="D67" s="147"/>
      <c r="E67" s="147">
        <f t="shared" si="24"/>
        <v>0</v>
      </c>
      <c r="F67" s="147"/>
      <c r="G67" s="147"/>
      <c r="H67" s="147"/>
      <c r="I67" s="147"/>
      <c r="J67" s="147"/>
      <c r="K67" s="147"/>
      <c r="L67" s="147"/>
      <c r="M67" s="147"/>
      <c r="N67" s="147"/>
      <c r="O67" s="147"/>
      <c r="P67" s="147"/>
      <c r="Q67" s="147"/>
      <c r="R67" s="516">
        <f>SUM(E67:Q67)</f>
        <v>0</v>
      </c>
      <c r="S67" s="147">
        <f t="shared" si="25"/>
        <v>0</v>
      </c>
      <c r="T67" s="147"/>
      <c r="U67" s="143"/>
    </row>
    <row r="68" spans="1:21" s="144" customFormat="1" ht="12" customHeight="1">
      <c r="A68" s="283" t="s">
        <v>1650</v>
      </c>
      <c r="B68" s="146">
        <f>SUM(C68+D68)</f>
        <v>0</v>
      </c>
      <c r="C68" s="147"/>
      <c r="D68" s="147"/>
      <c r="E68" s="147">
        <f t="shared" si="24"/>
        <v>0</v>
      </c>
      <c r="F68" s="147"/>
      <c r="G68" s="147"/>
      <c r="H68" s="147"/>
      <c r="I68" s="147"/>
      <c r="J68" s="147"/>
      <c r="K68" s="147"/>
      <c r="L68" s="147"/>
      <c r="M68" s="147"/>
      <c r="N68" s="147"/>
      <c r="O68" s="147"/>
      <c r="P68" s="147"/>
      <c r="Q68" s="147"/>
      <c r="R68" s="516">
        <f>SUM(E68:Q68)</f>
        <v>0</v>
      </c>
      <c r="S68" s="147">
        <f t="shared" si="25"/>
        <v>0</v>
      </c>
      <c r="T68" s="147"/>
      <c r="U68" s="143"/>
    </row>
    <row r="69" spans="1:21" s="144" customFormat="1">
      <c r="A69" s="1149" t="s">
        <v>2704</v>
      </c>
      <c r="B69" s="146">
        <f>SUM(C69+D69)</f>
        <v>50000</v>
      </c>
      <c r="C69" s="147">
        <v>50000</v>
      </c>
      <c r="D69" s="147"/>
      <c r="E69" s="147">
        <f t="shared" si="24"/>
        <v>50000</v>
      </c>
      <c r="F69" s="147"/>
      <c r="G69" s="147"/>
      <c r="H69" s="147"/>
      <c r="I69" s="147"/>
      <c r="J69" s="147"/>
      <c r="K69" s="147"/>
      <c r="L69" s="147"/>
      <c r="M69" s="147"/>
      <c r="N69" s="147"/>
      <c r="O69" s="147"/>
      <c r="P69" s="147"/>
      <c r="Q69" s="147"/>
      <c r="R69" s="516">
        <f>SUM(E69:Q69)</f>
        <v>50000</v>
      </c>
      <c r="S69" s="147">
        <f t="shared" si="25"/>
        <v>50000</v>
      </c>
      <c r="T69" s="147"/>
      <c r="U69" s="143"/>
    </row>
    <row r="70" spans="1:21" s="144" customFormat="1">
      <c r="A70" s="149" t="s">
        <v>1647</v>
      </c>
      <c r="B70" s="146">
        <f>SUM(C70:D70)</f>
        <v>115000</v>
      </c>
      <c r="C70" s="146">
        <f>SUM(C65:C69)</f>
        <v>115000</v>
      </c>
      <c r="D70" s="146">
        <f>SUM(D65:D69)</f>
        <v>0</v>
      </c>
      <c r="E70" s="146">
        <f t="shared" ref="E70:T70" si="26">SUM(E65:E69)</f>
        <v>115000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115000</v>
      </c>
      <c r="S70" s="150">
        <f t="shared" si="26"/>
        <v>115000</v>
      </c>
      <c r="T70" s="150">
        <f t="shared" si="26"/>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30000</v>
      </c>
      <c r="C72" s="147">
        <v>30000</v>
      </c>
      <c r="D72" s="147"/>
      <c r="E72" s="147">
        <f t="shared" ref="E72:E76" si="27">+C72-SUM(F72:I72)</f>
        <v>30000</v>
      </c>
      <c r="F72" s="147"/>
      <c r="G72" s="147"/>
      <c r="H72" s="147"/>
      <c r="I72" s="147"/>
      <c r="J72" s="147"/>
      <c r="K72" s="147"/>
      <c r="L72" s="147"/>
      <c r="M72" s="147"/>
      <c r="N72" s="147"/>
      <c r="O72" s="147"/>
      <c r="P72" s="147"/>
      <c r="Q72" s="147"/>
      <c r="R72" s="516">
        <f>SUM(E72:Q72)</f>
        <v>30000</v>
      </c>
      <c r="S72" s="148"/>
      <c r="T72" s="148"/>
      <c r="U72" s="143"/>
    </row>
    <row r="73" spans="1:21" s="144" customFormat="1">
      <c r="A73" s="145" t="s">
        <v>605</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733586</v>
      </c>
      <c r="C75" s="147">
        <v>733586</v>
      </c>
      <c r="D75" s="147"/>
      <c r="E75" s="147">
        <f t="shared" si="27"/>
        <v>733586</v>
      </c>
      <c r="F75" s="147"/>
      <c r="G75" s="147"/>
      <c r="H75" s="147"/>
      <c r="I75" s="147"/>
      <c r="J75" s="147"/>
      <c r="K75" s="147"/>
      <c r="L75" s="147"/>
      <c r="M75" s="147"/>
      <c r="N75" s="147"/>
      <c r="O75" s="147"/>
      <c r="P75" s="147"/>
      <c r="Q75" s="147"/>
      <c r="R75" s="516">
        <f>SUM(E75:Q75)</f>
        <v>733586</v>
      </c>
      <c r="S75" s="148"/>
      <c r="T75" s="148"/>
      <c r="U75" s="143"/>
    </row>
    <row r="76" spans="1:21" s="144" customFormat="1">
      <c r="A76" s="1149"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763586</v>
      </c>
      <c r="C77" s="146">
        <f>SUM(C72:C76)</f>
        <v>763586</v>
      </c>
      <c r="D77" s="146">
        <f>SUM(D72:D76)</f>
        <v>0</v>
      </c>
      <c r="E77" s="146">
        <f t="shared" ref="E77:Q77" si="28">SUM(E72:E76)</f>
        <v>763586</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763586</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2162616</v>
      </c>
      <c r="C79" s="147">
        <v>2162616</v>
      </c>
      <c r="D79" s="147"/>
      <c r="E79" s="147">
        <f t="shared" ref="E79:E80" si="29">+C79-SUM(F79:I79)</f>
        <v>2162616</v>
      </c>
      <c r="F79" s="147"/>
      <c r="G79" s="147"/>
      <c r="H79" s="147"/>
      <c r="I79" s="147"/>
      <c r="J79" s="147"/>
      <c r="K79" s="147"/>
      <c r="L79" s="147"/>
      <c r="M79" s="147"/>
      <c r="N79" s="147"/>
      <c r="O79" s="147"/>
      <c r="P79" s="147"/>
      <c r="Q79" s="147"/>
      <c r="R79" s="516">
        <f>SUM(E79:Q79)</f>
        <v>2162616</v>
      </c>
      <c r="S79" s="147">
        <f t="shared" ref="S79:S80" si="30">+R79</f>
        <v>2162616</v>
      </c>
      <c r="T79" s="147"/>
      <c r="U79" s="143"/>
    </row>
    <row r="80" spans="1:21" s="144" customFormat="1">
      <c r="A80" s="283" t="s">
        <v>58</v>
      </c>
      <c r="B80" s="146">
        <f>SUM(C80:D80)</f>
        <v>260126</v>
      </c>
      <c r="C80" s="147">
        <v>260126</v>
      </c>
      <c r="D80" s="147"/>
      <c r="E80" s="147">
        <f t="shared" si="29"/>
        <v>260126</v>
      </c>
      <c r="F80" s="147"/>
      <c r="G80" s="147"/>
      <c r="H80" s="147"/>
      <c r="I80" s="147"/>
      <c r="J80" s="147"/>
      <c r="K80" s="147"/>
      <c r="L80" s="147"/>
      <c r="M80" s="147"/>
      <c r="N80" s="147"/>
      <c r="O80" s="147"/>
      <c r="P80" s="147"/>
      <c r="Q80" s="147"/>
      <c r="R80" s="516">
        <f>SUM(E80:Q80)</f>
        <v>260126</v>
      </c>
      <c r="S80" s="147">
        <f t="shared" si="30"/>
        <v>260126</v>
      </c>
      <c r="T80" s="147"/>
      <c r="U80" s="143"/>
    </row>
    <row r="81" spans="1:21" s="144" customFormat="1">
      <c r="A81" s="149" t="s">
        <v>1210</v>
      </c>
      <c r="B81" s="146">
        <f>SUM(C81:D81)</f>
        <v>2422742</v>
      </c>
      <c r="C81" s="509">
        <f>SUM(C79:C80)</f>
        <v>2422742</v>
      </c>
      <c r="D81" s="509">
        <f t="shared" ref="D81:T81" si="31">SUM(D79:D80)</f>
        <v>0</v>
      </c>
      <c r="E81" s="509">
        <f t="shared" si="31"/>
        <v>2422742</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2422742</v>
      </c>
      <c r="S81" s="509">
        <f t="shared" si="31"/>
        <v>2422742</v>
      </c>
      <c r="T81" s="509">
        <f t="shared" si="3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32">SUM(C83+D83)</f>
        <v>177777</v>
      </c>
      <c r="C83" s="147">
        <v>177777</v>
      </c>
      <c r="D83" s="147"/>
      <c r="E83" s="147">
        <f t="shared" ref="E83:E95" si="33">+C83-SUM(F83:I83)</f>
        <v>177777</v>
      </c>
      <c r="F83" s="147"/>
      <c r="G83" s="147"/>
      <c r="H83" s="147"/>
      <c r="I83" s="147"/>
      <c r="J83" s="147"/>
      <c r="K83" s="147"/>
      <c r="L83" s="147"/>
      <c r="M83" s="147"/>
      <c r="N83" s="147"/>
      <c r="O83" s="147"/>
      <c r="P83" s="147"/>
      <c r="Q83" s="147"/>
      <c r="R83" s="516">
        <f t="shared" ref="R83:R95" si="34">SUM(E83:Q83)</f>
        <v>177777</v>
      </c>
      <c r="S83" s="148"/>
      <c r="T83" s="148"/>
      <c r="U83" s="143"/>
    </row>
    <row r="84" spans="1:21" s="144" customFormat="1">
      <c r="A84" s="145" t="s">
        <v>768</v>
      </c>
      <c r="B84" s="146">
        <f t="shared" si="32"/>
        <v>7000</v>
      </c>
      <c r="C84" s="147">
        <v>7000</v>
      </c>
      <c r="D84" s="147"/>
      <c r="E84" s="147">
        <f t="shared" si="33"/>
        <v>7000</v>
      </c>
      <c r="F84" s="147"/>
      <c r="G84" s="147"/>
      <c r="H84" s="147"/>
      <c r="I84" s="147"/>
      <c r="J84" s="147"/>
      <c r="K84" s="147"/>
      <c r="L84" s="147"/>
      <c r="M84" s="147"/>
      <c r="N84" s="147"/>
      <c r="O84" s="147"/>
      <c r="P84" s="147"/>
      <c r="Q84" s="147"/>
      <c r="R84" s="516">
        <f t="shared" si="34"/>
        <v>7000</v>
      </c>
      <c r="S84" s="147">
        <f t="shared" ref="S84:S87" si="35">+R84</f>
        <v>7000</v>
      </c>
      <c r="T84" s="147"/>
      <c r="U84" s="143"/>
    </row>
    <row r="85" spans="1:21" s="144" customFormat="1">
      <c r="A85" s="145" t="s">
        <v>769</v>
      </c>
      <c r="B85" s="146">
        <f t="shared" si="32"/>
        <v>1137163</v>
      </c>
      <c r="C85" s="147">
        <v>1137163</v>
      </c>
      <c r="D85" s="147"/>
      <c r="E85" s="147">
        <f t="shared" si="33"/>
        <v>1137163</v>
      </c>
      <c r="F85" s="147"/>
      <c r="G85" s="147"/>
      <c r="H85" s="147"/>
      <c r="I85" s="147"/>
      <c r="J85" s="147"/>
      <c r="K85" s="147"/>
      <c r="L85" s="147"/>
      <c r="M85" s="147"/>
      <c r="N85" s="147"/>
      <c r="O85" s="147"/>
      <c r="P85" s="147"/>
      <c r="Q85" s="147"/>
      <c r="R85" s="516">
        <f t="shared" si="34"/>
        <v>1137163</v>
      </c>
      <c r="S85" s="147">
        <f t="shared" si="35"/>
        <v>1137163</v>
      </c>
      <c r="T85" s="147"/>
      <c r="U85" s="143"/>
    </row>
    <row r="86" spans="1:21" s="144" customFormat="1">
      <c r="A86" s="145" t="s">
        <v>770</v>
      </c>
      <c r="B86" s="146">
        <f t="shared" si="32"/>
        <v>1212837</v>
      </c>
      <c r="C86" s="147">
        <v>1212837</v>
      </c>
      <c r="D86" s="147"/>
      <c r="E86" s="147">
        <f t="shared" si="33"/>
        <v>1212837</v>
      </c>
      <c r="F86" s="147"/>
      <c r="G86" s="147"/>
      <c r="H86" s="147"/>
      <c r="I86" s="147"/>
      <c r="J86" s="147"/>
      <c r="K86" s="147"/>
      <c r="L86" s="147"/>
      <c r="M86" s="147"/>
      <c r="N86" s="147"/>
      <c r="O86" s="147"/>
      <c r="P86" s="147"/>
      <c r="Q86" s="147"/>
      <c r="R86" s="516">
        <f t="shared" si="34"/>
        <v>1212837</v>
      </c>
      <c r="S86" s="147">
        <f t="shared" si="35"/>
        <v>1212837</v>
      </c>
      <c r="T86" s="147"/>
      <c r="U86" s="143"/>
    </row>
    <row r="87" spans="1:21" s="144" customFormat="1">
      <c r="A87" s="145" t="s">
        <v>771</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f t="shared" si="35"/>
        <v>0</v>
      </c>
      <c r="T87" s="147"/>
      <c r="U87" s="143"/>
    </row>
    <row r="88" spans="1:21" s="144" customFormat="1">
      <c r="A88" s="145" t="s">
        <v>772</v>
      </c>
      <c r="B88" s="146">
        <f t="shared" si="32"/>
        <v>102250</v>
      </c>
      <c r="C88" s="147">
        <v>102250</v>
      </c>
      <c r="D88" s="147"/>
      <c r="E88" s="147">
        <f t="shared" si="33"/>
        <v>102250</v>
      </c>
      <c r="F88" s="147"/>
      <c r="G88" s="147"/>
      <c r="H88" s="147"/>
      <c r="I88" s="147"/>
      <c r="J88" s="147"/>
      <c r="K88" s="147"/>
      <c r="L88" s="147"/>
      <c r="M88" s="147"/>
      <c r="N88" s="147"/>
      <c r="O88" s="147"/>
      <c r="P88" s="147"/>
      <c r="Q88" s="147"/>
      <c r="R88" s="516">
        <f t="shared" si="34"/>
        <v>102250</v>
      </c>
      <c r="S88" s="148"/>
      <c r="T88" s="148"/>
      <c r="U88" s="143"/>
    </row>
    <row r="89" spans="1:21" s="144" customFormat="1">
      <c r="A89" s="145" t="s">
        <v>773</v>
      </c>
      <c r="B89" s="146">
        <f t="shared" si="32"/>
        <v>40000</v>
      </c>
      <c r="C89" s="147">
        <v>40000</v>
      </c>
      <c r="D89" s="147"/>
      <c r="E89" s="147">
        <f t="shared" si="33"/>
        <v>40000</v>
      </c>
      <c r="F89" s="147"/>
      <c r="G89" s="147"/>
      <c r="H89" s="147"/>
      <c r="I89" s="147"/>
      <c r="J89" s="147"/>
      <c r="K89" s="147"/>
      <c r="L89" s="147"/>
      <c r="M89" s="147"/>
      <c r="N89" s="147"/>
      <c r="O89" s="147"/>
      <c r="P89" s="147"/>
      <c r="Q89" s="147"/>
      <c r="R89" s="516">
        <f t="shared" si="34"/>
        <v>40000</v>
      </c>
      <c r="S89" s="147">
        <f t="shared" ref="S89:S95" si="36">+R89</f>
        <v>40000</v>
      </c>
      <c r="T89" s="147"/>
      <c r="U89" s="143"/>
    </row>
    <row r="90" spans="1:21" s="144" customFormat="1">
      <c r="A90" s="145" t="s">
        <v>774</v>
      </c>
      <c r="B90" s="146">
        <f t="shared" si="32"/>
        <v>10000</v>
      </c>
      <c r="C90" s="147">
        <v>10000</v>
      </c>
      <c r="D90" s="147"/>
      <c r="E90" s="147">
        <f t="shared" si="33"/>
        <v>10000</v>
      </c>
      <c r="F90" s="147"/>
      <c r="G90" s="147"/>
      <c r="H90" s="147"/>
      <c r="I90" s="147"/>
      <c r="J90" s="147"/>
      <c r="K90" s="147"/>
      <c r="L90" s="147"/>
      <c r="M90" s="147"/>
      <c r="N90" s="147"/>
      <c r="O90" s="147"/>
      <c r="P90" s="147"/>
      <c r="Q90" s="147"/>
      <c r="R90" s="516">
        <f t="shared" si="34"/>
        <v>10000</v>
      </c>
      <c r="S90" s="147">
        <f t="shared" si="36"/>
        <v>10000</v>
      </c>
      <c r="T90" s="147"/>
      <c r="U90" s="143"/>
    </row>
    <row r="91" spans="1:21" s="144" customFormat="1">
      <c r="A91" s="145" t="s">
        <v>372</v>
      </c>
      <c r="B91" s="146">
        <f t="shared" si="32"/>
        <v>45000</v>
      </c>
      <c r="C91" s="147">
        <v>45000</v>
      </c>
      <c r="D91" s="147"/>
      <c r="E91" s="147">
        <f t="shared" si="33"/>
        <v>45000</v>
      </c>
      <c r="F91" s="147"/>
      <c r="G91" s="147"/>
      <c r="H91" s="147"/>
      <c r="I91" s="147"/>
      <c r="J91" s="147"/>
      <c r="K91" s="147"/>
      <c r="L91" s="147"/>
      <c r="M91" s="147"/>
      <c r="N91" s="147"/>
      <c r="O91" s="147"/>
      <c r="P91" s="147"/>
      <c r="Q91" s="147"/>
      <c r="R91" s="516">
        <f t="shared" si="34"/>
        <v>45000</v>
      </c>
      <c r="S91" s="147">
        <f t="shared" si="36"/>
        <v>45000</v>
      </c>
      <c r="T91" s="147"/>
      <c r="U91" s="143"/>
    </row>
    <row r="92" spans="1:21" s="144" customFormat="1">
      <c r="A92" s="283" t="s">
        <v>1212</v>
      </c>
      <c r="B92" s="146">
        <f t="shared" si="32"/>
        <v>7500</v>
      </c>
      <c r="C92" s="147">
        <v>7500</v>
      </c>
      <c r="D92" s="147"/>
      <c r="E92" s="147">
        <f t="shared" si="33"/>
        <v>7500</v>
      </c>
      <c r="F92" s="147"/>
      <c r="G92" s="147"/>
      <c r="H92" s="147"/>
      <c r="I92" s="147"/>
      <c r="J92" s="147"/>
      <c r="K92" s="147"/>
      <c r="L92" s="147"/>
      <c r="M92" s="147"/>
      <c r="N92" s="147"/>
      <c r="O92" s="147"/>
      <c r="P92" s="147"/>
      <c r="Q92" s="147"/>
      <c r="R92" s="516">
        <f t="shared" si="34"/>
        <v>7500</v>
      </c>
      <c r="S92" s="147">
        <f t="shared" si="36"/>
        <v>7500</v>
      </c>
      <c r="T92" s="147"/>
      <c r="U92" s="143"/>
    </row>
    <row r="93" spans="1:21" s="144" customFormat="1">
      <c r="A93" s="1149"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f t="shared" si="36"/>
        <v>0</v>
      </c>
      <c r="T93" s="147"/>
      <c r="U93" s="143"/>
    </row>
    <row r="94" spans="1:21" s="144" customFormat="1">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f t="shared" si="36"/>
        <v>0</v>
      </c>
      <c r="T94" s="147"/>
      <c r="U94" s="143"/>
    </row>
    <row r="95" spans="1:21" s="144" customFormat="1">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f t="shared" si="36"/>
        <v>0</v>
      </c>
      <c r="T95" s="147"/>
      <c r="U95" s="143"/>
    </row>
    <row r="96" spans="1:21" s="144" customFormat="1">
      <c r="A96" s="149" t="s">
        <v>775</v>
      </c>
      <c r="B96" s="146">
        <f>SUM(C96:D96)</f>
        <v>2739527</v>
      </c>
      <c r="C96" s="146">
        <f t="shared" ref="C96:R96" si="37">SUM(C83:C95)</f>
        <v>2739527</v>
      </c>
      <c r="D96" s="146">
        <f t="shared" si="37"/>
        <v>0</v>
      </c>
      <c r="E96" s="146">
        <f t="shared" si="37"/>
        <v>2739527</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42">
        <f t="shared" si="37"/>
        <v>2739527</v>
      </c>
      <c r="S96" s="150">
        <f>SUM(S84:S87,S89:S95)</f>
        <v>2459500</v>
      </c>
      <c r="T96" s="146">
        <f>SUM(T84:T87,T89:T95)</f>
        <v>0</v>
      </c>
      <c r="U96" s="143"/>
    </row>
    <row r="97" spans="1:21" s="144" customFormat="1">
      <c r="A97" s="149" t="s">
        <v>776</v>
      </c>
      <c r="B97" s="146">
        <f>SUM(C97:D97)</f>
        <v>56724553</v>
      </c>
      <c r="C97" s="146">
        <f t="shared" ref="C97:R97" si="38">SUM(C63+C70+C77+C81+C96)</f>
        <v>56724553</v>
      </c>
      <c r="D97" s="146">
        <f t="shared" si="38"/>
        <v>0</v>
      </c>
      <c r="E97" s="146">
        <f t="shared" si="38"/>
        <v>26249678</v>
      </c>
      <c r="F97" s="146">
        <f t="shared" si="38"/>
        <v>30474875</v>
      </c>
      <c r="G97" s="146">
        <f t="shared" si="38"/>
        <v>0</v>
      </c>
      <c r="H97" s="146">
        <f t="shared" si="38"/>
        <v>0</v>
      </c>
      <c r="I97" s="146">
        <f t="shared" si="38"/>
        <v>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56724553</v>
      </c>
      <c r="S97" s="146">
        <f>SUM(S63+S70+S81+S96)</f>
        <v>53891607</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8083741</v>
      </c>
      <c r="C99" s="979">
        <v>8083741</v>
      </c>
      <c r="D99" s="979"/>
      <c r="E99" s="979">
        <f t="shared" ref="E99:E103" si="39">+C99-SUM(F99:I99)</f>
        <v>1626834</v>
      </c>
      <c r="F99" s="147"/>
      <c r="G99" s="147">
        <f>+Application!AO628</f>
        <v>6456907</v>
      </c>
      <c r="H99" s="147"/>
      <c r="I99" s="147"/>
      <c r="J99" s="147"/>
      <c r="K99" s="147"/>
      <c r="L99" s="147"/>
      <c r="M99" s="147"/>
      <c r="N99" s="147"/>
      <c r="O99" s="147"/>
      <c r="P99" s="147"/>
      <c r="Q99" s="147"/>
      <c r="R99" s="516">
        <f>SUM(E99:Q99)</f>
        <v>8083741</v>
      </c>
      <c r="S99" s="147">
        <f t="shared" ref="S99" si="40">+R99</f>
        <v>8083741</v>
      </c>
      <c r="T99" s="147"/>
      <c r="U99" s="143"/>
    </row>
    <row r="100" spans="1:21" s="144" customFormat="1">
      <c r="A100" s="283" t="s">
        <v>1648</v>
      </c>
      <c r="B100" s="146">
        <f>SUM(C100+D100)</f>
        <v>0</v>
      </c>
      <c r="C100" s="147"/>
      <c r="D100" s="147"/>
      <c r="E100" s="147">
        <f t="shared" si="39"/>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f t="shared" si="39"/>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1649</v>
      </c>
      <c r="B102" s="146">
        <f>SUM(C102+D102)</f>
        <v>0</v>
      </c>
      <c r="C102" s="147"/>
      <c r="D102" s="147"/>
      <c r="E102" s="147">
        <f t="shared" si="39"/>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9"/>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8083741</v>
      </c>
      <c r="C104" s="146">
        <f>SUM(C99:C103)</f>
        <v>8083741</v>
      </c>
      <c r="D104" s="146">
        <f t="shared" ref="D104:T104" si="41">SUM(D99:D103)</f>
        <v>0</v>
      </c>
      <c r="E104" s="146">
        <f t="shared" si="41"/>
        <v>1626834</v>
      </c>
      <c r="F104" s="146">
        <f t="shared" si="41"/>
        <v>0</v>
      </c>
      <c r="G104" s="146">
        <f t="shared" si="41"/>
        <v>6456907</v>
      </c>
      <c r="H104" s="146">
        <f t="shared" si="41"/>
        <v>0</v>
      </c>
      <c r="I104" s="146">
        <f t="shared" si="41"/>
        <v>0</v>
      </c>
      <c r="J104" s="146">
        <f t="shared" si="41"/>
        <v>0</v>
      </c>
      <c r="K104" s="146">
        <f t="shared" si="41"/>
        <v>0</v>
      </c>
      <c r="L104" s="146">
        <f t="shared" si="41"/>
        <v>0</v>
      </c>
      <c r="M104" s="146">
        <f t="shared" si="41"/>
        <v>0</v>
      </c>
      <c r="N104" s="146">
        <f t="shared" si="41"/>
        <v>0</v>
      </c>
      <c r="O104" s="146">
        <f t="shared" si="41"/>
        <v>0</v>
      </c>
      <c r="P104" s="146">
        <f t="shared" si="41"/>
        <v>0</v>
      </c>
      <c r="Q104" s="146">
        <f t="shared" si="41"/>
        <v>0</v>
      </c>
      <c r="R104" s="342">
        <f t="shared" si="41"/>
        <v>8083741</v>
      </c>
      <c r="S104" s="150">
        <f t="shared" si="41"/>
        <v>8083741</v>
      </c>
      <c r="T104" s="150">
        <f t="shared" si="41"/>
        <v>0</v>
      </c>
      <c r="U104" s="143"/>
    </row>
    <row r="105" spans="1:21" s="144" customFormat="1">
      <c r="A105" s="149" t="s">
        <v>781</v>
      </c>
      <c r="B105" s="150">
        <f>SUM(C105:D105)</f>
        <v>64808294</v>
      </c>
      <c r="C105" s="150">
        <f t="shared" ref="C105:R105" si="42">SUM(C97+C104)</f>
        <v>64808294</v>
      </c>
      <c r="D105" s="150">
        <f t="shared" si="42"/>
        <v>0</v>
      </c>
      <c r="E105" s="150">
        <f t="shared" si="42"/>
        <v>27876512</v>
      </c>
      <c r="F105" s="150">
        <f t="shared" si="42"/>
        <v>30474875</v>
      </c>
      <c r="G105" s="150">
        <f t="shared" si="42"/>
        <v>6456907</v>
      </c>
      <c r="H105" s="150">
        <f t="shared" si="42"/>
        <v>0</v>
      </c>
      <c r="I105" s="150">
        <f t="shared" si="42"/>
        <v>0</v>
      </c>
      <c r="J105" s="150">
        <f t="shared" si="42"/>
        <v>0</v>
      </c>
      <c r="K105" s="150">
        <f t="shared" si="42"/>
        <v>0</v>
      </c>
      <c r="L105" s="150">
        <f t="shared" si="42"/>
        <v>0</v>
      </c>
      <c r="M105" s="150">
        <f t="shared" si="42"/>
        <v>0</v>
      </c>
      <c r="N105" s="150">
        <f t="shared" si="42"/>
        <v>0</v>
      </c>
      <c r="O105" s="150">
        <f t="shared" si="42"/>
        <v>0</v>
      </c>
      <c r="P105" s="150">
        <f t="shared" si="42"/>
        <v>0</v>
      </c>
      <c r="Q105" s="150">
        <f t="shared" si="42"/>
        <v>0</v>
      </c>
      <c r="R105" s="342">
        <f t="shared" si="42"/>
        <v>64808294</v>
      </c>
      <c r="S105" s="150">
        <f>S97+S104</f>
        <v>61975348</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61975348</v>
      </c>
      <c r="T107" s="150">
        <f>T105+T106</f>
        <v>0</v>
      </c>
    </row>
    <row r="108" spans="1:21" s="189" customFormat="1">
      <c r="A108" s="162" t="s">
        <v>880</v>
      </c>
      <c r="B108" s="157"/>
      <c r="C108" s="157"/>
      <c r="D108" s="157"/>
      <c r="E108" s="301">
        <f>Application!AO640</f>
        <v>27876512</v>
      </c>
      <c r="F108" s="301">
        <f>Application!AO627</f>
        <v>30474875</v>
      </c>
      <c r="G108" s="301">
        <f>Application!AO628</f>
        <v>6456907</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0" t="s">
        <v>991</v>
      </c>
      <c r="E122" s="1870"/>
      <c r="F122" s="1870"/>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2" t="s">
        <v>1226</v>
      </c>
      <c r="E123" s="1555"/>
      <c r="F123" s="1555"/>
      <c r="G123" s="1555"/>
      <c r="H123" s="1555"/>
      <c r="I123" s="1555"/>
      <c r="J123" s="1555"/>
      <c r="K123" s="1555"/>
      <c r="L123" s="1555"/>
      <c r="M123" s="1555"/>
      <c r="N123" s="1555"/>
      <c r="O123" s="1555"/>
      <c r="P123" s="1555"/>
      <c r="Q123" s="1555"/>
      <c r="R123" s="1555"/>
      <c r="S123" s="1555"/>
      <c r="T123" s="324"/>
      <c r="U123" s="326"/>
    </row>
    <row r="124" spans="1:21" ht="12.75">
      <c r="A124" s="117" t="s">
        <v>993</v>
      </c>
      <c r="B124" s="333"/>
      <c r="C124" s="117"/>
      <c r="D124" s="1555"/>
      <c r="E124" s="1555"/>
      <c r="F124" s="1555"/>
      <c r="G124" s="1555"/>
      <c r="H124" s="1555"/>
      <c r="I124" s="1555"/>
      <c r="J124" s="1555"/>
      <c r="K124" s="1555"/>
      <c r="L124" s="1555"/>
      <c r="M124" s="1555"/>
      <c r="N124" s="1555"/>
      <c r="O124" s="1555"/>
      <c r="P124" s="1555"/>
      <c r="Q124" s="1555"/>
      <c r="R124" s="1555"/>
      <c r="S124" s="1555"/>
      <c r="T124" s="324"/>
      <c r="U124" s="326"/>
    </row>
    <row r="125" spans="1:21" ht="12.75">
      <c r="A125" s="117" t="s">
        <v>994</v>
      </c>
      <c r="B125" s="333"/>
      <c r="C125" s="117"/>
      <c r="D125" s="1555"/>
      <c r="E125" s="1555"/>
      <c r="F125" s="1555"/>
      <c r="G125" s="1555"/>
      <c r="H125" s="1555"/>
      <c r="I125" s="1555"/>
      <c r="J125" s="1555"/>
      <c r="K125" s="1555"/>
      <c r="L125" s="1555"/>
      <c r="M125" s="1555"/>
      <c r="N125" s="1555"/>
      <c r="O125" s="1555"/>
      <c r="P125" s="1555"/>
      <c r="Q125" s="1555"/>
      <c r="R125" s="1555"/>
      <c r="S125" s="1555"/>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2.75">
      <c r="A129" s="117" t="s">
        <v>300</v>
      </c>
      <c r="B129" s="333"/>
      <c r="C129" s="117"/>
      <c r="D129" s="1869" t="s">
        <v>998</v>
      </c>
      <c r="E129" s="1869"/>
      <c r="F129" s="1869"/>
      <c r="G129" s="1869"/>
      <c r="H129" s="1869"/>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530"/>
      <c r="E131" s="1530"/>
      <c r="F131" s="1530"/>
      <c r="G131" s="1530"/>
      <c r="H131" s="1530"/>
      <c r="I131" s="117"/>
      <c r="J131" s="1530"/>
      <c r="K131" s="1530"/>
      <c r="L131" s="1530"/>
      <c r="M131" s="1530"/>
      <c r="N131" s="117"/>
      <c r="O131" s="117"/>
      <c r="P131" s="117"/>
      <c r="Q131" s="117"/>
      <c r="R131" s="117"/>
      <c r="S131" s="117"/>
      <c r="T131" s="324"/>
      <c r="U131" s="326"/>
    </row>
    <row r="132" spans="1:21" ht="12" customHeight="1">
      <c r="A132" s="336"/>
      <c r="B132" s="117"/>
      <c r="C132" s="117"/>
      <c r="D132" s="1863" t="s">
        <v>1001</v>
      </c>
      <c r="E132" s="1863"/>
      <c r="F132" s="1863"/>
      <c r="G132" s="1863"/>
      <c r="H132" s="1863"/>
      <c r="I132" s="117"/>
      <c r="J132" s="1863" t="s">
        <v>1002</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2.75">
      <c r="A139" s="1860" t="s">
        <v>1005</v>
      </c>
      <c r="B139" s="1860"/>
      <c r="C139" s="1860"/>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1"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1229</v>
      </c>
      <c r="B1" s="1874"/>
      <c r="C1" s="1874"/>
      <c r="D1" s="1874"/>
      <c r="E1" s="1874"/>
      <c r="F1" s="1874"/>
      <c r="G1" s="1874"/>
      <c r="H1" s="1874"/>
      <c r="I1" s="1874"/>
      <c r="J1" s="1875"/>
      <c r="K1" s="355"/>
    </row>
    <row r="2" spans="1:11" s="401" customFormat="1" ht="72">
      <c r="A2" s="398"/>
      <c r="B2" s="399" t="s">
        <v>1028</v>
      </c>
      <c r="C2" s="399" t="s">
        <v>1231</v>
      </c>
      <c r="D2" s="399" t="s">
        <v>1232</v>
      </c>
      <c r="E2" s="399" t="s">
        <v>1159</v>
      </c>
      <c r="F2" s="399" t="s">
        <v>1233</v>
      </c>
      <c r="G2" s="399" t="s">
        <v>1234</v>
      </c>
      <c r="H2" s="399" t="s">
        <v>1029</v>
      </c>
      <c r="I2" s="399" t="s">
        <v>1235</v>
      </c>
      <c r="J2" s="399" t="s">
        <v>1236</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1300000</v>
      </c>
      <c r="C4" s="362">
        <f>+B4</f>
        <v>1300000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1300000</v>
      </c>
      <c r="C8" s="361">
        <f>SUM(C4:C7)</f>
        <v>1300000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1300000</v>
      </c>
      <c r="C12" s="361">
        <f>SUM(C8+C11)</f>
        <v>1300000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1642</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f t="shared" ref="C29:C37" si="0">+B29</f>
        <v>0</v>
      </c>
      <c r="D29" s="362"/>
      <c r="E29" s="361">
        <f>'Sources and Uses Budget'!S29</f>
        <v>0</v>
      </c>
      <c r="F29" s="362">
        <f t="shared" ref="F29:F37" si="1">+E29</f>
        <v>0</v>
      </c>
      <c r="G29" s="362"/>
      <c r="H29" s="361">
        <f>'Sources and Uses Budget'!T29</f>
        <v>0</v>
      </c>
      <c r="I29" s="362"/>
      <c r="J29" s="362"/>
      <c r="K29" s="359"/>
    </row>
    <row r="30" spans="1:11" s="360" customFormat="1">
      <c r="A30" s="145" t="s">
        <v>600</v>
      </c>
      <c r="B30" s="361">
        <f>'Sources and Uses Budget'!C30</f>
        <v>36681120</v>
      </c>
      <c r="C30" s="362">
        <f t="shared" si="0"/>
        <v>36681120</v>
      </c>
      <c r="D30" s="362"/>
      <c r="E30" s="361">
        <f>'Sources and Uses Budget'!S30</f>
        <v>36681120</v>
      </c>
      <c r="F30" s="362">
        <f t="shared" si="1"/>
        <v>36681120</v>
      </c>
      <c r="G30" s="362"/>
      <c r="H30" s="361">
        <f>'Sources and Uses Budget'!T30</f>
        <v>0</v>
      </c>
      <c r="I30" s="362"/>
      <c r="J30" s="362"/>
      <c r="K30" s="359"/>
    </row>
    <row r="31" spans="1:11" s="360" customFormat="1">
      <c r="A31" s="145" t="s">
        <v>601</v>
      </c>
      <c r="B31" s="361">
        <f>'Sources and Uses Budget'!C31</f>
        <v>2200867</v>
      </c>
      <c r="C31" s="362">
        <f t="shared" si="0"/>
        <v>2200867</v>
      </c>
      <c r="D31" s="362"/>
      <c r="E31" s="361">
        <f>'Sources and Uses Budget'!S31</f>
        <v>2200867</v>
      </c>
      <c r="F31" s="362">
        <f t="shared" si="1"/>
        <v>2200867</v>
      </c>
      <c r="G31" s="362"/>
      <c r="H31" s="361">
        <f>'Sources and Uses Budget'!T31</f>
        <v>0</v>
      </c>
      <c r="I31" s="362"/>
      <c r="J31" s="362"/>
      <c r="K31" s="359"/>
    </row>
    <row r="32" spans="1:11" s="360" customFormat="1">
      <c r="A32" s="145" t="s">
        <v>137</v>
      </c>
      <c r="B32" s="361">
        <f>'Sources and Uses Budget'!C32</f>
        <v>777640</v>
      </c>
      <c r="C32" s="362">
        <f t="shared" si="0"/>
        <v>777640</v>
      </c>
      <c r="D32" s="362"/>
      <c r="E32" s="361">
        <f>'Sources and Uses Budget'!S32</f>
        <v>777640</v>
      </c>
      <c r="F32" s="362">
        <f t="shared" si="1"/>
        <v>777640</v>
      </c>
      <c r="G32" s="362"/>
      <c r="H32" s="361">
        <f>'Sources and Uses Budget'!T32</f>
        <v>0</v>
      </c>
      <c r="I32" s="362"/>
      <c r="J32" s="362"/>
      <c r="K32" s="359"/>
    </row>
    <row r="33" spans="1:11" s="360" customFormat="1">
      <c r="A33" s="145" t="s">
        <v>138</v>
      </c>
      <c r="B33" s="361">
        <f>'Sources and Uses Budget'!C33</f>
        <v>2332919</v>
      </c>
      <c r="C33" s="362">
        <f t="shared" si="0"/>
        <v>2332919</v>
      </c>
      <c r="D33" s="362"/>
      <c r="E33" s="361">
        <f>'Sources and Uses Budget'!S33</f>
        <v>2332919</v>
      </c>
      <c r="F33" s="362">
        <f t="shared" si="1"/>
        <v>2332919</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1259776</v>
      </c>
      <c r="C35" s="362">
        <f t="shared" si="0"/>
        <v>1259776</v>
      </c>
      <c r="D35" s="362"/>
      <c r="E35" s="361">
        <f>'Sources and Uses Budget'!S35</f>
        <v>1259776</v>
      </c>
      <c r="F35" s="362">
        <f t="shared" si="1"/>
        <v>1259776</v>
      </c>
      <c r="G35" s="362"/>
      <c r="H35" s="361">
        <f>'Sources and Uses Budget'!T35</f>
        <v>0</v>
      </c>
      <c r="I35" s="362"/>
      <c r="J35" s="362"/>
      <c r="K35" s="359"/>
    </row>
    <row r="36" spans="1:11" s="360" customFormat="1">
      <c r="A36" s="508" t="s">
        <v>1642</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43252322</v>
      </c>
      <c r="C38" s="361">
        <f>SUM(C29:C37)</f>
        <v>43252322</v>
      </c>
      <c r="D38" s="361">
        <f>SUM(D29:D37)</f>
        <v>0</v>
      </c>
      <c r="E38" s="361">
        <f>'Sources and Uses Budget'!S38</f>
        <v>43252322</v>
      </c>
      <c r="F38" s="367">
        <f>SUM(F29:F37)</f>
        <v>43252322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750000</v>
      </c>
      <c r="C40" s="362">
        <f t="shared" ref="C40:C41" si="2">+B40</f>
        <v>750000</v>
      </c>
      <c r="D40" s="362"/>
      <c r="E40" s="361">
        <f>'Sources and Uses Budget'!S40</f>
        <v>750000</v>
      </c>
      <c r="F40" s="362">
        <f t="shared" ref="F40:F41" si="3">+E40</f>
        <v>750000</v>
      </c>
      <c r="G40" s="362"/>
      <c r="H40" s="361">
        <f>'Sources and Uses Budget'!T40</f>
        <v>0</v>
      </c>
      <c r="I40" s="362"/>
      <c r="J40" s="362"/>
      <c r="K40" s="359"/>
    </row>
    <row r="41" spans="1:11" s="360" customFormat="1">
      <c r="A41" s="364" t="s">
        <v>146</v>
      </c>
      <c r="B41" s="361">
        <f>'Sources and Uses Budget'!C41</f>
        <v>200000</v>
      </c>
      <c r="C41" s="362">
        <f t="shared" si="2"/>
        <v>200000</v>
      </c>
      <c r="D41" s="362"/>
      <c r="E41" s="361">
        <f>'Sources and Uses Budget'!S41</f>
        <v>200000</v>
      </c>
      <c r="F41" s="362">
        <f t="shared" si="3"/>
        <v>200000</v>
      </c>
      <c r="G41" s="362"/>
      <c r="H41" s="361">
        <f>'Sources and Uses Budget'!T41</f>
        <v>0</v>
      </c>
      <c r="I41" s="362"/>
      <c r="J41" s="362"/>
      <c r="K41" s="359"/>
    </row>
    <row r="42" spans="1:11" s="360" customFormat="1">
      <c r="A42" s="365" t="s">
        <v>147</v>
      </c>
      <c r="B42" s="361">
        <f>'Sources and Uses Budget'!C42</f>
        <v>950000</v>
      </c>
      <c r="C42" s="361">
        <f>SUM(C39:C41)</f>
        <v>950000</v>
      </c>
      <c r="D42" s="361">
        <f>SUM(D39:D41)</f>
        <v>0</v>
      </c>
      <c r="E42" s="361">
        <f>'Sources and Uses Budget'!S42</f>
        <v>950000</v>
      </c>
      <c r="F42" s="367">
        <f>SUM(F40:F41)</f>
        <v>950000</v>
      </c>
      <c r="G42" s="367">
        <f>SUM(G40:G41)</f>
        <v>0</v>
      </c>
      <c r="H42" s="361">
        <f>'Sources and Uses Budget'!T42</f>
        <v>0</v>
      </c>
      <c r="I42" s="367">
        <f>SUM(I40:I41)</f>
        <v>0</v>
      </c>
      <c r="J42" s="367">
        <f>SUM(J40:J41)</f>
        <v>0</v>
      </c>
      <c r="K42" s="359"/>
    </row>
    <row r="43" spans="1:11" s="360" customFormat="1">
      <c r="A43" s="365" t="s">
        <v>148</v>
      </c>
      <c r="B43" s="361">
        <f>'Sources and Uses Budget'!C43</f>
        <v>350000</v>
      </c>
      <c r="C43" s="362">
        <f>+B43</f>
        <v>350000</v>
      </c>
      <c r="D43" s="362"/>
      <c r="E43" s="361">
        <f>'Sources and Uses Budget'!S43</f>
        <v>350000</v>
      </c>
      <c r="F43" s="362">
        <f>+E43</f>
        <v>350000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3938947</v>
      </c>
      <c r="C45" s="362">
        <f t="shared" ref="C45:C53" si="4">+B45</f>
        <v>3938947</v>
      </c>
      <c r="D45" s="362"/>
      <c r="E45" s="361">
        <f>'Sources and Uses Budget'!S45</f>
        <v>3688947</v>
      </c>
      <c r="F45" s="362">
        <f t="shared" ref="F45:F53" si="5">+E45</f>
        <v>3688947</v>
      </c>
      <c r="G45" s="362"/>
      <c r="H45" s="361">
        <f>'Sources and Uses Budget'!T45</f>
        <v>0</v>
      </c>
      <c r="I45" s="362"/>
      <c r="J45" s="362"/>
      <c r="K45" s="359"/>
    </row>
    <row r="46" spans="1:11" s="360" customFormat="1">
      <c r="A46" s="364" t="s">
        <v>151</v>
      </c>
      <c r="B46" s="361">
        <f>'Sources and Uses Budget'!C46</f>
        <v>532096</v>
      </c>
      <c r="C46" s="362">
        <f t="shared" si="4"/>
        <v>532096</v>
      </c>
      <c r="D46" s="362"/>
      <c r="E46" s="361">
        <f>'Sources and Uses Budget'!S46</f>
        <v>532096</v>
      </c>
      <c r="F46" s="362">
        <f t="shared" si="5"/>
        <v>532096</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224333</v>
      </c>
      <c r="C49" s="362">
        <f t="shared" si="4"/>
        <v>224333</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26000</v>
      </c>
      <c r="C51" s="362">
        <f t="shared" si="4"/>
        <v>26000</v>
      </c>
      <c r="D51" s="362"/>
      <c r="E51" s="361">
        <f>'Sources and Uses Budget'!S51</f>
        <v>26000</v>
      </c>
      <c r="F51" s="362">
        <f t="shared" si="5"/>
        <v>26000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4816376</v>
      </c>
      <c r="C54" s="367">
        <f>SUM(C45:C53)</f>
        <v>4816376</v>
      </c>
      <c r="D54" s="367">
        <f>SUM(D45:D53)</f>
        <v>0</v>
      </c>
      <c r="E54" s="361">
        <f>'Sources and Uses Budget'!S54</f>
        <v>4342043</v>
      </c>
      <c r="F54" s="367">
        <f>SUM(F45:F53)</f>
        <v>4342043</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Other: (Specify)</v>
      </c>
      <c r="B61" s="361">
        <f>'Sources and Uses Budget'!C61</f>
        <v>0</v>
      </c>
      <c r="C61" s="362">
        <f t="shared" si="6"/>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50683698</v>
      </c>
      <c r="C63" s="361">
        <f>SUM(C8+C11+C13+C14+C15+C26+C27+C38+C42+C43+C54+C62)</f>
        <v>50683698</v>
      </c>
      <c r="D63" s="361">
        <f>SUM(D8+D11+D13+D14+D15+D26+D27+D38+D42+D43+D54+D62)</f>
        <v>0</v>
      </c>
      <c r="E63" s="361">
        <f>'Sources and Uses Budget'!S63</f>
        <v>48894365</v>
      </c>
      <c r="F63" s="361">
        <f>SUM(F10+F13+F14+F15+F26+F27+F38+F42+F43+F54)</f>
        <v>48894365</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1646</v>
      </c>
      <c r="B64" s="358"/>
      <c r="C64" s="358"/>
      <c r="D64" s="358"/>
      <c r="E64" s="358"/>
      <c r="F64" s="358"/>
      <c r="G64" s="358"/>
      <c r="H64" s="358"/>
      <c r="I64" s="358"/>
      <c r="J64" s="358"/>
      <c r="K64" s="359"/>
    </row>
    <row r="65" spans="1:11" s="360" customFormat="1">
      <c r="A65" s="145" t="s">
        <v>171</v>
      </c>
      <c r="B65" s="361">
        <f>'Sources and Uses Budget'!C65</f>
        <v>65000</v>
      </c>
      <c r="C65" s="362">
        <f t="shared" ref="C65:C69" si="7">+B65</f>
        <v>65000</v>
      </c>
      <c r="D65" s="362"/>
      <c r="E65" s="361">
        <f>'Sources and Uses Budget'!S65</f>
        <v>65000</v>
      </c>
      <c r="F65" s="362">
        <f t="shared" ref="F65:F69" si="8">+E65</f>
        <v>65000</v>
      </c>
      <c r="G65" s="362"/>
      <c r="H65" s="361">
        <f>'Sources and Uses Budget'!T65</f>
        <v>0</v>
      </c>
      <c r="I65" s="362"/>
      <c r="J65" s="362"/>
      <c r="K65" s="359"/>
    </row>
    <row r="66" spans="1:11" s="360" customFormat="1" ht="24">
      <c r="A66" s="283" t="s">
        <v>1643</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1644</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1650</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Borrower's Attorney</v>
      </c>
      <c r="B69" s="361">
        <f>'Sources and Uses Budget'!C69</f>
        <v>50000</v>
      </c>
      <c r="C69" s="362">
        <f t="shared" si="7"/>
        <v>50000</v>
      </c>
      <c r="D69" s="362"/>
      <c r="E69" s="361">
        <f>'Sources and Uses Budget'!S69</f>
        <v>50000</v>
      </c>
      <c r="F69" s="362">
        <f t="shared" si="8"/>
        <v>50000</v>
      </c>
      <c r="G69" s="362"/>
      <c r="H69" s="361">
        <f>'Sources and Uses Budget'!T69</f>
        <v>0</v>
      </c>
      <c r="I69" s="362"/>
      <c r="J69" s="362"/>
      <c r="K69" s="359"/>
    </row>
    <row r="70" spans="1:11" s="360" customFormat="1">
      <c r="A70" s="365" t="s">
        <v>602</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30000</v>
      </c>
      <c r="C72" s="362">
        <f t="shared" ref="C72:C76" si="9">+B72</f>
        <v>30000</v>
      </c>
      <c r="D72" s="362"/>
      <c r="E72" s="363"/>
      <c r="F72" s="363"/>
      <c r="G72" s="363"/>
      <c r="H72" s="363"/>
      <c r="I72" s="363"/>
      <c r="J72" s="363"/>
      <c r="K72" s="359"/>
    </row>
    <row r="73" spans="1:11" s="360" customFormat="1">
      <c r="A73" s="364" t="s">
        <v>605</v>
      </c>
      <c r="B73" s="361">
        <f>'Sources and Uses Budget'!C73</f>
        <v>0</v>
      </c>
      <c r="C73" s="362">
        <f t="shared" si="9"/>
        <v>0</v>
      </c>
      <c r="D73" s="362"/>
      <c r="E73" s="363"/>
      <c r="F73" s="363"/>
      <c r="G73" s="363"/>
      <c r="H73" s="363"/>
      <c r="I73" s="363"/>
      <c r="J73" s="363"/>
      <c r="K73" s="359"/>
    </row>
    <row r="74" spans="1:11" s="360" customFormat="1">
      <c r="A74" s="366" t="s">
        <v>987</v>
      </c>
      <c r="B74" s="361">
        <f>'Sources and Uses Budget'!C74</f>
        <v>0</v>
      </c>
      <c r="C74" s="362">
        <f t="shared" si="9"/>
        <v>0</v>
      </c>
      <c r="D74" s="362"/>
      <c r="E74" s="363"/>
      <c r="F74" s="363"/>
      <c r="G74" s="363"/>
      <c r="H74" s="363"/>
      <c r="I74" s="363"/>
      <c r="J74" s="363"/>
      <c r="K74" s="359"/>
    </row>
    <row r="75" spans="1:11" s="360" customFormat="1">
      <c r="A75" s="364" t="s">
        <v>606</v>
      </c>
      <c r="B75" s="361">
        <f>'Sources and Uses Budget'!C75</f>
        <v>733586</v>
      </c>
      <c r="C75" s="362">
        <f t="shared" si="9"/>
        <v>733586</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607</v>
      </c>
      <c r="B77" s="361">
        <f>'Sources and Uses Budget'!C77</f>
        <v>763586</v>
      </c>
      <c r="C77" s="361">
        <f>SUM(C72:C76)</f>
        <v>763586</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2162616</v>
      </c>
      <c r="C79" s="362">
        <f t="shared" ref="C79:C80" si="10">+B79</f>
        <v>2162616</v>
      </c>
      <c r="D79" s="362"/>
      <c r="E79" s="361">
        <f>'Sources and Uses Budget'!S79</f>
        <v>2162616</v>
      </c>
      <c r="F79" s="362">
        <f t="shared" ref="F79:F80" si="11">+E79</f>
        <v>2162616</v>
      </c>
      <c r="G79" s="362"/>
      <c r="H79" s="361">
        <f>'Sources and Uses Budget'!T79</f>
        <v>0</v>
      </c>
      <c r="I79" s="362"/>
      <c r="J79" s="362"/>
      <c r="K79" s="359"/>
    </row>
    <row r="80" spans="1:11" s="360" customFormat="1">
      <c r="A80" s="364" t="s">
        <v>58</v>
      </c>
      <c r="B80" s="361">
        <f>'Sources and Uses Budget'!C80</f>
        <v>260126</v>
      </c>
      <c r="C80" s="362">
        <f t="shared" si="10"/>
        <v>260126</v>
      </c>
      <c r="D80" s="362"/>
      <c r="E80" s="361">
        <f>'Sources and Uses Budget'!S80</f>
        <v>260126</v>
      </c>
      <c r="F80" s="362">
        <f t="shared" si="11"/>
        <v>260126</v>
      </c>
      <c r="G80" s="362"/>
      <c r="H80" s="361">
        <f>'Sources and Uses Budget'!T80</f>
        <v>0</v>
      </c>
      <c r="I80" s="362"/>
      <c r="J80" s="362"/>
      <c r="K80" s="359"/>
    </row>
    <row r="81" spans="1:11" s="360" customFormat="1">
      <c r="A81" s="365" t="s">
        <v>1210</v>
      </c>
      <c r="B81" s="361">
        <f>'Sources and Uses Budget'!C81</f>
        <v>2422742</v>
      </c>
      <c r="C81" s="361">
        <f>SUM(C79:C80)</f>
        <v>2422742</v>
      </c>
      <c r="D81" s="361">
        <f>SUM(D79:D80)</f>
        <v>0</v>
      </c>
      <c r="E81" s="361">
        <f>'Sources and Uses Budget'!S81</f>
        <v>2422742</v>
      </c>
      <c r="F81" s="361">
        <f>SUM(F79:F80)</f>
        <v>2422742</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177777</v>
      </c>
      <c r="C83" s="362">
        <f t="shared" ref="C83:C93" si="12">+B83</f>
        <v>177777</v>
      </c>
      <c r="D83" s="362"/>
      <c r="E83" s="363"/>
      <c r="F83" s="363"/>
      <c r="G83" s="363"/>
      <c r="H83" s="363"/>
      <c r="I83" s="363"/>
      <c r="J83" s="363"/>
      <c r="K83" s="359"/>
    </row>
    <row r="84" spans="1:11" s="360" customFormat="1">
      <c r="A84" s="145" t="s">
        <v>768</v>
      </c>
      <c r="B84" s="361">
        <f>'Sources and Uses Budget'!C84</f>
        <v>7000</v>
      </c>
      <c r="C84" s="362">
        <f t="shared" si="12"/>
        <v>7000</v>
      </c>
      <c r="D84" s="362"/>
      <c r="E84" s="361">
        <f>'Sources and Uses Budget'!S84</f>
        <v>7000</v>
      </c>
      <c r="F84" s="362">
        <f t="shared" ref="F84:F87" si="13">+E84</f>
        <v>7000</v>
      </c>
      <c r="G84" s="362"/>
      <c r="H84" s="361">
        <f>'Sources and Uses Budget'!T84</f>
        <v>0</v>
      </c>
      <c r="I84" s="362"/>
      <c r="J84" s="362"/>
      <c r="K84" s="359"/>
    </row>
    <row r="85" spans="1:11" s="360" customFormat="1">
      <c r="A85" s="145" t="s">
        <v>769</v>
      </c>
      <c r="B85" s="361">
        <f>'Sources and Uses Budget'!C85</f>
        <v>1137163</v>
      </c>
      <c r="C85" s="362">
        <f t="shared" si="12"/>
        <v>1137163</v>
      </c>
      <c r="D85" s="362"/>
      <c r="E85" s="361">
        <f>'Sources and Uses Budget'!S85</f>
        <v>1137163</v>
      </c>
      <c r="F85" s="362">
        <f t="shared" si="13"/>
        <v>1137163</v>
      </c>
      <c r="G85" s="362"/>
      <c r="H85" s="361">
        <f>'Sources and Uses Budget'!T85</f>
        <v>0</v>
      </c>
      <c r="I85" s="362"/>
      <c r="J85" s="362"/>
      <c r="K85" s="359"/>
    </row>
    <row r="86" spans="1:11" s="360" customFormat="1">
      <c r="A86" s="145" t="s">
        <v>770</v>
      </c>
      <c r="B86" s="361">
        <f>'Sources and Uses Budget'!C86</f>
        <v>1212837</v>
      </c>
      <c r="C86" s="362">
        <f t="shared" si="12"/>
        <v>1212837</v>
      </c>
      <c r="D86" s="362"/>
      <c r="E86" s="361">
        <f>'Sources and Uses Budget'!S86</f>
        <v>1212837</v>
      </c>
      <c r="F86" s="362">
        <f t="shared" si="13"/>
        <v>1212837</v>
      </c>
      <c r="G86" s="362"/>
      <c r="H86" s="361">
        <f>'Sources and Uses Budget'!T86</f>
        <v>0</v>
      </c>
      <c r="I86" s="362"/>
      <c r="J86" s="362"/>
      <c r="K86" s="359"/>
    </row>
    <row r="87" spans="1:11" s="360" customFormat="1">
      <c r="A87" s="145" t="s">
        <v>771</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772</v>
      </c>
      <c r="B88" s="361">
        <f>'Sources and Uses Budget'!C88</f>
        <v>102250</v>
      </c>
      <c r="C88" s="362">
        <f t="shared" si="12"/>
        <v>102250</v>
      </c>
      <c r="D88" s="362"/>
      <c r="E88" s="363"/>
      <c r="F88" s="363"/>
      <c r="G88" s="363"/>
      <c r="H88" s="363"/>
      <c r="I88" s="363"/>
      <c r="J88" s="363"/>
      <c r="K88" s="359"/>
    </row>
    <row r="89" spans="1:11" s="360" customFormat="1">
      <c r="A89" s="145" t="s">
        <v>773</v>
      </c>
      <c r="B89" s="361">
        <f>'Sources and Uses Budget'!C89</f>
        <v>40000</v>
      </c>
      <c r="C89" s="362">
        <f t="shared" si="12"/>
        <v>40000</v>
      </c>
      <c r="D89" s="362"/>
      <c r="E89" s="361">
        <f>'Sources and Uses Budget'!S89</f>
        <v>40000</v>
      </c>
      <c r="F89" s="362">
        <f t="shared" ref="F89:F92" si="14">+E89</f>
        <v>40000</v>
      </c>
      <c r="G89" s="362"/>
      <c r="H89" s="361">
        <f>'Sources and Uses Budget'!T89</f>
        <v>0</v>
      </c>
      <c r="I89" s="362"/>
      <c r="J89" s="362"/>
      <c r="K89" s="359"/>
    </row>
    <row r="90" spans="1:11" s="360" customFormat="1">
      <c r="A90" s="145" t="s">
        <v>774</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1212</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Other: (Specify)</v>
      </c>
      <c r="B93" s="361">
        <f>'Sources and Uses Budget'!C93</f>
        <v>0</v>
      </c>
      <c r="C93" s="362">
        <f t="shared" si="12"/>
        <v>0</v>
      </c>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2739527</v>
      </c>
      <c r="C96" s="361">
        <f>SUM(C83:C95)</f>
        <v>2739527</v>
      </c>
      <c r="D96" s="361">
        <f>SUM(D83:D95)</f>
        <v>0</v>
      </c>
      <c r="E96" s="361">
        <f>'Sources and Uses Budget'!S96</f>
        <v>2459500</v>
      </c>
      <c r="F96" s="367">
        <f>SUM(F84:F87,F89:F95)</f>
        <v>2459500</v>
      </c>
      <c r="G96" s="367">
        <f>SUM(G84:G87,G89:G95)</f>
        <v>0</v>
      </c>
      <c r="H96" s="361">
        <f>'Sources and Uses Budget'!T96</f>
        <v>0</v>
      </c>
      <c r="I96" s="361">
        <f>SUM(I84:I87,I89:I95)</f>
        <v>0</v>
      </c>
      <c r="J96" s="361">
        <f>SUM(J84:J87,J89:J95)</f>
        <v>0</v>
      </c>
      <c r="K96" s="359"/>
    </row>
    <row r="97" spans="1:11" s="360" customFormat="1">
      <c r="A97" s="365" t="s">
        <v>1030</v>
      </c>
      <c r="B97" s="361">
        <f>'Sources and Uses Budget'!C97</f>
        <v>56724553</v>
      </c>
      <c r="C97" s="361">
        <f>SUM(C63+C70+C77+C81+C96)</f>
        <v>56724553</v>
      </c>
      <c r="D97" s="361">
        <f>SUM(D63+D70+D77+D81+D96)</f>
        <v>0</v>
      </c>
      <c r="E97" s="361">
        <f>'Sources and Uses Budget'!S97</f>
        <v>53891607</v>
      </c>
      <c r="F97" s="367">
        <f>SUM(+F63+F70+F81+F96)</f>
        <v>53891607</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8083741</v>
      </c>
      <c r="C99" s="362">
        <f>+B99</f>
        <v>8083741</v>
      </c>
      <c r="D99" s="362"/>
      <c r="E99" s="361">
        <f>'Sources and Uses Budget'!S99</f>
        <v>8083741</v>
      </c>
      <c r="F99" s="362">
        <f>+E99</f>
        <v>8083741</v>
      </c>
      <c r="G99" s="362"/>
      <c r="H99" s="361">
        <f>'Sources and Uses Budget'!T99</f>
        <v>0</v>
      </c>
      <c r="I99" s="362"/>
      <c r="J99" s="362"/>
      <c r="K99" s="359"/>
    </row>
    <row r="100" spans="1:11" s="360" customFormat="1">
      <c r="A100" s="283" t="s">
        <v>1648</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1649</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8083741</v>
      </c>
      <c r="C104" s="361">
        <f>SUM(C99:C103)</f>
        <v>8083741</v>
      </c>
      <c r="D104" s="361">
        <f>SUM(D99:D103)</f>
        <v>0</v>
      </c>
      <c r="E104" s="361">
        <f>'Sources and Uses Budget'!S104</f>
        <v>8083741</v>
      </c>
      <c r="F104" s="367">
        <f>SUM(F99:F103)</f>
        <v>8083741</v>
      </c>
      <c r="G104" s="367">
        <f>SUM(G99:G103)</f>
        <v>0</v>
      </c>
      <c r="H104" s="361">
        <f>'Sources and Uses Budget'!T104</f>
        <v>0</v>
      </c>
      <c r="I104" s="367">
        <f>SUM(I99:I103)</f>
        <v>0</v>
      </c>
      <c r="J104" s="367">
        <f>SUM(J99:J103)</f>
        <v>0</v>
      </c>
      <c r="K104" s="359"/>
    </row>
    <row r="105" spans="1:11" s="360" customFormat="1">
      <c r="A105" s="365" t="s">
        <v>1031</v>
      </c>
      <c r="B105" s="361">
        <f>'Sources and Uses Budget'!C105</f>
        <v>64808294</v>
      </c>
      <c r="C105" s="367">
        <f>SUM(C97+C104)</f>
        <v>64808294</v>
      </c>
      <c r="D105" s="367">
        <f>SUM(D97+D104)</f>
        <v>0</v>
      </c>
      <c r="E105" s="361">
        <f>'Sources and Uses Budget'!S105</f>
        <v>61975348</v>
      </c>
      <c r="F105" s="367">
        <f>F97+F104</f>
        <v>61975348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61975348</v>
      </c>
      <c r="F107" s="367">
        <f>F105+F106</f>
        <v>61975348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2"/>
      <c r="F124" s="1312"/>
      <c r="G124" s="1312"/>
      <c r="H124" s="1312"/>
      <c r="I124" s="1312"/>
      <c r="J124" s="376"/>
      <c r="K124" s="359"/>
    </row>
    <row r="125" spans="1:11" s="360" customFormat="1" ht="12.75">
      <c r="A125" s="385"/>
      <c r="B125" s="384"/>
      <c r="C125" s="385"/>
      <c r="D125" s="1312"/>
      <c r="E125" s="1312"/>
      <c r="F125" s="1312"/>
      <c r="G125" s="1312"/>
      <c r="H125" s="1312"/>
      <c r="I125" s="1312"/>
      <c r="J125" s="376"/>
      <c r="K125" s="359"/>
    </row>
    <row r="126" spans="1:11" s="360" customFormat="1" ht="12.75">
      <c r="A126" s="385"/>
      <c r="B126" s="384"/>
      <c r="C126" s="385"/>
      <c r="D126" s="1312"/>
      <c r="E126" s="1312"/>
      <c r="F126" s="1312"/>
      <c r="G126" s="1312"/>
      <c r="H126" s="1312"/>
      <c r="I126" s="1312"/>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B54" sqref="AB54:AF54"/>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1907" t="s">
        <v>1282</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row>
    <row r="2" spans="1:40" ht="12.95" customHeight="1" thickBo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1240</v>
      </c>
    </row>
    <row r="7" spans="1:40" ht="12.95" customHeight="1">
      <c r="B7" s="405"/>
      <c r="C7" s="406"/>
      <c r="D7" s="406"/>
      <c r="E7" s="406"/>
      <c r="F7" s="406"/>
      <c r="G7" s="406"/>
      <c r="H7" s="406"/>
      <c r="I7" s="406"/>
      <c r="J7" s="406"/>
      <c r="K7" s="406"/>
      <c r="L7" s="406"/>
      <c r="M7" s="406"/>
      <c r="N7" s="406"/>
      <c r="O7" s="406"/>
      <c r="P7" s="406"/>
      <c r="Q7" s="406"/>
      <c r="R7" s="406"/>
      <c r="S7" s="406"/>
      <c r="T7" s="1909" t="str">
        <f xml:space="preserve"> IF(T25=100%,'Sources and Basis Breakdown'!G2,'Sources and Basis Breakdown'!F2)</f>
        <v>30% PVC for New Const/
Rehabilitation
DDA/QCT
Building(s)</v>
      </c>
      <c r="U7" s="1909"/>
      <c r="V7" s="1909"/>
      <c r="W7" s="1909"/>
      <c r="X7" s="1909"/>
      <c r="Y7" s="1909" t="str">
        <f>IF(T25=100%,"",'Sources and Basis Breakdown'!G2)</f>
        <v>30% PVC for New Const/
Rehabilitation
NON-DDA/
NON-QCT Building(s)</v>
      </c>
      <c r="Z7" s="1909"/>
      <c r="AA7" s="1909"/>
      <c r="AB7" s="1909"/>
      <c r="AC7" s="1909"/>
      <c r="AD7" s="1909" t="str">
        <f xml:space="preserve"> IF(T25=100%, 'Sources and Basis Breakdown'!J2,'Sources and Basis Breakdown'!I2)</f>
        <v>30% PVC for Acquisition
DDA/QCT Building(s)</v>
      </c>
      <c r="AE7" s="1909"/>
      <c r="AF7" s="1909"/>
      <c r="AG7" s="1909"/>
      <c r="AH7" s="1909"/>
      <c r="AI7" s="1909" t="str">
        <f>IF(T25=100%,"",'Sources and Basis Breakdown'!J2)</f>
        <v>30% PVC for Acquisition
NON-DDA/
NON-QCT Building(s)</v>
      </c>
      <c r="AJ7" s="1909"/>
      <c r="AK7" s="1909"/>
      <c r="AL7" s="1909"/>
      <c r="AM7" s="1909"/>
    </row>
    <row r="8" spans="1:40" ht="12.95" customHeight="1">
      <c r="B8" s="407"/>
      <c r="T8" s="1909"/>
      <c r="U8" s="1909"/>
      <c r="V8" s="1909"/>
      <c r="W8" s="1909"/>
      <c r="X8" s="1909"/>
      <c r="Y8" s="1909"/>
      <c r="Z8" s="1909"/>
      <c r="AA8" s="1909"/>
      <c r="AB8" s="1909"/>
      <c r="AC8" s="1909"/>
      <c r="AD8" s="1909"/>
      <c r="AE8" s="1909"/>
      <c r="AF8" s="1909"/>
      <c r="AG8" s="1909"/>
      <c r="AH8" s="1909"/>
      <c r="AI8" s="1909"/>
      <c r="AJ8" s="1909"/>
      <c r="AK8" s="1909"/>
      <c r="AL8" s="1909"/>
      <c r="AM8" s="1909"/>
    </row>
    <row r="9" spans="1:40" ht="12.95" customHeight="1">
      <c r="B9" s="407"/>
      <c r="T9" s="1909"/>
      <c r="U9" s="1909"/>
      <c r="V9" s="1909"/>
      <c r="W9" s="1909"/>
      <c r="X9" s="1909"/>
      <c r="Y9" s="1909"/>
      <c r="Z9" s="1909"/>
      <c r="AA9" s="1909"/>
      <c r="AB9" s="1909"/>
      <c r="AC9" s="1909"/>
      <c r="AD9" s="1909"/>
      <c r="AE9" s="1909"/>
      <c r="AF9" s="1909"/>
      <c r="AG9" s="1909"/>
      <c r="AH9" s="1909"/>
      <c r="AI9" s="1909"/>
      <c r="AJ9" s="1909"/>
      <c r="AK9" s="1909"/>
      <c r="AL9" s="1909"/>
      <c r="AM9" s="1909"/>
    </row>
    <row r="10" spans="1:40" ht="12.95" customHeight="1">
      <c r="B10" s="408"/>
      <c r="C10" s="409"/>
      <c r="D10" s="409"/>
      <c r="E10" s="409"/>
      <c r="F10" s="409"/>
      <c r="G10" s="409"/>
      <c r="H10" s="409"/>
      <c r="I10" s="409"/>
      <c r="J10" s="409"/>
      <c r="K10" s="409"/>
      <c r="L10" s="409"/>
      <c r="M10" s="409"/>
      <c r="N10" s="409"/>
      <c r="O10" s="409"/>
      <c r="P10" s="409"/>
      <c r="Q10" s="409"/>
      <c r="R10" s="409"/>
      <c r="S10" s="409"/>
      <c r="T10" s="1909"/>
      <c r="U10" s="1909"/>
      <c r="V10" s="1909"/>
      <c r="W10" s="1909"/>
      <c r="X10" s="1909"/>
      <c r="Y10" s="1909"/>
      <c r="Z10" s="1909"/>
      <c r="AA10" s="1909"/>
      <c r="AB10" s="1909"/>
      <c r="AC10" s="1909"/>
      <c r="AD10" s="1909"/>
      <c r="AE10" s="1909"/>
      <c r="AF10" s="1909"/>
      <c r="AG10" s="1909"/>
      <c r="AH10" s="1909"/>
      <c r="AI10" s="1909"/>
      <c r="AJ10" s="1909"/>
      <c r="AK10" s="1909"/>
      <c r="AL10" s="1909"/>
      <c r="AM10" s="1909"/>
    </row>
    <row r="11" spans="1:40" ht="12.95" customHeight="1">
      <c r="B11" s="1888" t="s">
        <v>375</v>
      </c>
      <c r="C11" s="1889"/>
      <c r="D11" s="1889"/>
      <c r="E11" s="1889"/>
      <c r="F11" s="1889"/>
      <c r="G11" s="1889"/>
      <c r="H11" s="1889"/>
      <c r="I11" s="1889"/>
      <c r="J11" s="1889"/>
      <c r="K11" s="1889"/>
      <c r="L11" s="1889"/>
      <c r="M11" s="1889"/>
      <c r="N11" s="1889"/>
      <c r="O11" s="1889"/>
      <c r="P11" s="1889"/>
      <c r="Q11" s="1889"/>
      <c r="R11" s="1889"/>
      <c r="S11" s="1890"/>
      <c r="T11" s="1910">
        <f>IF('Sources and Basis Breakdown'!F107=0,'Sources and Basis Breakdown'!E107,'Sources and Basis Breakdown'!F107)</f>
        <v>61975348</v>
      </c>
      <c r="U11" s="1911"/>
      <c r="V11" s="1911"/>
      <c r="W11" s="1911"/>
      <c r="X11" s="1911"/>
      <c r="Y11" s="1910">
        <f>IF(Y7="",0,IF('Sources and Basis Breakdown'!G107+'Sources and Basis Breakdown'!F107='Sources and Basis Breakdown'!E107,'Sources and Basis Breakdown'!G107,0))</f>
        <v>0</v>
      </c>
      <c r="Z11" s="1911"/>
      <c r="AA11" s="1911"/>
      <c r="AB11" s="1911"/>
      <c r="AC11" s="1911"/>
      <c r="AD11" s="1911">
        <f>IF('Sources and Basis Breakdown'!I107=0,'Sources and Basis Breakdown'!H107,'Sources and Basis Breakdown'!I107)</f>
        <v>0</v>
      </c>
      <c r="AE11" s="1911"/>
      <c r="AF11" s="1911"/>
      <c r="AG11" s="1911"/>
      <c r="AH11" s="1911"/>
      <c r="AI11" s="1911">
        <f>IF(Y7="",0,IF('Sources and Basis Breakdown'!I107+'Sources and Basis Breakdown'!J107='Sources and Basis Breakdown'!H107,'Sources and Basis Breakdown'!J107,0))</f>
        <v>0</v>
      </c>
      <c r="AJ11" s="1911"/>
      <c r="AK11" s="1911"/>
      <c r="AL11" s="1911"/>
      <c r="AM11" s="1911"/>
    </row>
    <row r="12" spans="1:40" ht="12.95" customHeight="1">
      <c r="B12" s="1903" t="s">
        <v>498</v>
      </c>
      <c r="C12" s="1286"/>
      <c r="D12" s="1286"/>
      <c r="E12" s="1286"/>
      <c r="F12" s="1286"/>
      <c r="G12" s="1286"/>
      <c r="H12" s="1286"/>
      <c r="I12" s="1286"/>
      <c r="J12" s="1286"/>
      <c r="K12" s="1286"/>
      <c r="L12" s="1286"/>
      <c r="M12" s="1286"/>
      <c r="N12" s="1286"/>
      <c r="O12" s="1286"/>
      <c r="P12" s="1286"/>
      <c r="Q12" s="1286"/>
      <c r="R12" s="1286"/>
      <c r="S12" s="1904"/>
      <c r="T12" s="1876"/>
      <c r="U12" s="1877"/>
      <c r="V12" s="1877"/>
      <c r="W12" s="1877"/>
      <c r="X12" s="1878"/>
      <c r="Y12" s="1876"/>
      <c r="Z12" s="1877"/>
      <c r="AA12" s="1877"/>
      <c r="AB12" s="1877"/>
      <c r="AC12" s="1878"/>
      <c r="AD12" s="1876"/>
      <c r="AE12" s="1877"/>
      <c r="AF12" s="1877"/>
      <c r="AG12" s="1877"/>
      <c r="AH12" s="1878"/>
      <c r="AI12" s="1876"/>
      <c r="AJ12" s="1877"/>
      <c r="AK12" s="1877"/>
      <c r="AL12" s="1877"/>
      <c r="AM12" s="1878"/>
    </row>
    <row r="13" spans="1:40" ht="12.95" customHeight="1">
      <c r="B13" s="435"/>
      <c r="C13" s="1905" t="s">
        <v>499</v>
      </c>
      <c r="D13" s="1905"/>
      <c r="E13" s="1905"/>
      <c r="F13" s="1905"/>
      <c r="G13" s="1905"/>
      <c r="H13" s="1905"/>
      <c r="I13" s="1905"/>
      <c r="J13" s="1905"/>
      <c r="K13" s="1905"/>
      <c r="L13" s="1905"/>
      <c r="M13" s="1905"/>
      <c r="N13" s="1905"/>
      <c r="O13" s="1905"/>
      <c r="P13" s="1905"/>
      <c r="Q13" s="1905"/>
      <c r="R13" s="1905"/>
      <c r="S13" s="1906"/>
      <c r="T13" s="1912"/>
      <c r="U13" s="1913"/>
      <c r="V13" s="1913"/>
      <c r="W13" s="1913"/>
      <c r="X13" s="1913"/>
      <c r="Y13" s="1912"/>
      <c r="Z13" s="1913"/>
      <c r="AA13" s="1913"/>
      <c r="AB13" s="1913"/>
      <c r="AC13" s="1913"/>
      <c r="AD13" s="1913"/>
      <c r="AE13" s="1913"/>
      <c r="AF13" s="1913"/>
      <c r="AG13" s="1913"/>
      <c r="AH13" s="1913"/>
      <c r="AI13" s="1913"/>
      <c r="AJ13" s="1913"/>
      <c r="AK13" s="1913"/>
      <c r="AL13" s="1913"/>
      <c r="AM13" s="1913"/>
    </row>
    <row r="14" spans="1:40" ht="12.95" customHeight="1">
      <c r="B14" s="435"/>
      <c r="C14" s="1905" t="s">
        <v>500</v>
      </c>
      <c r="D14" s="1905"/>
      <c r="E14" s="1905"/>
      <c r="F14" s="1905"/>
      <c r="G14" s="1905"/>
      <c r="H14" s="1905"/>
      <c r="I14" s="1905"/>
      <c r="J14" s="1905"/>
      <c r="K14" s="1905"/>
      <c r="L14" s="1905"/>
      <c r="M14" s="1905"/>
      <c r="N14" s="1905"/>
      <c r="O14" s="1905"/>
      <c r="P14" s="1905"/>
      <c r="Q14" s="1905"/>
      <c r="R14" s="1905"/>
      <c r="S14" s="1906"/>
      <c r="T14" s="1879"/>
      <c r="U14" s="1880"/>
      <c r="V14" s="1880"/>
      <c r="W14" s="1880"/>
      <c r="X14" s="1880"/>
      <c r="Y14" s="1879"/>
      <c r="Z14" s="1880"/>
      <c r="AA14" s="1880"/>
      <c r="AB14" s="1880"/>
      <c r="AC14" s="1880"/>
      <c r="AD14" s="1880"/>
      <c r="AE14" s="1880"/>
      <c r="AF14" s="1880"/>
      <c r="AG14" s="1880"/>
      <c r="AH14" s="1880"/>
      <c r="AI14" s="1880"/>
      <c r="AJ14" s="1880"/>
      <c r="AK14" s="1880"/>
      <c r="AL14" s="1880"/>
      <c r="AM14" s="1880"/>
    </row>
    <row r="15" spans="1:40" ht="12.95" customHeight="1">
      <c r="B15" s="435"/>
      <c r="C15" s="1905" t="s">
        <v>501</v>
      </c>
      <c r="D15" s="1905"/>
      <c r="E15" s="1905"/>
      <c r="F15" s="1905"/>
      <c r="G15" s="1905"/>
      <c r="H15" s="1905"/>
      <c r="I15" s="1905"/>
      <c r="J15" s="1905"/>
      <c r="K15" s="1905"/>
      <c r="L15" s="1905"/>
      <c r="M15" s="1905"/>
      <c r="N15" s="1905"/>
      <c r="O15" s="1905"/>
      <c r="P15" s="1905"/>
      <c r="Q15" s="1905"/>
      <c r="R15" s="1905"/>
      <c r="S15" s="1906"/>
      <c r="T15" s="1879"/>
      <c r="U15" s="1880"/>
      <c r="V15" s="1880"/>
      <c r="W15" s="1880"/>
      <c r="X15" s="1880"/>
      <c r="Y15" s="1879"/>
      <c r="Z15" s="1880"/>
      <c r="AA15" s="1880"/>
      <c r="AB15" s="1880"/>
      <c r="AC15" s="1880"/>
      <c r="AD15" s="1880"/>
      <c r="AE15" s="1880"/>
      <c r="AF15" s="1880"/>
      <c r="AG15" s="1880"/>
      <c r="AH15" s="1880"/>
      <c r="AI15" s="1880"/>
      <c r="AJ15" s="1880"/>
      <c r="AK15" s="1880"/>
      <c r="AL15" s="1880"/>
      <c r="AM15" s="1880"/>
    </row>
    <row r="16" spans="1:40" ht="12.95" customHeight="1">
      <c r="B16" s="435"/>
      <c r="C16" s="1905" t="s">
        <v>806</v>
      </c>
      <c r="D16" s="1905"/>
      <c r="E16" s="1905"/>
      <c r="F16" s="1905"/>
      <c r="G16" s="1905"/>
      <c r="H16" s="1905"/>
      <c r="I16" s="1905"/>
      <c r="J16" s="1905"/>
      <c r="K16" s="1905"/>
      <c r="L16" s="1905"/>
      <c r="M16" s="1905"/>
      <c r="N16" s="1905"/>
      <c r="O16" s="1905"/>
      <c r="P16" s="1905"/>
      <c r="Q16" s="1905"/>
      <c r="R16" s="1905"/>
      <c r="S16" s="1906"/>
      <c r="T16" s="1879"/>
      <c r="U16" s="1880"/>
      <c r="V16" s="1880"/>
      <c r="W16" s="1880"/>
      <c r="X16" s="1880"/>
      <c r="Y16" s="1879"/>
      <c r="Z16" s="1880"/>
      <c r="AA16" s="1880"/>
      <c r="AB16" s="1880"/>
      <c r="AC16" s="1880"/>
      <c r="AD16" s="1880"/>
      <c r="AE16" s="1880"/>
      <c r="AF16" s="1880"/>
      <c r="AG16" s="1880"/>
      <c r="AH16" s="1880"/>
      <c r="AI16" s="1880"/>
      <c r="AJ16" s="1880"/>
      <c r="AK16" s="1880"/>
      <c r="AL16" s="1880"/>
      <c r="AM16" s="1880"/>
    </row>
    <row r="17" spans="1:40" ht="12.95" customHeight="1">
      <c r="B17" s="435"/>
      <c r="C17" s="1905" t="s">
        <v>502</v>
      </c>
      <c r="D17" s="1905"/>
      <c r="E17" s="1905"/>
      <c r="F17" s="1905"/>
      <c r="G17" s="1905"/>
      <c r="H17" s="1905"/>
      <c r="I17" s="1905"/>
      <c r="J17" s="1905"/>
      <c r="K17" s="1905"/>
      <c r="L17" s="1905"/>
      <c r="M17" s="1905"/>
      <c r="N17" s="1905"/>
      <c r="O17" s="1905"/>
      <c r="P17" s="1905"/>
      <c r="Q17" s="1905"/>
      <c r="R17" s="1905"/>
      <c r="S17" s="1906"/>
      <c r="T17" s="1879"/>
      <c r="U17" s="1880"/>
      <c r="V17" s="1880"/>
      <c r="W17" s="1880"/>
      <c r="X17" s="1880"/>
      <c r="Y17" s="1879"/>
      <c r="Z17" s="1880"/>
      <c r="AA17" s="1880"/>
      <c r="AB17" s="1880"/>
      <c r="AC17" s="1880"/>
      <c r="AD17" s="1880"/>
      <c r="AE17" s="1880"/>
      <c r="AF17" s="1880"/>
      <c r="AG17" s="1880"/>
      <c r="AH17" s="1880"/>
      <c r="AI17" s="1880"/>
      <c r="AJ17" s="1880"/>
      <c r="AK17" s="1880"/>
      <c r="AL17" s="1880"/>
      <c r="AM17" s="1880"/>
    </row>
    <row r="18" spans="1:40" ht="12.95" customHeight="1">
      <c r="A18"/>
      <c r="B18" s="1150"/>
      <c r="C18" s="1812" t="s">
        <v>961</v>
      </c>
      <c r="D18" s="1812"/>
      <c r="E18" s="1812"/>
      <c r="F18" s="1812"/>
      <c r="G18" s="1812"/>
      <c r="H18" s="1812"/>
      <c r="I18" s="1812"/>
      <c r="J18" s="1812"/>
      <c r="K18" s="1812"/>
      <c r="L18" s="1812"/>
      <c r="M18" s="1812"/>
      <c r="N18" s="1812"/>
      <c r="O18" s="1812"/>
      <c r="P18" s="1812"/>
      <c r="Q18" s="1812"/>
      <c r="R18" s="1812"/>
      <c r="S18" s="1813"/>
      <c r="T18" s="1879"/>
      <c r="U18" s="1880"/>
      <c r="V18" s="1880"/>
      <c r="W18" s="1880"/>
      <c r="X18" s="1880"/>
      <c r="Y18" s="1879"/>
      <c r="Z18" s="1880"/>
      <c r="AA18" s="1880"/>
      <c r="AB18" s="1880"/>
      <c r="AC18" s="1880"/>
      <c r="AD18" s="1880"/>
      <c r="AE18" s="1880"/>
      <c r="AF18" s="1880"/>
      <c r="AG18" s="1880"/>
      <c r="AH18" s="1880"/>
      <c r="AI18" s="1880"/>
      <c r="AJ18" s="1880"/>
      <c r="AK18" s="1880"/>
      <c r="AL18" s="1880"/>
      <c r="AM18" s="1880"/>
    </row>
    <row r="19" spans="1:40" ht="12.95" customHeight="1">
      <c r="B19" s="1150"/>
      <c r="C19" s="1812" t="s">
        <v>961</v>
      </c>
      <c r="D19" s="1812"/>
      <c r="E19" s="1812"/>
      <c r="F19" s="1812"/>
      <c r="G19" s="1812"/>
      <c r="H19" s="1812"/>
      <c r="I19" s="1812"/>
      <c r="J19" s="1812"/>
      <c r="K19" s="1812"/>
      <c r="L19" s="1812"/>
      <c r="M19" s="1812"/>
      <c r="N19" s="1812"/>
      <c r="O19" s="1812"/>
      <c r="P19" s="1812"/>
      <c r="Q19" s="1812"/>
      <c r="R19" s="1812"/>
      <c r="S19" s="1813"/>
      <c r="T19" s="1879"/>
      <c r="U19" s="1880"/>
      <c r="V19" s="1880"/>
      <c r="W19" s="1880"/>
      <c r="X19" s="1880"/>
      <c r="Y19" s="1879"/>
      <c r="Z19" s="1880"/>
      <c r="AA19" s="1880"/>
      <c r="AB19" s="1880"/>
      <c r="AC19" s="1880"/>
      <c r="AD19" s="1880"/>
      <c r="AE19" s="1880"/>
      <c r="AF19" s="1880"/>
      <c r="AG19" s="1880"/>
      <c r="AH19" s="1880"/>
      <c r="AI19" s="1880"/>
      <c r="AJ19" s="1880"/>
      <c r="AK19" s="1880"/>
      <c r="AL19" s="1880"/>
      <c r="AM19" s="1880"/>
    </row>
    <row r="20" spans="1:40" ht="12.95" customHeight="1">
      <c r="B20" s="1888" t="s">
        <v>503</v>
      </c>
      <c r="C20" s="1889"/>
      <c r="D20" s="1889"/>
      <c r="E20" s="1889"/>
      <c r="F20" s="1889"/>
      <c r="G20" s="1889"/>
      <c r="H20" s="1889"/>
      <c r="I20" s="1889"/>
      <c r="J20" s="1889"/>
      <c r="K20" s="1889"/>
      <c r="L20" s="1889"/>
      <c r="M20" s="1889"/>
      <c r="N20" s="1889"/>
      <c r="O20" s="1889"/>
      <c r="P20" s="1889"/>
      <c r="Q20" s="1889"/>
      <c r="R20" s="1889"/>
      <c r="S20" s="1890"/>
      <c r="T20" s="1881">
        <f>SUM(T13:X19)</f>
        <v>0</v>
      </c>
      <c r="U20" s="1882"/>
      <c r="V20" s="1882"/>
      <c r="W20" s="1882"/>
      <c r="X20" s="1882"/>
      <c r="Y20" s="1881">
        <f>SUM(Y13:AC19)</f>
        <v>0</v>
      </c>
      <c r="Z20" s="1882"/>
      <c r="AA20" s="1882"/>
      <c r="AB20" s="1882"/>
      <c r="AC20" s="1882"/>
      <c r="AD20" s="1883">
        <f>SUM(AD13:AH19)</f>
        <v>0</v>
      </c>
      <c r="AE20" s="1884"/>
      <c r="AF20" s="1884"/>
      <c r="AG20" s="1884"/>
      <c r="AH20" s="1881"/>
      <c r="AI20" s="1883">
        <f>SUM(AI13:AM19)</f>
        <v>0</v>
      </c>
      <c r="AJ20" s="1884"/>
      <c r="AK20" s="1884"/>
      <c r="AL20" s="1884"/>
      <c r="AM20" s="1881"/>
    </row>
    <row r="21" spans="1:40" ht="12.95" customHeight="1">
      <c r="B21" s="1888" t="s">
        <v>1265</v>
      </c>
      <c r="C21" s="1889"/>
      <c r="D21" s="1889"/>
      <c r="E21" s="1889"/>
      <c r="F21" s="1889"/>
      <c r="G21" s="1889"/>
      <c r="H21" s="1889"/>
      <c r="I21" s="1889"/>
      <c r="J21" s="1889"/>
      <c r="K21" s="1889"/>
      <c r="L21" s="1889"/>
      <c r="M21" s="1889"/>
      <c r="N21" s="1889"/>
      <c r="O21" s="1889"/>
      <c r="P21" s="1889"/>
      <c r="Q21" s="1889"/>
      <c r="R21" s="1889"/>
      <c r="S21" s="1890"/>
      <c r="T21" s="1879"/>
      <c r="U21" s="1880"/>
      <c r="V21" s="1880"/>
      <c r="W21" s="1880"/>
      <c r="X21" s="1880"/>
      <c r="Y21" s="1879"/>
      <c r="Z21" s="1880"/>
      <c r="AA21" s="1880"/>
      <c r="AB21" s="1880"/>
      <c r="AC21" s="1880"/>
      <c r="AD21" s="1876"/>
      <c r="AE21" s="1877"/>
      <c r="AF21" s="1877"/>
      <c r="AG21" s="1877"/>
      <c r="AH21" s="1878"/>
      <c r="AI21" s="1876"/>
      <c r="AJ21" s="1877"/>
      <c r="AK21" s="1877"/>
      <c r="AL21" s="1877"/>
      <c r="AM21" s="1878"/>
    </row>
    <row r="22" spans="1:40" ht="12.95" customHeight="1">
      <c r="B22" s="1888" t="s">
        <v>504</v>
      </c>
      <c r="C22" s="1889"/>
      <c r="D22" s="1889"/>
      <c r="E22" s="1889"/>
      <c r="F22" s="1889"/>
      <c r="G22" s="1889"/>
      <c r="H22" s="1889"/>
      <c r="I22" s="1889"/>
      <c r="J22" s="1889"/>
      <c r="K22" s="1889"/>
      <c r="L22" s="1889"/>
      <c r="M22" s="1889"/>
      <c r="N22" s="1889"/>
      <c r="O22" s="1889"/>
      <c r="P22" s="1889"/>
      <c r="Q22" s="1889"/>
      <c r="R22" s="1889"/>
      <c r="S22" s="1890"/>
      <c r="T22" s="1914">
        <f>(ABS(T20)+ABS(T21))*-1</f>
        <v>0</v>
      </c>
      <c r="U22" s="1915"/>
      <c r="V22" s="1915"/>
      <c r="W22" s="1915"/>
      <c r="X22" s="1915"/>
      <c r="Y22" s="1914">
        <f>(Y20+Y21)*-1</f>
        <v>0</v>
      </c>
      <c r="Z22" s="1915"/>
      <c r="AA22" s="1915"/>
      <c r="AB22" s="1915"/>
      <c r="AC22" s="1915"/>
      <c r="AD22" s="1916">
        <f>(AD20)*-1</f>
        <v>0</v>
      </c>
      <c r="AE22" s="1917"/>
      <c r="AF22" s="1917"/>
      <c r="AG22" s="1917"/>
      <c r="AH22" s="1914"/>
      <c r="AI22" s="1916">
        <f>(AI20)*-1</f>
        <v>0</v>
      </c>
      <c r="AJ22" s="1917"/>
      <c r="AK22" s="1917"/>
      <c r="AL22" s="1917"/>
      <c r="AM22" s="1914"/>
    </row>
    <row r="23" spans="1:40" ht="12.95" customHeight="1">
      <c r="B23" s="1888" t="s">
        <v>505</v>
      </c>
      <c r="C23" s="1889"/>
      <c r="D23" s="1889"/>
      <c r="E23" s="1889"/>
      <c r="F23" s="1889"/>
      <c r="G23" s="1889"/>
      <c r="H23" s="1889"/>
      <c r="I23" s="1889"/>
      <c r="J23" s="1889"/>
      <c r="K23" s="1889"/>
      <c r="L23" s="1889"/>
      <c r="M23" s="1889"/>
      <c r="N23" s="1889"/>
      <c r="O23" s="1889"/>
      <c r="P23" s="1889"/>
      <c r="Q23" s="1889"/>
      <c r="R23" s="1889"/>
      <c r="S23" s="1890"/>
      <c r="T23" s="1881">
        <f>T11+T22</f>
        <v>61975348</v>
      </c>
      <c r="U23" s="1882"/>
      <c r="V23" s="1882"/>
      <c r="W23" s="1882"/>
      <c r="X23" s="1882"/>
      <c r="Y23" s="1881">
        <f>Y11+Y22</f>
        <v>0</v>
      </c>
      <c r="Z23" s="1882"/>
      <c r="AA23" s="1882"/>
      <c r="AB23" s="1882"/>
      <c r="AC23" s="1882"/>
      <c r="AD23" s="1881">
        <f>AD11+AD22</f>
        <v>0</v>
      </c>
      <c r="AE23" s="1882"/>
      <c r="AF23" s="1882"/>
      <c r="AG23" s="1882"/>
      <c r="AH23" s="1882"/>
      <c r="AI23" s="1881">
        <f>AI11+AI22</f>
        <v>0</v>
      </c>
      <c r="AJ23" s="1882"/>
      <c r="AK23" s="1882"/>
      <c r="AL23" s="1882"/>
      <c r="AM23" s="1882"/>
    </row>
    <row r="24" spans="1:40" ht="12.95" customHeight="1">
      <c r="B24" s="1888" t="s">
        <v>962</v>
      </c>
      <c r="C24" s="1889"/>
      <c r="D24" s="1889"/>
      <c r="E24" s="1889"/>
      <c r="F24" s="1889"/>
      <c r="G24" s="1889"/>
      <c r="H24" s="1889"/>
      <c r="I24" s="1889"/>
      <c r="J24" s="1889"/>
      <c r="K24" s="1889"/>
      <c r="L24" s="1889"/>
      <c r="M24" s="1889"/>
      <c r="N24" s="1889"/>
      <c r="O24" s="1889"/>
      <c r="P24" s="1889"/>
      <c r="Q24" s="1889"/>
      <c r="R24" s="1889"/>
      <c r="S24" s="1890"/>
      <c r="T24" s="1883">
        <f>Application!AJ1053</f>
        <v>136628634.84</v>
      </c>
      <c r="U24" s="1884"/>
      <c r="V24" s="1884"/>
      <c r="W24" s="1884"/>
      <c r="X24" s="1884"/>
      <c r="Y24" s="1884"/>
      <c r="Z24" s="1884"/>
      <c r="AA24" s="1884"/>
      <c r="AB24" s="1884"/>
      <c r="AC24" s="1884"/>
      <c r="AD24" s="1884"/>
      <c r="AE24" s="1884"/>
      <c r="AF24" s="1884"/>
      <c r="AG24" s="1884"/>
      <c r="AH24" s="1884"/>
      <c r="AI24" s="1884"/>
      <c r="AJ24" s="1884"/>
      <c r="AK24" s="1884"/>
      <c r="AL24" s="1884"/>
      <c r="AM24" s="1881"/>
    </row>
    <row r="25" spans="1:40" ht="12.95" customHeight="1">
      <c r="B25" s="1892" t="s">
        <v>1266</v>
      </c>
      <c r="C25" s="1893"/>
      <c r="D25" s="1893"/>
      <c r="E25" s="1893"/>
      <c r="F25" s="1893"/>
      <c r="G25" s="1893"/>
      <c r="H25" s="1893"/>
      <c r="I25" s="1893"/>
      <c r="J25" s="1893"/>
      <c r="K25" s="1893"/>
      <c r="L25" s="1893"/>
      <c r="M25" s="1893"/>
      <c r="N25" s="1893"/>
      <c r="O25" s="1893"/>
      <c r="P25" s="1893"/>
      <c r="Q25" s="1893"/>
      <c r="R25" s="1893"/>
      <c r="S25" s="1894"/>
      <c r="T25" s="1918">
        <f>IF(OR(Application!T196="yes",Application!T195="yes"),1.3,1)</f>
        <v>1.3</v>
      </c>
      <c r="U25" s="1919"/>
      <c r="V25" s="1919"/>
      <c r="W25" s="1919"/>
      <c r="X25" s="1919"/>
      <c r="Y25" s="1918">
        <v>1</v>
      </c>
      <c r="Z25" s="1919"/>
      <c r="AA25" s="1919"/>
      <c r="AB25" s="1919"/>
      <c r="AC25" s="1919"/>
      <c r="AD25" s="1918">
        <v>1</v>
      </c>
      <c r="AE25" s="1919"/>
      <c r="AF25" s="1919"/>
      <c r="AG25" s="1919"/>
      <c r="AH25" s="1920"/>
      <c r="AI25" s="1918">
        <v>1</v>
      </c>
      <c r="AJ25" s="1919"/>
      <c r="AK25" s="1919"/>
      <c r="AL25" s="1919"/>
      <c r="AM25" s="1920"/>
    </row>
    <row r="26" spans="1:40" ht="12.95" customHeight="1">
      <c r="B26" s="1888" t="s">
        <v>506</v>
      </c>
      <c r="C26" s="1889"/>
      <c r="D26" s="1889"/>
      <c r="E26" s="1889"/>
      <c r="F26" s="1889"/>
      <c r="G26" s="1889"/>
      <c r="H26" s="1889"/>
      <c r="I26" s="1889"/>
      <c r="J26" s="1889"/>
      <c r="K26" s="1889"/>
      <c r="L26" s="1889"/>
      <c r="M26" s="1889"/>
      <c r="N26" s="1889"/>
      <c r="O26" s="1889"/>
      <c r="P26" s="1889"/>
      <c r="Q26" s="1889"/>
      <c r="R26" s="1889"/>
      <c r="S26" s="1890"/>
      <c r="T26" s="1881">
        <f>T23*T25</f>
        <v>80567952.400000006</v>
      </c>
      <c r="U26" s="1882"/>
      <c r="V26" s="1882"/>
      <c r="W26" s="1882"/>
      <c r="X26" s="1882"/>
      <c r="Y26" s="1881">
        <f>Y23*Y25</f>
        <v>0</v>
      </c>
      <c r="Z26" s="1882"/>
      <c r="AA26" s="1882"/>
      <c r="AB26" s="1882"/>
      <c r="AC26" s="1882"/>
      <c r="AD26" s="1881">
        <f>AD23*AD25</f>
        <v>0</v>
      </c>
      <c r="AE26" s="1882"/>
      <c r="AF26" s="1882"/>
      <c r="AG26" s="1882"/>
      <c r="AH26" s="1882"/>
      <c r="AI26" s="1881">
        <f>AI23*AI25</f>
        <v>0</v>
      </c>
      <c r="AJ26" s="1882"/>
      <c r="AK26" s="1882"/>
      <c r="AL26" s="1882"/>
      <c r="AM26" s="1882"/>
    </row>
    <row r="27" spans="1:40" ht="12.95" customHeight="1">
      <c r="A27" s="410"/>
      <c r="B27" s="1895" t="s">
        <v>426</v>
      </c>
      <c r="C27" s="1896"/>
      <c r="D27" s="1896"/>
      <c r="E27" s="1896"/>
      <c r="F27" s="1896"/>
      <c r="G27" s="1896"/>
      <c r="H27" s="1896"/>
      <c r="I27" s="1896"/>
      <c r="J27" s="1896"/>
      <c r="K27" s="1896"/>
      <c r="L27" s="1896"/>
      <c r="M27" s="1896"/>
      <c r="N27" s="1896"/>
      <c r="O27" s="1896"/>
      <c r="P27" s="1896"/>
      <c r="Q27" s="1896"/>
      <c r="R27" s="1896"/>
      <c r="S27" s="1897"/>
      <c r="T27" s="1901">
        <f>Application!$AG$445</f>
        <v>1</v>
      </c>
      <c r="U27" s="1902"/>
      <c r="V27" s="1902"/>
      <c r="W27" s="1902"/>
      <c r="X27" s="1902"/>
      <c r="Y27" s="1901">
        <f>Application!$AG$445</f>
        <v>1</v>
      </c>
      <c r="Z27" s="1902"/>
      <c r="AA27" s="1902"/>
      <c r="AB27" s="1902"/>
      <c r="AC27" s="1902"/>
      <c r="AD27" s="1901">
        <f>Application!$AG$445</f>
        <v>1</v>
      </c>
      <c r="AE27" s="1902"/>
      <c r="AF27" s="1902"/>
      <c r="AG27" s="1902"/>
      <c r="AH27" s="1902"/>
      <c r="AI27" s="1901">
        <f>Application!$AG$445</f>
        <v>1</v>
      </c>
      <c r="AJ27" s="1902"/>
      <c r="AK27" s="1902"/>
      <c r="AL27" s="1902"/>
      <c r="AM27" s="1902"/>
    </row>
    <row r="28" spans="1:40" ht="12.95" customHeight="1">
      <c r="A28" s="404"/>
      <c r="B28" s="1888" t="s">
        <v>507</v>
      </c>
      <c r="C28" s="1889"/>
      <c r="D28" s="1889"/>
      <c r="E28" s="1889"/>
      <c r="F28" s="1889"/>
      <c r="G28" s="1889"/>
      <c r="H28" s="1889"/>
      <c r="I28" s="1889"/>
      <c r="J28" s="1889"/>
      <c r="K28" s="1889"/>
      <c r="L28" s="1889"/>
      <c r="M28" s="1889"/>
      <c r="N28" s="1889"/>
      <c r="O28" s="1889"/>
      <c r="P28" s="1889"/>
      <c r="Q28" s="1889"/>
      <c r="R28" s="1889"/>
      <c r="S28" s="1890"/>
      <c r="T28" s="1881">
        <f>IF(ISERROR((T26*T27)),0,(T26*T27))</f>
        <v>80567952.400000006</v>
      </c>
      <c r="U28" s="1882"/>
      <c r="V28" s="1882"/>
      <c r="W28" s="1882"/>
      <c r="X28" s="1882"/>
      <c r="Y28" s="1881">
        <f>IF(ISERROR((Y26*Y27)),0,(Y26*Y27))</f>
        <v>0</v>
      </c>
      <c r="Z28" s="1882"/>
      <c r="AA28" s="1882"/>
      <c r="AB28" s="1882"/>
      <c r="AC28" s="1882"/>
      <c r="AD28" s="1881">
        <f>IF(ISERROR((AD26*AD27)),0,(AD26*AD27))</f>
        <v>0</v>
      </c>
      <c r="AE28" s="1882"/>
      <c r="AF28" s="1882"/>
      <c r="AG28" s="1882"/>
      <c r="AH28" s="1882"/>
      <c r="AI28" s="1881">
        <f>IF(ISERROR((AI26*AI27)),0,(AI26*AI27))</f>
        <v>0</v>
      </c>
      <c r="AJ28" s="1882"/>
      <c r="AK28" s="1882"/>
      <c r="AL28" s="1882"/>
      <c r="AM28" s="1882"/>
    </row>
    <row r="29" spans="1:40" ht="12.95" customHeight="1">
      <c r="B29" s="1888" t="s">
        <v>524</v>
      </c>
      <c r="C29" s="1889"/>
      <c r="D29" s="1889"/>
      <c r="E29" s="1889"/>
      <c r="F29" s="1889"/>
      <c r="G29" s="1889"/>
      <c r="H29" s="1889"/>
      <c r="I29" s="1889"/>
      <c r="J29" s="1889"/>
      <c r="K29" s="1889"/>
      <c r="L29" s="1889"/>
      <c r="M29" s="1889"/>
      <c r="N29" s="1889"/>
      <c r="O29" s="1889"/>
      <c r="P29" s="1889"/>
      <c r="Q29" s="1889"/>
      <c r="R29" s="1889"/>
      <c r="S29" s="1890"/>
      <c r="T29" s="1883">
        <f>T28+Y28+AD28+AI28</f>
        <v>80567952.400000006</v>
      </c>
      <c r="U29" s="1884"/>
      <c r="V29" s="1884"/>
      <c r="W29" s="1884"/>
      <c r="X29" s="1884"/>
      <c r="Y29" s="1884"/>
      <c r="Z29" s="1884"/>
      <c r="AA29" s="1884"/>
      <c r="AB29" s="1884"/>
      <c r="AC29" s="1884"/>
      <c r="AD29" s="1884"/>
      <c r="AE29" s="1884"/>
      <c r="AF29" s="1884"/>
      <c r="AG29" s="1884"/>
      <c r="AH29" s="1884"/>
      <c r="AI29" s="1884"/>
      <c r="AJ29" s="1884"/>
      <c r="AK29" s="1884"/>
      <c r="AL29" s="1884"/>
      <c r="AM29" s="1881"/>
    </row>
    <row r="30" spans="1:40" ht="12.95" customHeight="1">
      <c r="B30" s="1891" t="s">
        <v>1268</v>
      </c>
      <c r="C30" s="1891"/>
      <c r="D30" s="1891"/>
      <c r="E30" s="1891"/>
      <c r="F30" s="1891"/>
      <c r="G30" s="1891"/>
      <c r="H30" s="1891"/>
      <c r="I30" s="1891"/>
      <c r="J30" s="1891"/>
      <c r="K30" s="1891"/>
      <c r="L30" s="1891"/>
      <c r="M30" s="1891"/>
      <c r="N30" s="1891"/>
      <c r="O30" s="1891"/>
      <c r="P30" s="1891"/>
      <c r="Q30" s="1891"/>
      <c r="R30" s="1891"/>
      <c r="S30" s="1891"/>
      <c r="T30" s="1891"/>
      <c r="U30" s="1891"/>
      <c r="V30" s="1891"/>
      <c r="W30" s="1891"/>
      <c r="X30" s="1891"/>
      <c r="Y30" s="1891"/>
      <c r="Z30" s="1891"/>
      <c r="AA30" s="1891"/>
      <c r="AB30" s="1891"/>
      <c r="AC30" s="1891"/>
      <c r="AD30" s="1891"/>
      <c r="AE30" s="1891"/>
      <c r="AF30" s="1891"/>
      <c r="AG30" s="1891"/>
      <c r="AH30" s="1891"/>
      <c r="AI30" s="1891"/>
      <c r="AJ30" s="1891"/>
      <c r="AK30" s="1891"/>
      <c r="AL30" s="1891"/>
      <c r="AM30" s="1891"/>
    </row>
    <row r="31" spans="1:40" ht="12.95" customHeight="1">
      <c r="B31" s="1891" t="s">
        <v>1267</v>
      </c>
      <c r="C31" s="1891"/>
      <c r="D31" s="1891"/>
      <c r="E31" s="1891"/>
      <c r="F31" s="1891"/>
      <c r="G31" s="1891"/>
      <c r="H31" s="1891"/>
      <c r="I31" s="1891"/>
      <c r="J31" s="1891"/>
      <c r="K31" s="1891"/>
      <c r="L31" s="1891"/>
      <c r="M31" s="1891"/>
      <c r="N31" s="1891"/>
      <c r="O31" s="1891"/>
      <c r="P31" s="1891"/>
      <c r="Q31" s="1891"/>
      <c r="R31" s="1891"/>
      <c r="S31" s="1891"/>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1909" t="s">
        <v>1155</v>
      </c>
      <c r="Z35" s="1909"/>
      <c r="AA35" s="1909"/>
      <c r="AB35" s="1909"/>
      <c r="AC35" s="1909"/>
      <c r="AD35" s="1929" t="s">
        <v>369</v>
      </c>
      <c r="AE35" s="1929"/>
      <c r="AF35" s="1929"/>
      <c r="AG35" s="1929"/>
      <c r="AH35" s="1929"/>
    </row>
    <row r="36" spans="1:76" ht="12.95" customHeight="1">
      <c r="B36" s="407"/>
      <c r="X36" s="412"/>
      <c r="Y36" s="1909"/>
      <c r="Z36" s="1909"/>
      <c r="AA36" s="1909"/>
      <c r="AB36" s="1909"/>
      <c r="AC36" s="1909"/>
      <c r="AD36" s="1929"/>
      <c r="AE36" s="1929"/>
      <c r="AF36" s="1929"/>
      <c r="AG36" s="1929"/>
      <c r="AH36" s="192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1909"/>
      <c r="Z37" s="1909"/>
      <c r="AA37" s="1909"/>
      <c r="AB37" s="1909"/>
      <c r="AC37" s="1909"/>
      <c r="AD37" s="1929"/>
      <c r="AE37" s="1929"/>
      <c r="AF37" s="1929"/>
      <c r="AG37" s="1929"/>
      <c r="AH37" s="1929"/>
    </row>
    <row r="38" spans="1:76" ht="12.95" customHeight="1">
      <c r="A38" s="404"/>
      <c r="B38" s="1888" t="s">
        <v>507</v>
      </c>
      <c r="C38" s="1889"/>
      <c r="D38" s="1889"/>
      <c r="E38" s="1889"/>
      <c r="F38" s="1889"/>
      <c r="G38" s="1889"/>
      <c r="H38" s="1889"/>
      <c r="I38" s="1889"/>
      <c r="J38" s="1889"/>
      <c r="K38" s="1889"/>
      <c r="L38" s="1889"/>
      <c r="M38" s="1889"/>
      <c r="N38" s="1889"/>
      <c r="O38" s="1889"/>
      <c r="P38" s="1889"/>
      <c r="Q38" s="1889"/>
      <c r="R38" s="1889"/>
      <c r="S38" s="1889"/>
      <c r="T38" s="1889"/>
      <c r="U38" s="1889"/>
      <c r="V38" s="1889"/>
      <c r="W38" s="1889"/>
      <c r="X38" s="1890"/>
      <c r="Y38" s="1882">
        <f>IF(T24&gt;=(T23+Y23+AD23+AI23),T28+Y28,0)</f>
        <v>80567952.400000006</v>
      </c>
      <c r="Z38" s="1882"/>
      <c r="AA38" s="1882"/>
      <c r="AB38" s="1882"/>
      <c r="AC38" s="1882"/>
      <c r="AD38" s="1882">
        <f>IF(T24&gt;=(T23+Y23+AD23+AI23),AD28+AI28,0)</f>
        <v>0</v>
      </c>
      <c r="AE38" s="1882"/>
      <c r="AF38" s="1882"/>
      <c r="AG38" s="1882"/>
      <c r="AH38" s="1882"/>
    </row>
    <row r="39" spans="1:76" ht="12.95" customHeight="1">
      <c r="B39" s="1888" t="s">
        <v>1693</v>
      </c>
      <c r="C39" s="1889"/>
      <c r="D39" s="1889"/>
      <c r="E39" s="1889"/>
      <c r="F39" s="1889"/>
      <c r="G39" s="1889"/>
      <c r="H39" s="1889"/>
      <c r="I39" s="1889"/>
      <c r="J39" s="1889"/>
      <c r="K39" s="1889"/>
      <c r="L39" s="1889"/>
      <c r="M39" s="1889"/>
      <c r="N39" s="1889"/>
      <c r="O39" s="1889"/>
      <c r="P39" s="1889"/>
      <c r="Q39" s="1889"/>
      <c r="R39" s="1889"/>
      <c r="S39" s="1889"/>
      <c r="T39" s="1889"/>
      <c r="U39" s="1889"/>
      <c r="V39" s="1889"/>
      <c r="W39" s="1889"/>
      <c r="X39" s="1890"/>
      <c r="Y39" s="1930">
        <v>0.04</v>
      </c>
      <c r="Z39" s="1930"/>
      <c r="AA39" s="1930"/>
      <c r="AB39" s="1930"/>
      <c r="AC39" s="1930"/>
      <c r="AD39" s="1930">
        <v>0.04</v>
      </c>
      <c r="AE39" s="1930"/>
      <c r="AF39" s="1930"/>
      <c r="AG39" s="1930"/>
      <c r="AH39" s="1930"/>
    </row>
    <row r="40" spans="1:76" ht="12.95" customHeight="1">
      <c r="A40" s="404"/>
      <c r="B40" s="1888" t="s">
        <v>643</v>
      </c>
      <c r="C40" s="1889"/>
      <c r="D40" s="1889"/>
      <c r="E40" s="1889"/>
      <c r="F40" s="1889"/>
      <c r="G40" s="1889"/>
      <c r="H40" s="1889"/>
      <c r="I40" s="1889"/>
      <c r="J40" s="1889"/>
      <c r="K40" s="1889"/>
      <c r="L40" s="1889"/>
      <c r="M40" s="1889"/>
      <c r="N40" s="1889"/>
      <c r="O40" s="1889"/>
      <c r="P40" s="1889"/>
      <c r="Q40" s="1889"/>
      <c r="R40" s="1889"/>
      <c r="S40" s="1889"/>
      <c r="T40" s="1889"/>
      <c r="U40" s="1889"/>
      <c r="V40" s="1889"/>
      <c r="W40" s="1889"/>
      <c r="X40" s="1890"/>
      <c r="Y40" s="1882">
        <f>ROUND(Y38*Y39,0)</f>
        <v>3222718</v>
      </c>
      <c r="Z40" s="1882"/>
      <c r="AA40" s="1882"/>
      <c r="AB40" s="1882"/>
      <c r="AC40" s="1882"/>
      <c r="AD40" s="1881">
        <f>ROUND(AD38*AD39,0)</f>
        <v>0</v>
      </c>
      <c r="AE40" s="1882"/>
      <c r="AF40" s="1882"/>
      <c r="AG40" s="1882"/>
      <c r="AH40" s="1882"/>
    </row>
    <row r="41" spans="1:76" ht="12.95" customHeight="1">
      <c r="B41" s="1888" t="s">
        <v>644</v>
      </c>
      <c r="C41" s="1889"/>
      <c r="D41" s="1889"/>
      <c r="E41" s="1889"/>
      <c r="F41" s="1889"/>
      <c r="G41" s="1889"/>
      <c r="H41" s="1889"/>
      <c r="I41" s="1889"/>
      <c r="J41" s="1889"/>
      <c r="K41" s="1889"/>
      <c r="L41" s="1889"/>
      <c r="M41" s="1889"/>
      <c r="N41" s="1889"/>
      <c r="O41" s="1889"/>
      <c r="P41" s="1889"/>
      <c r="Q41" s="1889"/>
      <c r="R41" s="1889"/>
      <c r="S41" s="1889"/>
      <c r="T41" s="1889"/>
      <c r="U41" s="1889"/>
      <c r="V41" s="1889"/>
      <c r="W41" s="1889"/>
      <c r="X41" s="1890"/>
      <c r="Y41" s="1883">
        <f>Y40+AD40</f>
        <v>3222718</v>
      </c>
      <c r="Z41" s="1884"/>
      <c r="AA41" s="1884"/>
      <c r="AB41" s="1884"/>
      <c r="AC41" s="1884"/>
      <c r="AD41" s="1884"/>
      <c r="AE41" s="1884"/>
      <c r="AF41" s="1884"/>
      <c r="AG41" s="1884"/>
      <c r="AH41" s="188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1886" t="s">
        <v>1278</v>
      </c>
      <c r="B44" s="1886"/>
      <c r="C44" s="1886"/>
      <c r="D44" s="1886"/>
      <c r="E44" s="1886"/>
      <c r="F44" s="1886"/>
      <c r="G44" s="1886"/>
      <c r="H44" s="1886"/>
      <c r="I44" s="1886"/>
      <c r="J44" s="1886"/>
      <c r="K44" s="1886"/>
      <c r="L44" s="1886"/>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c r="AN44" s="1886"/>
      <c r="AO44" s="1886"/>
      <c r="AP44" s="1886"/>
      <c r="AQ44" s="1886"/>
      <c r="AR44" s="1886"/>
      <c r="AS44" s="1886"/>
      <c r="AT44" s="1886"/>
      <c r="AU44" s="1886"/>
      <c r="AV44" s="1886"/>
      <c r="AW44" s="1886"/>
      <c r="AX44" s="1886"/>
      <c r="AY44" s="1886"/>
      <c r="AZ44" s="1886"/>
      <c r="BA44" s="1886"/>
      <c r="BB44" s="1886"/>
      <c r="BC44" s="1886"/>
      <c r="BD44" s="1886"/>
      <c r="BE44" s="1886"/>
      <c r="BF44" s="1886"/>
      <c r="BG44" s="1886"/>
      <c r="BH44" s="1886"/>
      <c r="BI44" s="1886"/>
      <c r="BJ44" s="1886"/>
      <c r="BK44" s="1886"/>
      <c r="BL44" s="1886"/>
      <c r="BM44" s="1886"/>
      <c r="BN44" s="1886"/>
      <c r="BO44" s="1886"/>
      <c r="BP44" s="1886"/>
      <c r="BQ44" s="1886"/>
      <c r="BR44" s="1886"/>
      <c r="BS44" s="1886"/>
      <c r="BT44" s="1886"/>
      <c r="BU44" s="1886"/>
      <c r="BV44" s="1886"/>
      <c r="BW44" s="1886"/>
      <c r="BX44" s="1886"/>
    </row>
    <row r="45" spans="1:76" s="204" customFormat="1" ht="12.95" customHeight="1" thickTop="1"/>
    <row r="46" spans="1:76" ht="12.95" customHeight="1">
      <c r="A46" s="404" t="s">
        <v>587</v>
      </c>
      <c r="C46" s="404" t="s">
        <v>282</v>
      </c>
    </row>
    <row r="47" spans="1:76" ht="12.95" customHeight="1">
      <c r="D47" s="404" t="s">
        <v>283</v>
      </c>
      <c r="AB47" s="1898">
        <f>'Sources and Uses Budget'!B105-MAX(IF('Sources and Uses Budget'!B15="",0,'Sources and Uses Budget'!B15),IF(Application!AG394="",0,Application!AG394))</f>
        <v>64808294</v>
      </c>
      <c r="AC47" s="1899"/>
      <c r="AD47" s="1899"/>
      <c r="AE47" s="1899"/>
      <c r="AF47" s="1900"/>
    </row>
    <row r="48" spans="1:76" ht="12.95" customHeight="1">
      <c r="D48" s="404" t="s">
        <v>21</v>
      </c>
      <c r="AB48" s="1898">
        <f>Application!AO639-MAX(IF('Sources and Uses Budget'!B15="",0,'Sources and Uses Budget'!B15),IF(Application!AG394="",0,Application!AG394))</f>
        <v>36931782</v>
      </c>
      <c r="AC48" s="1899"/>
      <c r="AD48" s="1899"/>
      <c r="AE48" s="1899"/>
      <c r="AF48" s="1900"/>
    </row>
    <row r="49" spans="1:76" ht="12.95" customHeight="1">
      <c r="D49" s="404" t="s">
        <v>91</v>
      </c>
      <c r="AB49" s="1898">
        <f>AB47-AB48</f>
        <v>27876512</v>
      </c>
      <c r="AC49" s="1899"/>
      <c r="AD49" s="1899"/>
      <c r="AE49" s="1899"/>
      <c r="AF49" s="1900"/>
    </row>
    <row r="50" spans="1:76" ht="12.95" customHeight="1">
      <c r="D50" s="404" t="s">
        <v>682</v>
      </c>
      <c r="AA50" s="415"/>
      <c r="AB50" s="1925">
        <v>0.86500003000000003</v>
      </c>
      <c r="AC50" s="1926"/>
      <c r="AD50" s="1926"/>
      <c r="AE50" s="1926"/>
      <c r="AF50" s="1927"/>
    </row>
    <row r="51" spans="1:76" s="417" customFormat="1" ht="12.95" customHeight="1">
      <c r="A51" s="402"/>
      <c r="B51" s="402"/>
      <c r="C51" s="402"/>
      <c r="D51" s="402"/>
      <c r="E51" s="1928" t="s">
        <v>2613</v>
      </c>
      <c r="F51" s="1928"/>
      <c r="G51" s="1928"/>
      <c r="H51" s="1928"/>
      <c r="I51" s="1928"/>
      <c r="J51" s="1928"/>
      <c r="K51" s="1928"/>
      <c r="L51" s="1928"/>
      <c r="M51" s="1928"/>
      <c r="N51" s="1928"/>
      <c r="O51" s="1928"/>
      <c r="P51" s="1928"/>
      <c r="Q51" s="1928"/>
      <c r="R51" s="1928"/>
      <c r="S51" s="1928"/>
      <c r="T51" s="1928"/>
      <c r="U51" s="1928"/>
      <c r="V51" s="1928"/>
      <c r="W51" s="1928"/>
      <c r="X51" s="1928"/>
      <c r="Y51" s="1928"/>
      <c r="Z51" s="1928"/>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1928"/>
      <c r="F52" s="1928"/>
      <c r="G52" s="1928"/>
      <c r="H52" s="1928"/>
      <c r="I52" s="1928"/>
      <c r="J52" s="1928"/>
      <c r="K52" s="1928"/>
      <c r="L52" s="1928"/>
      <c r="M52" s="1928"/>
      <c r="N52" s="1928"/>
      <c r="O52" s="1928"/>
      <c r="P52" s="1928"/>
      <c r="Q52" s="1928"/>
      <c r="R52" s="1928"/>
      <c r="S52" s="1928"/>
      <c r="T52" s="1928"/>
      <c r="U52" s="1928"/>
      <c r="V52" s="1928"/>
      <c r="W52" s="1928"/>
      <c r="X52" s="1928"/>
      <c r="Y52" s="1928"/>
      <c r="Z52" s="1928"/>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1898">
        <f>ROUND(IF(ISERROR((AB49/AB50)),0,(AB49/AB50)),0)</f>
        <v>32227180</v>
      </c>
      <c r="AC54" s="1899"/>
      <c r="AD54" s="1899"/>
      <c r="AE54" s="1899"/>
      <c r="AF54" s="1900"/>
    </row>
    <row r="55" spans="1:76" ht="12.95" customHeight="1">
      <c r="D55" s="404" t="s">
        <v>333</v>
      </c>
      <c r="AB55" s="1898">
        <f>(AB54/10)</f>
        <v>3222718</v>
      </c>
      <c r="AC55" s="1899"/>
      <c r="AD55" s="1899"/>
      <c r="AE55" s="1899"/>
      <c r="AF55" s="1900"/>
    </row>
    <row r="56" spans="1:76" ht="12.95" customHeight="1">
      <c r="D56" s="404" t="s">
        <v>757</v>
      </c>
      <c r="AB56" s="1898">
        <f>ROUND((IF((Y41&lt;AB55),Y41,AB55)),0)</f>
        <v>3222718</v>
      </c>
      <c r="AC56" s="1899"/>
      <c r="AD56" s="1899"/>
      <c r="AE56" s="1899"/>
      <c r="AF56" s="1900"/>
    </row>
    <row r="57" spans="1:76" ht="12.95" customHeight="1">
      <c r="D57" s="404" t="s">
        <v>756</v>
      </c>
      <c r="AB57" s="1898">
        <f>ROUND((10*AB56*AB50),0)</f>
        <v>27876512</v>
      </c>
      <c r="AC57" s="1899"/>
      <c r="AD57" s="1899"/>
      <c r="AE57" s="1899"/>
      <c r="AF57" s="1900"/>
    </row>
    <row r="58" spans="1:76" ht="12.95" customHeight="1">
      <c r="D58" s="404"/>
      <c r="AB58" s="423"/>
      <c r="AC58" s="423"/>
      <c r="AD58" s="423"/>
      <c r="AE58" s="423"/>
      <c r="AF58" s="423"/>
    </row>
    <row r="59" spans="1:76" ht="12.95" customHeight="1">
      <c r="D59" s="404" t="s">
        <v>755</v>
      </c>
      <c r="AB59" s="1921">
        <f>AB49-AB57</f>
        <v>0</v>
      </c>
      <c r="AC59" s="1921"/>
      <c r="AD59" s="1921"/>
      <c r="AE59" s="1921"/>
      <c r="AF59" s="1921"/>
    </row>
    <row r="60" spans="1:76" ht="12.95" customHeight="1">
      <c r="D60" s="404"/>
      <c r="AB60" s="423"/>
      <c r="AC60" s="423"/>
      <c r="AD60" s="423"/>
      <c r="AE60" s="423"/>
      <c r="AF60" s="423"/>
    </row>
    <row r="61" spans="1:76" s="204" customFormat="1" ht="12.95" customHeight="1" thickBot="1">
      <c r="A61" s="1886" t="str">
        <f>IF(Application!AP205="yes","Farmworker State Credit", "State Credit" )</f>
        <v>State Credit</v>
      </c>
      <c r="B61" s="1886"/>
      <c r="C61" s="1886"/>
      <c r="D61" s="1886"/>
      <c r="E61" s="1886"/>
      <c r="F61" s="1886"/>
      <c r="G61" s="1886"/>
      <c r="H61" s="1886"/>
      <c r="I61" s="1886"/>
      <c r="J61" s="1886"/>
      <c r="K61" s="1886"/>
      <c r="L61" s="1886"/>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c r="AN61" s="1886"/>
      <c r="AO61" s="1886"/>
      <c r="AP61" s="1886"/>
      <c r="AQ61" s="1886"/>
      <c r="AR61" s="1886"/>
      <c r="AS61" s="1886"/>
      <c r="AT61" s="1886"/>
      <c r="AU61" s="1886"/>
      <c r="AV61" s="1886"/>
      <c r="AW61" s="1886"/>
      <c r="AX61" s="1886"/>
      <c r="AY61" s="1886"/>
      <c r="AZ61" s="1886"/>
      <c r="BA61" s="1886"/>
      <c r="BB61" s="1886"/>
      <c r="BC61" s="1886"/>
      <c r="BD61" s="1886"/>
      <c r="BE61" s="1886"/>
      <c r="BF61" s="1886"/>
      <c r="BG61" s="1886"/>
      <c r="BH61" s="1886"/>
      <c r="BI61" s="1886"/>
      <c r="BJ61" s="1886"/>
      <c r="BK61" s="1886"/>
      <c r="BL61" s="1886"/>
      <c r="BM61" s="1886"/>
      <c r="BN61" s="1886"/>
      <c r="BO61" s="1886"/>
      <c r="BP61" s="1886"/>
      <c r="BQ61" s="1886"/>
      <c r="BR61" s="1886"/>
      <c r="BS61" s="1886"/>
      <c r="BT61" s="1886"/>
      <c r="BU61" s="1886"/>
      <c r="BV61" s="1886"/>
      <c r="BW61" s="1886"/>
      <c r="BX61" s="1886"/>
    </row>
    <row r="62" spans="1:76" s="204" customFormat="1" ht="12.95" customHeight="1" thickTop="1"/>
    <row r="63" spans="1:76" ht="12.95" customHeight="1">
      <c r="A63" s="404" t="s">
        <v>590</v>
      </c>
      <c r="C63" s="205" t="s">
        <v>1250</v>
      </c>
      <c r="Y63" s="1922" t="s">
        <v>985</v>
      </c>
      <c r="Z63" s="1922"/>
      <c r="AA63" s="1922"/>
      <c r="AB63" s="1922"/>
      <c r="AC63" s="1922"/>
      <c r="AD63" s="1922" t="s">
        <v>369</v>
      </c>
      <c r="AE63" s="1922"/>
      <c r="AF63" s="1922"/>
      <c r="AG63" s="1922"/>
      <c r="AH63" s="1922"/>
    </row>
    <row r="64" spans="1:76" ht="12.95" customHeight="1">
      <c r="C64" s="404"/>
      <c r="D64" s="377" t="s">
        <v>1251</v>
      </c>
      <c r="E64" s="420"/>
      <c r="F64" s="420"/>
      <c r="G64" s="420"/>
      <c r="H64" s="420"/>
      <c r="I64" s="420"/>
      <c r="J64" s="420"/>
      <c r="K64" s="420"/>
      <c r="L64" s="420"/>
      <c r="M64" s="420"/>
      <c r="N64" s="420"/>
      <c r="O64" s="420"/>
      <c r="P64" s="420"/>
      <c r="Q64" s="420"/>
      <c r="R64" s="420"/>
      <c r="S64" s="420"/>
      <c r="T64" s="420"/>
      <c r="U64" s="420"/>
      <c r="V64" s="420"/>
      <c r="W64" s="420"/>
      <c r="X64" s="420"/>
      <c r="Y64" s="1883">
        <f>IF(Application!$Z$205="(select)",0,((T23*T27)+Y28))</f>
        <v>61975348</v>
      </c>
      <c r="Z64" s="1923"/>
      <c r="AA64" s="1923"/>
      <c r="AB64" s="1923"/>
      <c r="AC64" s="1924"/>
      <c r="AD64" s="1883">
        <f>IF(AND(OR(Application!D211="At-Risk",Application!D211="At-Risk and Special Needs"),Application!M358="yes"),AD28+AI28,0)</f>
        <v>0</v>
      </c>
      <c r="AE64" s="1923"/>
      <c r="AF64" s="1923"/>
      <c r="AG64" s="1923"/>
      <c r="AH64" s="1924"/>
    </row>
    <row r="65" spans="1:36" ht="12.95" customHeight="1">
      <c r="C65" s="404"/>
      <c r="E65" s="1017" t="s">
        <v>1850</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1851</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1936">
        <f>IF(OR(Application!Z205="State Farmworker Credit",Application!Z205="$500M (Farmworker Housing)"),0.75,IF(Application!Z205="15% set-aside",0.13,IF(Application!Z205="15% set-aside with qualifying low value rehab",0.95,IF(Application!Z205="$500M",0.3,0))))</f>
        <v>0.3</v>
      </c>
      <c r="Z67" s="1936"/>
      <c r="AA67" s="1936"/>
      <c r="AB67" s="1936"/>
      <c r="AC67" s="1936"/>
      <c r="AD67" s="1936">
        <f>IF(Application!Z205="15% set-aside with qualifying low value rehab", 0.95,IF(OR(Application!D211="At-Risk",'Points System'!B13="Yes"),0.13,0))</f>
        <v>0</v>
      </c>
      <c r="AE67" s="1936"/>
      <c r="AF67" s="1936"/>
      <c r="AG67" s="1936"/>
      <c r="AH67" s="1936"/>
    </row>
    <row r="68" spans="1:36" ht="12.95" customHeight="1">
      <c r="C68" s="404"/>
      <c r="D68" s="205" t="s">
        <v>2226</v>
      </c>
      <c r="Y68" s="1882">
        <f>ROUND(Y64*Y67,0)</f>
        <v>18592604</v>
      </c>
      <c r="Z68" s="1937"/>
      <c r="AA68" s="1937"/>
      <c r="AB68" s="1937"/>
      <c r="AC68" s="1937"/>
      <c r="AD68" s="1882">
        <f>ROUND(AD64*AD67,0)</f>
        <v>0</v>
      </c>
      <c r="AE68" s="1937"/>
      <c r="AF68" s="1937"/>
      <c r="AG68" s="1937"/>
      <c r="AH68" s="1937"/>
    </row>
    <row r="69" spans="1:36" ht="12.95" customHeight="1">
      <c r="C69" s="404"/>
      <c r="D69" s="205" t="s">
        <v>2227</v>
      </c>
      <c r="Y69" s="1882">
        <f>IF(OR(Application!Z205="State Farmworker Credit",Application!Z205="$500M (Farmworker Housing)"),Y68+AD68,MIN(Y68+AD68,200000*(Application!G753+Application!O777)))</f>
        <v>18592604</v>
      </c>
      <c r="Z69" s="1882"/>
      <c r="AA69" s="1882"/>
      <c r="AB69" s="1882"/>
      <c r="AC69" s="1882"/>
      <c r="AD69" s="1882"/>
      <c r="AE69" s="1882"/>
      <c r="AF69" s="1882"/>
      <c r="AG69" s="1882"/>
      <c r="AH69" s="1882"/>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1252</v>
      </c>
      <c r="AB72" s="1925"/>
      <c r="AC72" s="1926"/>
      <c r="AD72" s="1926"/>
      <c r="AE72" s="1926"/>
      <c r="AF72" s="1927"/>
    </row>
    <row r="73" spans="1:36" ht="12.95" customHeight="1">
      <c r="A73" s="404"/>
      <c r="C73" s="404"/>
      <c r="D73" s="404"/>
      <c r="E73" s="1938" t="s">
        <v>1253</v>
      </c>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c r="AB73" s="438"/>
      <c r="AC73" s="438"/>
    </row>
    <row r="74" spans="1:36" ht="12.95" customHeight="1">
      <c r="A74" s="404"/>
      <c r="C74" s="404"/>
      <c r="D74" s="404"/>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1938"/>
      <c r="AB74" s="438"/>
      <c r="AC74" s="438"/>
    </row>
    <row r="75" spans="1:36" ht="12.95" customHeight="1">
      <c r="A75" s="404"/>
      <c r="C75" s="404"/>
      <c r="D75" s="404"/>
      <c r="E75" s="1938"/>
      <c r="F75" s="1938"/>
      <c r="G75" s="1938"/>
      <c r="H75" s="1938"/>
      <c r="I75" s="1938"/>
      <c r="J75" s="1938"/>
      <c r="K75" s="1938"/>
      <c r="L75" s="1938"/>
      <c r="M75" s="1938"/>
      <c r="N75" s="1938"/>
      <c r="O75" s="1938"/>
      <c r="P75" s="1938"/>
      <c r="Q75" s="1938"/>
      <c r="R75" s="1938"/>
      <c r="S75" s="1938"/>
      <c r="T75" s="1938"/>
      <c r="U75" s="1938"/>
      <c r="V75" s="1938"/>
      <c r="W75" s="1938"/>
      <c r="X75" s="1938"/>
      <c r="Y75" s="1938"/>
      <c r="Z75" s="1938"/>
      <c r="AA75" s="193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1254</v>
      </c>
      <c r="AB77" s="1931">
        <f>ROUND(IF(ISERROR((AB59/AB72)),0,(AB59/AB72)),0)</f>
        <v>0</v>
      </c>
      <c r="AC77" s="1931"/>
      <c r="AD77" s="1931"/>
      <c r="AE77" s="1931"/>
      <c r="AF77" s="1931"/>
    </row>
    <row r="78" spans="1:36" ht="12.95" customHeight="1">
      <c r="C78" s="404"/>
      <c r="D78" s="205" t="s">
        <v>1255</v>
      </c>
      <c r="AB78" s="1932">
        <f>ROUNDUP(MIN(Y69,AB77),0)</f>
        <v>0</v>
      </c>
      <c r="AC78" s="1933"/>
      <c r="AD78" s="1933"/>
      <c r="AE78" s="1933"/>
      <c r="AF78" s="1934"/>
    </row>
    <row r="79" spans="1:36" ht="12.95" customHeight="1">
      <c r="C79" s="404"/>
      <c r="D79" s="205" t="s">
        <v>1256</v>
      </c>
      <c r="AB79" s="1935">
        <f>AB78*AB72</f>
        <v>0</v>
      </c>
      <c r="AC79" s="1935"/>
      <c r="AD79" s="1935"/>
      <c r="AE79" s="1935"/>
      <c r="AF79" s="1935"/>
    </row>
    <row r="80" spans="1:36" ht="12.95" customHeight="1">
      <c r="C80" s="404"/>
      <c r="D80" s="404"/>
      <c r="AB80" s="425"/>
      <c r="AC80" s="425"/>
      <c r="AD80" s="425"/>
      <c r="AE80" s="425"/>
      <c r="AF80" s="425"/>
    </row>
    <row r="81" spans="1:78" ht="12.95" customHeight="1">
      <c r="D81" s="404" t="s">
        <v>755</v>
      </c>
      <c r="AB81" s="1921">
        <f>AB49-(AB57+AB79)</f>
        <v>0</v>
      </c>
      <c r="AC81" s="1921"/>
      <c r="AD81" s="1921"/>
      <c r="AE81" s="1921"/>
      <c r="AF81" s="1921"/>
    </row>
    <row r="82" spans="1:78" ht="12.95" customHeight="1">
      <c r="F82" s="522"/>
      <c r="J82" s="522" t="str">
        <f>IF(AB81&gt;0,"FUNDING GAP MUST NOT EXCEED ZERO","")</f>
        <v/>
      </c>
    </row>
    <row r="83" spans="1:78" ht="12.95" customHeight="1">
      <c r="D83" s="523"/>
    </row>
    <row r="84" spans="1:78" ht="12.95" customHeight="1" thickBot="1">
      <c r="A84" s="1886"/>
      <c r="B84" s="1886"/>
      <c r="C84" s="1886"/>
      <c r="D84" s="1886"/>
      <c r="E84" s="1886"/>
      <c r="F84" s="1886"/>
      <c r="G84" s="1886"/>
      <c r="H84" s="1886"/>
      <c r="I84" s="1886"/>
      <c r="J84" s="1886"/>
      <c r="K84" s="1886"/>
      <c r="L84" s="1886"/>
      <c r="M84" s="1886"/>
      <c r="N84" s="1886"/>
      <c r="O84" s="1886"/>
      <c r="P84" s="1886"/>
      <c r="Q84" s="1886"/>
      <c r="R84" s="1886"/>
      <c r="S84" s="1886"/>
      <c r="T84" s="1886"/>
      <c r="U84" s="1886"/>
      <c r="V84" s="1886"/>
      <c r="W84" s="1886"/>
      <c r="X84" s="1886"/>
      <c r="Y84" s="1886"/>
      <c r="Z84" s="1886"/>
      <c r="AA84" s="1886"/>
      <c r="AB84" s="1886"/>
      <c r="AC84" s="1886"/>
      <c r="AD84" s="1886"/>
      <c r="AE84" s="1886"/>
      <c r="AF84" s="1886"/>
      <c r="AG84" s="1886"/>
      <c r="AH84" s="1886"/>
      <c r="AI84" s="1886"/>
      <c r="AJ84" s="1886"/>
      <c r="AK84" s="1886"/>
      <c r="AL84" s="1886"/>
      <c r="AM84" s="1886"/>
      <c r="AN84" s="1886"/>
      <c r="AO84" s="1886"/>
      <c r="AP84" s="1886"/>
      <c r="AQ84" s="1886"/>
      <c r="AR84" s="1886"/>
      <c r="AS84" s="1886"/>
      <c r="AT84" s="1886"/>
      <c r="AU84" s="1886"/>
      <c r="AV84" s="1886"/>
      <c r="AW84" s="1886"/>
      <c r="AX84" s="1886"/>
      <c r="AY84" s="1886"/>
      <c r="AZ84" s="1886"/>
      <c r="BA84" s="1886"/>
      <c r="BB84" s="1886"/>
      <c r="BC84" s="1886"/>
      <c r="BD84" s="1886"/>
      <c r="BE84" s="1886"/>
      <c r="BF84" s="1886"/>
      <c r="BG84" s="1886"/>
      <c r="BH84" s="1886"/>
      <c r="BI84" s="1886"/>
      <c r="BJ84" s="1886"/>
      <c r="BK84" s="1886"/>
      <c r="BL84" s="1886"/>
      <c r="BM84" s="1886"/>
      <c r="BN84" s="1886"/>
      <c r="BO84" s="1886"/>
      <c r="BP84" s="1886"/>
      <c r="BQ84" s="1886"/>
      <c r="BR84" s="1886"/>
      <c r="BS84" s="1886"/>
      <c r="BT84" s="1886"/>
      <c r="BU84" s="1886"/>
      <c r="BV84" s="1886"/>
      <c r="BW84" s="1886"/>
      <c r="BX84" s="1886"/>
    </row>
    <row r="85" spans="1:78" ht="12.95" customHeight="1" thickTop="1"/>
    <row r="86" spans="1:78" ht="12.95" customHeight="1">
      <c r="A86" s="404"/>
      <c r="C86" s="205"/>
    </row>
    <row r="87" spans="1:78" ht="12.95" customHeight="1">
      <c r="D87" s="205"/>
      <c r="AB87" s="1887"/>
      <c r="AC87" s="1887"/>
      <c r="AD87" s="1887"/>
      <c r="AE87" s="1887"/>
      <c r="AF87" s="1887"/>
    </row>
    <row r="88" spans="1:78" ht="12.95" customHeight="1" thickBot="1">
      <c r="D88" s="205"/>
      <c r="AB88" s="1885"/>
      <c r="AC88" s="1885"/>
      <c r="AD88" s="1885"/>
      <c r="AE88" s="1885"/>
      <c r="AF88" s="18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46"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1947" t="s">
        <v>2458</v>
      </c>
      <c r="B1" s="1948"/>
      <c r="C1" s="1948"/>
      <c r="D1" s="1948"/>
      <c r="E1" s="1948"/>
      <c r="F1" s="1948"/>
      <c r="G1" s="1948"/>
      <c r="H1" s="1948"/>
      <c r="I1" s="1948"/>
      <c r="J1" s="1948"/>
      <c r="K1" s="1948"/>
      <c r="L1" s="1948"/>
      <c r="M1" s="1948"/>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c r="AL1" s="1948"/>
      <c r="AM1" s="1948"/>
      <c r="AN1" s="1948"/>
      <c r="AO1" s="1948"/>
      <c r="AP1" s="1948"/>
      <c r="AQ1" s="1948"/>
      <c r="AR1" s="1948"/>
      <c r="AS1" s="1948"/>
      <c r="AT1" s="1948"/>
      <c r="AU1" s="1948"/>
      <c r="AV1" s="1948"/>
      <c r="AW1" s="1948"/>
      <c r="AX1" s="1948"/>
      <c r="AY1" s="1948"/>
      <c r="AZ1" s="1948"/>
      <c r="BA1" s="1948"/>
      <c r="BB1" s="1948"/>
      <c r="BC1" s="1948"/>
      <c r="BD1" s="1948"/>
      <c r="BE1" s="1949"/>
    </row>
    <row r="2" spans="1:65" ht="15.75" customHeight="1">
      <c r="A2" s="1950" t="s">
        <v>2457</v>
      </c>
      <c r="B2" s="1951"/>
      <c r="C2" s="1951"/>
      <c r="D2" s="1951"/>
      <c r="E2" s="1951"/>
      <c r="F2" s="1951"/>
      <c r="G2" s="1951"/>
      <c r="H2" s="1951"/>
      <c r="I2" s="1951"/>
      <c r="J2" s="1951"/>
      <c r="K2" s="1951"/>
      <c r="L2" s="1951"/>
      <c r="M2" s="1951"/>
      <c r="N2" s="1951"/>
      <c r="O2" s="1951"/>
      <c r="P2" s="1951"/>
      <c r="Q2" s="1951"/>
      <c r="R2" s="1951"/>
      <c r="S2" s="1951"/>
      <c r="T2" s="1951"/>
      <c r="U2" s="1951"/>
      <c r="V2" s="1951"/>
      <c r="W2" s="1951"/>
      <c r="X2" s="1951"/>
      <c r="Y2" s="1951"/>
      <c r="Z2" s="1951"/>
      <c r="AA2" s="1951"/>
      <c r="AB2" s="1951"/>
      <c r="AC2" s="1951"/>
      <c r="AD2" s="1951"/>
      <c r="AE2" s="1951"/>
      <c r="AF2" s="1951"/>
      <c r="AG2" s="1951"/>
      <c r="AH2" s="1951"/>
      <c r="AI2" s="1951"/>
      <c r="AJ2" s="1951"/>
      <c r="AK2" s="1951"/>
      <c r="AL2" s="1951"/>
      <c r="AM2" s="1951"/>
      <c r="AN2" s="1951"/>
      <c r="AO2" s="1951"/>
      <c r="AP2" s="1951"/>
      <c r="AQ2" s="1951"/>
      <c r="AR2" s="1951"/>
      <c r="AS2" s="1951"/>
      <c r="AT2" s="1951"/>
      <c r="AU2" s="1951"/>
      <c r="AV2" s="1951"/>
      <c r="AW2" s="1951"/>
      <c r="AX2" s="1951"/>
      <c r="AY2" s="1951"/>
      <c r="AZ2" s="1951"/>
      <c r="BA2" s="1951"/>
      <c r="BB2" s="1951"/>
      <c r="BC2" s="1951"/>
      <c r="BD2" s="1951"/>
      <c r="BE2" s="195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939" t="str">
        <f>IF(Application!H18="","",Application!H18)</f>
        <v>The Perlman</v>
      </c>
      <c r="M4" s="1940"/>
      <c r="N4" s="1940"/>
      <c r="O4" s="1940"/>
      <c r="P4" s="1940"/>
      <c r="Q4" s="1940"/>
      <c r="R4" s="1940"/>
      <c r="S4" s="1940"/>
      <c r="T4" s="1940"/>
      <c r="U4" s="1940"/>
      <c r="V4" s="1940"/>
      <c r="W4" s="1940"/>
      <c r="X4" s="1940"/>
      <c r="Y4" s="1940"/>
      <c r="Z4" s="1940"/>
      <c r="AA4" s="1940"/>
      <c r="AB4" s="1940"/>
      <c r="AC4" s="1941"/>
      <c r="AD4" s="1190"/>
      <c r="AE4" s="1190"/>
      <c r="AF4" s="1953" t="s">
        <v>2456</v>
      </c>
      <c r="AG4" s="1953"/>
      <c r="AH4" s="1953"/>
      <c r="AI4" s="1953"/>
      <c r="AJ4" s="1953"/>
      <c r="AK4" s="1953"/>
      <c r="AL4" s="1953"/>
      <c r="AM4" s="1953"/>
      <c r="AN4" s="1953"/>
      <c r="AO4" s="1953"/>
      <c r="AP4" s="1954"/>
      <c r="AQ4" s="1955"/>
      <c r="AR4" s="1955"/>
      <c r="AS4" s="1955"/>
      <c r="AT4" s="1955"/>
      <c r="AU4" s="195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53" t="s">
        <v>2455</v>
      </c>
      <c r="AG5" s="1953"/>
      <c r="AH5" s="1953"/>
      <c r="AI5" s="1953"/>
      <c r="AJ5" s="1953"/>
      <c r="AK5" s="1953"/>
      <c r="AL5" s="1953"/>
      <c r="AM5" s="1953"/>
      <c r="AN5" s="1953"/>
      <c r="AO5" s="1953"/>
      <c r="AP5" s="1954"/>
      <c r="AQ5" s="1955"/>
      <c r="AR5" s="1955"/>
      <c r="AS5" s="1955"/>
      <c r="AT5" s="1955"/>
      <c r="AU5" s="1955"/>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939" t="str">
        <f>IF(Application!H16="","",Application!H16)</f>
        <v>Community Revitalization &amp; Development Corporation</v>
      </c>
      <c r="M6" s="1940"/>
      <c r="N6" s="1940"/>
      <c r="O6" s="1940"/>
      <c r="P6" s="1940"/>
      <c r="Q6" s="1940"/>
      <c r="R6" s="1940"/>
      <c r="S6" s="1940"/>
      <c r="T6" s="1940"/>
      <c r="U6" s="1940"/>
      <c r="V6" s="1940"/>
      <c r="W6" s="1940"/>
      <c r="X6" s="1940"/>
      <c r="Y6" s="1940"/>
      <c r="Z6" s="1940"/>
      <c r="AA6" s="1940"/>
      <c r="AB6" s="1940"/>
      <c r="AC6" s="1941"/>
      <c r="AD6" s="1190"/>
      <c r="AE6" s="1190"/>
      <c r="AF6" s="1942" t="s">
        <v>2453</v>
      </c>
      <c r="AG6" s="1942"/>
      <c r="AH6" s="1942"/>
      <c r="AI6" s="1942"/>
      <c r="AJ6" s="1942"/>
      <c r="AK6" s="1942"/>
      <c r="AL6" s="1942"/>
      <c r="AM6" s="1942"/>
      <c r="AN6" s="1942"/>
      <c r="AO6" s="1942"/>
      <c r="AP6" s="1943"/>
      <c r="AQ6" s="1943"/>
      <c r="AR6" s="1943"/>
      <c r="AS6" s="1943"/>
      <c r="AT6" s="1943"/>
      <c r="AU6" s="194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942" t="s">
        <v>2452</v>
      </c>
      <c r="AG7" s="1942"/>
      <c r="AH7" s="1942"/>
      <c r="AI7" s="1942"/>
      <c r="AJ7" s="1942"/>
      <c r="AK7" s="1942"/>
      <c r="AL7" s="1942"/>
      <c r="AM7" s="1942"/>
      <c r="AN7" s="1942"/>
      <c r="AO7" s="1942"/>
      <c r="AP7" s="1943"/>
      <c r="AQ7" s="1943"/>
      <c r="AR7" s="1943"/>
      <c r="AS7" s="1943"/>
      <c r="AT7" s="1943"/>
      <c r="AU7" s="1943"/>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944" t="str">
        <f>Application!T197</f>
        <v>No</v>
      </c>
      <c r="AC8" s="1945"/>
      <c r="AD8" s="1946"/>
      <c r="AE8" s="1190"/>
      <c r="AF8" s="1942" t="s">
        <v>2450</v>
      </c>
      <c r="AG8" s="1942"/>
      <c r="AH8" s="1942"/>
      <c r="AI8" s="1942"/>
      <c r="AJ8" s="1942"/>
      <c r="AK8" s="1942"/>
      <c r="AL8" s="1942"/>
      <c r="AM8" s="1942"/>
      <c r="AN8" s="1942"/>
      <c r="AO8" s="1942"/>
      <c r="AP8" s="1943" t="s">
        <v>2100</v>
      </c>
      <c r="AQ8" s="1943"/>
      <c r="AR8" s="1943"/>
      <c r="AS8" s="1943"/>
      <c r="AT8" s="1943"/>
      <c r="AU8" s="1943"/>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53" t="s">
        <v>2449</v>
      </c>
      <c r="AG9" s="1953"/>
      <c r="AH9" s="1953"/>
      <c r="AI9" s="1953"/>
      <c r="AJ9" s="1953"/>
      <c r="AK9" s="1953"/>
      <c r="AL9" s="1953"/>
      <c r="AM9" s="1953"/>
      <c r="AN9" s="1953"/>
      <c r="AO9" s="1953"/>
      <c r="AP9" s="1954"/>
      <c r="AQ9" s="1955"/>
      <c r="AR9" s="1955"/>
      <c r="AS9" s="1955"/>
      <c r="AT9" s="1955"/>
      <c r="AU9" s="1955"/>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68">
        <f>Application!AO627</f>
        <v>30474875</v>
      </c>
      <c r="O10" s="1968"/>
      <c r="P10" s="1968"/>
      <c r="Q10" s="1968"/>
      <c r="R10" s="1968"/>
      <c r="S10" s="1968"/>
      <c r="T10" s="1968"/>
      <c r="U10" s="1190"/>
      <c r="V10" s="1190"/>
      <c r="W10" s="1190"/>
      <c r="X10" s="1193"/>
      <c r="Y10" s="1193"/>
      <c r="Z10" s="1193"/>
      <c r="AA10" s="1193"/>
      <c r="AB10" s="1193"/>
      <c r="AC10" s="1193"/>
      <c r="AD10" s="1193"/>
      <c r="AE10" s="1193"/>
      <c r="AF10" s="1953" t="s">
        <v>2446</v>
      </c>
      <c r="AG10" s="1953"/>
      <c r="AH10" s="1953"/>
      <c r="AI10" s="1953"/>
      <c r="AJ10" s="1953"/>
      <c r="AK10" s="1953"/>
      <c r="AL10" s="1953"/>
      <c r="AM10" s="1953"/>
      <c r="AN10" s="1953"/>
      <c r="AO10" s="1953"/>
      <c r="AP10" s="1954"/>
      <c r="AQ10" s="1955"/>
      <c r="AR10" s="1955"/>
      <c r="AS10" s="1955"/>
      <c r="AT10" s="1955"/>
      <c r="AU10" s="1955"/>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68">
        <f>Application!AA934</f>
        <v>0</v>
      </c>
      <c r="O11" s="1968"/>
      <c r="P11" s="1968"/>
      <c r="Q11" s="1968"/>
      <c r="R11" s="1968"/>
      <c r="S11" s="1968"/>
      <c r="T11" s="1968"/>
      <c r="U11" s="1190"/>
      <c r="V11" s="1190"/>
      <c r="W11" s="1190"/>
      <c r="X11" s="1193"/>
      <c r="Y11" s="1193"/>
      <c r="Z11" s="1193"/>
      <c r="AA11" s="1193"/>
      <c r="AB11" s="1193"/>
      <c r="AC11" s="1193"/>
      <c r="AD11" s="1193"/>
      <c r="AE11" s="1193"/>
      <c r="AF11" s="1953" t="s">
        <v>2443</v>
      </c>
      <c r="AG11" s="1953"/>
      <c r="AH11" s="1953"/>
      <c r="AI11" s="1953"/>
      <c r="AJ11" s="1953"/>
      <c r="AK11" s="1953"/>
      <c r="AL11" s="1953"/>
      <c r="AM11" s="1953"/>
      <c r="AN11" s="1953"/>
      <c r="AO11" s="1953"/>
      <c r="AP11" s="1954"/>
      <c r="AQ11" s="1955"/>
      <c r="AR11" s="1955"/>
      <c r="AS11" s="1955"/>
      <c r="AT11" s="1955"/>
      <c r="AU11" s="1955"/>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956" t="s">
        <v>2441</v>
      </c>
      <c r="C13" s="1957"/>
      <c r="D13" s="1957"/>
      <c r="E13" s="1957"/>
      <c r="F13" s="1957"/>
      <c r="G13" s="1957"/>
      <c r="H13" s="1957"/>
      <c r="I13" s="1957"/>
      <c r="J13" s="1957"/>
      <c r="K13" s="1957"/>
      <c r="L13" s="1957"/>
      <c r="M13" s="1957"/>
      <c r="N13" s="1957"/>
      <c r="O13" s="1957"/>
      <c r="P13" s="1958"/>
      <c r="Q13" s="1959" t="s">
        <v>670</v>
      </c>
      <c r="R13" s="1960"/>
      <c r="S13" s="1960"/>
      <c r="T13" s="1961"/>
      <c r="U13" s="1193"/>
      <c r="V13" s="1190"/>
      <c r="W13" s="1190"/>
      <c r="X13" s="1190"/>
      <c r="Y13" s="1190"/>
      <c r="Z13" s="1190"/>
      <c r="AA13" s="1962" t="s">
        <v>2440</v>
      </c>
      <c r="AB13" s="1962"/>
      <c r="AC13" s="1962"/>
      <c r="AD13" s="1962"/>
      <c r="AE13" s="1962"/>
      <c r="AF13" s="1962"/>
      <c r="AG13" s="1962"/>
      <c r="AH13" s="1962"/>
      <c r="AI13" s="1962"/>
      <c r="AJ13" s="1962"/>
      <c r="AK13" s="1962"/>
      <c r="AL13" s="1962"/>
      <c r="AM13" s="1962"/>
      <c r="AN13" s="1962"/>
      <c r="AO13" s="1963">
        <f>Application!W473</f>
        <v>0</v>
      </c>
      <c r="AP13" s="1964"/>
      <c r="AQ13" s="1964"/>
      <c r="AR13" s="1964"/>
      <c r="AS13" s="1964"/>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65" t="s">
        <v>2438</v>
      </c>
      <c r="AB14" s="1965"/>
      <c r="AC14" s="1965"/>
      <c r="AD14" s="1965"/>
      <c r="AE14" s="1965"/>
      <c r="AF14" s="1965"/>
      <c r="AG14" s="1965"/>
      <c r="AH14" s="1965"/>
      <c r="AI14" s="1965"/>
      <c r="AJ14" s="1965"/>
      <c r="AK14" s="1965"/>
      <c r="AL14" s="1965"/>
      <c r="AM14" s="1965"/>
      <c r="AN14" s="1965"/>
      <c r="AO14" s="1966"/>
      <c r="AP14" s="1967"/>
      <c r="AQ14" s="1967"/>
      <c r="AR14" s="1967"/>
      <c r="AS14" s="1967"/>
      <c r="AT14" s="1193"/>
      <c r="AU14" s="1193"/>
      <c r="AV14" s="1193"/>
      <c r="AW14" s="1193"/>
      <c r="AX14" s="1193"/>
      <c r="AY14" s="1193"/>
      <c r="AZ14" s="1193"/>
      <c r="BA14" s="1193"/>
      <c r="BB14" s="1193"/>
      <c r="BC14" s="1193"/>
      <c r="BD14" s="1193"/>
      <c r="BE14" s="1194"/>
    </row>
    <row r="15" spans="1:65" thickBot="1">
      <c r="A15" s="1190"/>
      <c r="B15" s="1969" t="s">
        <v>2437</v>
      </c>
      <c r="C15" s="1970"/>
      <c r="D15" s="1970"/>
      <c r="E15" s="1970"/>
      <c r="F15" s="1970"/>
      <c r="G15" s="1970"/>
      <c r="H15" s="1970"/>
      <c r="I15" s="1970"/>
      <c r="J15" s="1970"/>
      <c r="K15" s="1970"/>
      <c r="L15" s="1970"/>
      <c r="M15" s="1970"/>
      <c r="N15" s="1970"/>
      <c r="O15" s="1970"/>
      <c r="P15" s="1970"/>
      <c r="Q15" s="1970"/>
      <c r="R15" s="1971"/>
      <c r="S15" s="1972" t="str">
        <f>IF(Application!AB214="","",Application!AB214)</f>
        <v/>
      </c>
      <c r="T15" s="1972"/>
      <c r="U15" s="1972"/>
      <c r="V15" s="1972"/>
      <c r="W15" s="1973"/>
      <c r="X15" s="1193"/>
      <c r="Y15" s="1190"/>
      <c r="Z15" s="1190"/>
      <c r="AA15" s="1962" t="s">
        <v>2436</v>
      </c>
      <c r="AB15" s="1962"/>
      <c r="AC15" s="1962"/>
      <c r="AD15" s="1962"/>
      <c r="AE15" s="1962"/>
      <c r="AF15" s="1962"/>
      <c r="AG15" s="1962"/>
      <c r="AH15" s="1962"/>
      <c r="AI15" s="1962"/>
      <c r="AJ15" s="1962"/>
      <c r="AK15" s="1962"/>
      <c r="AL15" s="1962"/>
      <c r="AM15" s="1962"/>
      <c r="AN15" s="1962"/>
      <c r="AO15" s="1966"/>
      <c r="AP15" s="1967"/>
      <c r="AQ15" s="1967"/>
      <c r="AR15" s="1967"/>
      <c r="AS15" s="1967"/>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74" t="s">
        <v>2435</v>
      </c>
      <c r="C17" s="1975"/>
      <c r="D17" s="1975"/>
      <c r="E17" s="1975"/>
      <c r="F17" s="1975"/>
      <c r="G17" s="1975"/>
      <c r="H17" s="1975"/>
      <c r="I17" s="1975"/>
      <c r="J17" s="1975"/>
      <c r="K17" s="1975"/>
      <c r="L17" s="1975"/>
      <c r="M17" s="1975"/>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c r="AL17" s="1975"/>
      <c r="AM17" s="1975"/>
      <c r="AN17" s="1975"/>
      <c r="AO17" s="1975"/>
      <c r="AP17" s="1975"/>
      <c r="AQ17" s="1975"/>
      <c r="AR17" s="1975"/>
      <c r="AS17" s="1975"/>
      <c r="AT17" s="1975"/>
      <c r="AU17" s="1975"/>
      <c r="AV17" s="1975"/>
      <c r="AW17" s="1975"/>
      <c r="AX17" s="1975"/>
      <c r="AY17" s="1976"/>
      <c r="AZ17" s="1190"/>
      <c r="BA17" s="1190"/>
      <c r="BB17" s="1190"/>
      <c r="BC17" s="1190"/>
      <c r="BD17" s="1190"/>
      <c r="BE17" s="1194"/>
      <c r="BF17" s="1188"/>
    </row>
    <row r="18" spans="1:58" ht="15.75" customHeight="1">
      <c r="A18" s="1190"/>
      <c r="B18" s="1977" t="s">
        <v>2434</v>
      </c>
      <c r="C18" s="1978"/>
      <c r="D18" s="1978"/>
      <c r="E18" s="1978"/>
      <c r="F18" s="1978"/>
      <c r="G18" s="1978"/>
      <c r="H18" s="1978"/>
      <c r="I18" s="1979"/>
      <c r="J18" s="1980" t="s">
        <v>1588</v>
      </c>
      <c r="K18" s="1981"/>
      <c r="L18" s="1981"/>
      <c r="M18" s="1981"/>
      <c r="N18" s="1981"/>
      <c r="O18" s="1982"/>
      <c r="P18" s="1980" t="s">
        <v>324</v>
      </c>
      <c r="Q18" s="1981"/>
      <c r="R18" s="1981"/>
      <c r="S18" s="1981"/>
      <c r="T18" s="1981"/>
      <c r="U18" s="1982"/>
      <c r="V18" s="1980" t="s">
        <v>325</v>
      </c>
      <c r="W18" s="1981"/>
      <c r="X18" s="1981"/>
      <c r="Y18" s="1981"/>
      <c r="Z18" s="1981"/>
      <c r="AA18" s="1982"/>
      <c r="AB18" s="1980" t="s">
        <v>163</v>
      </c>
      <c r="AC18" s="1981"/>
      <c r="AD18" s="1981"/>
      <c r="AE18" s="1981"/>
      <c r="AF18" s="1981"/>
      <c r="AG18" s="1982"/>
      <c r="AH18" s="1980" t="s">
        <v>164</v>
      </c>
      <c r="AI18" s="1981"/>
      <c r="AJ18" s="1981"/>
      <c r="AK18" s="1981"/>
      <c r="AL18" s="1981"/>
      <c r="AM18" s="1982"/>
      <c r="AN18" s="1980" t="s">
        <v>165</v>
      </c>
      <c r="AO18" s="1981"/>
      <c r="AP18" s="1981"/>
      <c r="AQ18" s="1981"/>
      <c r="AR18" s="1981"/>
      <c r="AS18" s="1982"/>
      <c r="AT18" s="1980" t="s">
        <v>2433</v>
      </c>
      <c r="AU18" s="1981"/>
      <c r="AV18" s="1981"/>
      <c r="AW18" s="1981"/>
      <c r="AX18" s="1981"/>
      <c r="AY18" s="1983"/>
      <c r="AZ18" s="1190"/>
      <c r="BA18" s="1190"/>
      <c r="BB18" s="1190"/>
      <c r="BC18" s="1190"/>
      <c r="BD18" s="1190"/>
      <c r="BE18" s="1194"/>
    </row>
    <row r="19" spans="1:58" ht="15">
      <c r="A19" s="1190"/>
      <c r="B19" s="1984">
        <v>0.3</v>
      </c>
      <c r="C19" s="1985"/>
      <c r="D19" s="1985"/>
      <c r="E19" s="1985"/>
      <c r="F19" s="1985"/>
      <c r="G19" s="1985"/>
      <c r="H19" s="1985"/>
      <c r="I19" s="1986"/>
      <c r="J19" s="1987">
        <f t="shared" ref="J19:J24" si="0">SUM(P19:AS19)</f>
        <v>17</v>
      </c>
      <c r="K19" s="1988"/>
      <c r="L19" s="1988"/>
      <c r="M19" s="1988"/>
      <c r="N19" s="1988"/>
      <c r="O19" s="1989"/>
      <c r="P19" s="1987" cm="1">
        <f t="array" ref="P19">SUMPRODUCT((Application!$B$718:$B$752 = 'CalHFA Addendum'!P$18)*(Application!$AC$718:$AC$752 = 'CalHFA Addendum'!$B19),Application!$G$718:$G$752)</f>
        <v>2</v>
      </c>
      <c r="Q19" s="1988"/>
      <c r="R19" s="1988"/>
      <c r="S19" s="1988"/>
      <c r="T19" s="1988"/>
      <c r="U19" s="1989"/>
      <c r="V19" s="1987" cm="1">
        <f t="array" ref="V19">SUMPRODUCT((Application!$B$714:$B$738 = 'CalHFA Addendum'!V$18)*(Application!$AC$714:$AC$738 = 'CalHFA Addendum'!$B19),Application!$G$714:$G$738)</f>
        <v>6</v>
      </c>
      <c r="W19" s="1988"/>
      <c r="X19" s="1988"/>
      <c r="Y19" s="1988"/>
      <c r="Z19" s="1988"/>
      <c r="AA19" s="1989"/>
      <c r="AB19" s="1987" cm="1">
        <f t="array" ref="AB19">SUMPRODUCT((Application!$B$714:$B$738 = 'CalHFA Addendum'!AB$18)*(Application!$AC$714:$AC$738 = 'CalHFA Addendum'!$B19),Application!$G$714:$G$738)</f>
        <v>4</v>
      </c>
      <c r="AC19" s="1988"/>
      <c r="AD19" s="1988"/>
      <c r="AE19" s="1988"/>
      <c r="AF19" s="1988"/>
      <c r="AG19" s="1989"/>
      <c r="AH19" s="1987" cm="1">
        <f t="array" ref="AH19">SUMPRODUCT((Application!$B$714:$B$738 = 'CalHFA Addendum'!AH$18)*(Application!$AC$714:$AC$738 = 'CalHFA Addendum'!$B19),Application!$G$714:$G$738)</f>
        <v>5</v>
      </c>
      <c r="AI19" s="1988"/>
      <c r="AJ19" s="1988"/>
      <c r="AK19" s="1988"/>
      <c r="AL19" s="1988"/>
      <c r="AM19" s="1989"/>
      <c r="AN19" s="1987" cm="1">
        <f t="array" ref="AN19">SUMPRODUCT((Application!$B$714:$B$738 = 'CalHFA Addendum'!AN$18)*(Application!$AC$714:$AC$738 = 'CalHFA Addendum'!$B19),Application!$G$714:$G$738)</f>
        <v>0</v>
      </c>
      <c r="AO19" s="1988"/>
      <c r="AP19" s="1988"/>
      <c r="AQ19" s="1988"/>
      <c r="AR19" s="1988"/>
      <c r="AS19" s="1989"/>
      <c r="AT19" s="1990">
        <f t="shared" ref="AT19:AT29" si="1">J19/$J$29</f>
        <v>0.11333333333333333</v>
      </c>
      <c r="AU19" s="1991"/>
      <c r="AV19" s="1991"/>
      <c r="AW19" s="1991"/>
      <c r="AX19" s="1991"/>
      <c r="AY19" s="1992"/>
      <c r="AZ19" s="1195"/>
      <c r="BA19" s="1190"/>
      <c r="BB19" s="1190"/>
      <c r="BC19" s="1190"/>
      <c r="BD19" s="1190"/>
      <c r="BE19" s="1194"/>
    </row>
    <row r="20" spans="1:58" ht="15" customHeight="1">
      <c r="A20" s="1190"/>
      <c r="B20" s="1984">
        <v>0.4</v>
      </c>
      <c r="C20" s="1985"/>
      <c r="D20" s="1985"/>
      <c r="E20" s="1985"/>
      <c r="F20" s="1985"/>
      <c r="G20" s="1985"/>
      <c r="H20" s="1985"/>
      <c r="I20" s="1986"/>
      <c r="J20" s="1987">
        <f t="shared" si="0"/>
        <v>0</v>
      </c>
      <c r="K20" s="1988"/>
      <c r="L20" s="1988"/>
      <c r="M20" s="1988"/>
      <c r="N20" s="1988"/>
      <c r="O20" s="1989"/>
      <c r="P20" s="1987" cm="1">
        <f t="array" ref="P20">SUMPRODUCT((Application!$B$718:$B$752 = 'CalHFA Addendum'!P$18)*(Application!$AC$718:$AC$752 = 'CalHFA Addendum'!$B20),Application!$G$718:$G$752)</f>
        <v>0</v>
      </c>
      <c r="Q20" s="1988"/>
      <c r="R20" s="1988"/>
      <c r="S20" s="1988"/>
      <c r="T20" s="1988"/>
      <c r="U20" s="1989"/>
      <c r="V20" s="1987" cm="1">
        <f t="array" ref="V20">SUMPRODUCT((Application!$B$714:$B$738 = 'CalHFA Addendum'!V$18)*(Application!$AC$714:$AC$738 = 'CalHFA Addendum'!$B20),Application!$G$714:$G$738)</f>
        <v>0</v>
      </c>
      <c r="W20" s="1988"/>
      <c r="X20" s="1988"/>
      <c r="Y20" s="1988"/>
      <c r="Z20" s="1988"/>
      <c r="AA20" s="1989"/>
      <c r="AB20" s="1987" cm="1">
        <f t="array" ref="AB20">SUMPRODUCT((Application!$B$714:$B$738 = 'CalHFA Addendum'!AB$18)*(Application!$AC$714:$AC$738 = 'CalHFA Addendum'!$B20),Application!$G$714:$G$738)</f>
        <v>0</v>
      </c>
      <c r="AC20" s="1988"/>
      <c r="AD20" s="1988"/>
      <c r="AE20" s="1988"/>
      <c r="AF20" s="1988"/>
      <c r="AG20" s="1989"/>
      <c r="AH20" s="1987" cm="1">
        <f t="array" ref="AH20">SUMPRODUCT((Application!$B$714:$B$738 = 'CalHFA Addendum'!AH$18)*(Application!$AC$714:$AC$738 = 'CalHFA Addendum'!$B20),Application!$G$714:$G$738)</f>
        <v>0</v>
      </c>
      <c r="AI20" s="1988"/>
      <c r="AJ20" s="1988"/>
      <c r="AK20" s="1988"/>
      <c r="AL20" s="1988"/>
      <c r="AM20" s="1989"/>
      <c r="AN20" s="1987" cm="1">
        <f t="array" ref="AN20">SUMPRODUCT((Application!$B$714:$B$738 = 'CalHFA Addendum'!AN$18)*(Application!$AC$714:$AC$738 = 'CalHFA Addendum'!$B20),Application!$G$714:$G$738)</f>
        <v>0</v>
      </c>
      <c r="AO20" s="1988"/>
      <c r="AP20" s="1988"/>
      <c r="AQ20" s="1988"/>
      <c r="AR20" s="1988"/>
      <c r="AS20" s="1989"/>
      <c r="AT20" s="1990">
        <f t="shared" si="1"/>
        <v>0</v>
      </c>
      <c r="AU20" s="1991"/>
      <c r="AV20" s="1991"/>
      <c r="AW20" s="1991"/>
      <c r="AX20" s="1991"/>
      <c r="AY20" s="1992"/>
      <c r="AZ20" s="1190"/>
      <c r="BA20" s="1190"/>
      <c r="BB20" s="1190"/>
      <c r="BC20" s="1190"/>
      <c r="BD20" s="1190"/>
      <c r="BE20" s="1194"/>
    </row>
    <row r="21" spans="1:58" ht="15">
      <c r="A21" s="1190"/>
      <c r="B21" s="1984">
        <v>0.5</v>
      </c>
      <c r="C21" s="1985"/>
      <c r="D21" s="1985"/>
      <c r="E21" s="1985"/>
      <c r="F21" s="1985"/>
      <c r="G21" s="1985"/>
      <c r="H21" s="1985"/>
      <c r="I21" s="1986"/>
      <c r="J21" s="1987">
        <f t="shared" si="0"/>
        <v>17</v>
      </c>
      <c r="K21" s="1988"/>
      <c r="L21" s="1988"/>
      <c r="M21" s="1988"/>
      <c r="N21" s="1988"/>
      <c r="O21" s="1989"/>
      <c r="P21" s="1987" cm="1">
        <f t="array" ref="P21">SUMPRODUCT((Application!$B$714:$B$738 = 'CalHFA Addendum'!P$18)*(Application!$AC$714:$AC$738 = 'CalHFA Addendum'!$B21),Application!$G$714:$G$738)</f>
        <v>2</v>
      </c>
      <c r="Q21" s="1988"/>
      <c r="R21" s="1988"/>
      <c r="S21" s="1988"/>
      <c r="T21" s="1988"/>
      <c r="U21" s="1989"/>
      <c r="V21" s="1987" cm="1">
        <f t="array" ref="V21">SUMPRODUCT((Application!$B$714:$B$738 = 'CalHFA Addendum'!V$18)*(Application!$AC$714:$AC$738 = 'CalHFA Addendum'!$B21),Application!$G$714:$G$738)</f>
        <v>6</v>
      </c>
      <c r="W21" s="1988"/>
      <c r="X21" s="1988"/>
      <c r="Y21" s="1988"/>
      <c r="Z21" s="1988"/>
      <c r="AA21" s="1989"/>
      <c r="AB21" s="1987" cm="1">
        <f t="array" ref="AB21">SUMPRODUCT((Application!$B$714:$B$738 = 'CalHFA Addendum'!AB$18)*(Application!$AC$714:$AC$738 = 'CalHFA Addendum'!$B21),Application!$G$714:$G$738)</f>
        <v>4</v>
      </c>
      <c r="AC21" s="1988"/>
      <c r="AD21" s="1988"/>
      <c r="AE21" s="1988"/>
      <c r="AF21" s="1988"/>
      <c r="AG21" s="1989"/>
      <c r="AH21" s="1987" cm="1">
        <f t="array" ref="AH21">SUMPRODUCT((Application!$B$714:$B$738 = 'CalHFA Addendum'!AH$18)*(Application!$AC$714:$AC$738 = 'CalHFA Addendum'!$B21),Application!$G$714:$G$738)</f>
        <v>5</v>
      </c>
      <c r="AI21" s="1988"/>
      <c r="AJ21" s="1988"/>
      <c r="AK21" s="1988"/>
      <c r="AL21" s="1988"/>
      <c r="AM21" s="1989"/>
      <c r="AN21" s="1987" cm="1">
        <f t="array" ref="AN21">SUMPRODUCT((Application!$B$714:$B$738 = 'CalHFA Addendum'!AN$18)*(Application!$AC$714:$AC$738 = 'CalHFA Addendum'!$B21),Application!$G$714:$G$738)</f>
        <v>0</v>
      </c>
      <c r="AO21" s="1988"/>
      <c r="AP21" s="1988"/>
      <c r="AQ21" s="1988"/>
      <c r="AR21" s="1988"/>
      <c r="AS21" s="1989"/>
      <c r="AT21" s="1990">
        <f t="shared" si="1"/>
        <v>0.11333333333333333</v>
      </c>
      <c r="AU21" s="1991"/>
      <c r="AV21" s="1991"/>
      <c r="AW21" s="1991"/>
      <c r="AX21" s="1991"/>
      <c r="AY21" s="1992"/>
      <c r="AZ21" s="1190"/>
      <c r="BA21" s="1190"/>
      <c r="BB21" s="1190"/>
      <c r="BC21" s="1190"/>
      <c r="BD21" s="1190"/>
      <c r="BE21" s="1194"/>
    </row>
    <row r="22" spans="1:58" ht="15">
      <c r="A22" s="1190"/>
      <c r="B22" s="1984">
        <v>0.6</v>
      </c>
      <c r="C22" s="1985"/>
      <c r="D22" s="1985"/>
      <c r="E22" s="1985"/>
      <c r="F22" s="1985"/>
      <c r="G22" s="1985"/>
      <c r="H22" s="1985"/>
      <c r="I22" s="1986"/>
      <c r="J22" s="1987">
        <f t="shared" si="0"/>
        <v>115</v>
      </c>
      <c r="K22" s="1988"/>
      <c r="L22" s="1988"/>
      <c r="M22" s="1988"/>
      <c r="N22" s="1988"/>
      <c r="O22" s="1989"/>
      <c r="P22" s="1987" cm="1">
        <f t="array" ref="P22">SUMPRODUCT((Application!$B$714:$B$738 = 'CalHFA Addendum'!P$18)*(Application!$AC$714:$AC$738 = 'CalHFA Addendum'!$B22),Application!$G$714:$G$738)</f>
        <v>11</v>
      </c>
      <c r="Q22" s="1988"/>
      <c r="R22" s="1988"/>
      <c r="S22" s="1988"/>
      <c r="T22" s="1988"/>
      <c r="U22" s="1989"/>
      <c r="V22" s="1987" cm="1">
        <f t="array" ref="V22">SUMPRODUCT((Application!$B$714:$B$738 = 'CalHFA Addendum'!V$18)*(Application!$AC$714:$AC$738 = 'CalHFA Addendum'!$B22),Application!$G$714:$G$738)</f>
        <v>41</v>
      </c>
      <c r="W22" s="1988"/>
      <c r="X22" s="1988"/>
      <c r="Y22" s="1988"/>
      <c r="Z22" s="1988"/>
      <c r="AA22" s="1989"/>
      <c r="AB22" s="1987" cm="1">
        <f t="array" ref="AB22">SUMPRODUCT((Application!$B$714:$B$738 = 'CalHFA Addendum'!AB$18)*(Application!$AC$714:$AC$738 = 'CalHFA Addendum'!$B22),Application!$G$714:$G$738)</f>
        <v>30</v>
      </c>
      <c r="AC22" s="1988"/>
      <c r="AD22" s="1988"/>
      <c r="AE22" s="1988"/>
      <c r="AF22" s="1988"/>
      <c r="AG22" s="1989"/>
      <c r="AH22" s="1987" cm="1">
        <f t="array" ref="AH22">SUMPRODUCT((Application!$B$714:$B$738 = 'CalHFA Addendum'!AH$18)*(Application!$AC$714:$AC$738 = 'CalHFA Addendum'!$B22),Application!$G$714:$G$738)</f>
        <v>33</v>
      </c>
      <c r="AI22" s="1988"/>
      <c r="AJ22" s="1988"/>
      <c r="AK22" s="1988"/>
      <c r="AL22" s="1988"/>
      <c r="AM22" s="1989"/>
      <c r="AN22" s="1987" cm="1">
        <f t="array" ref="AN22">SUMPRODUCT((Application!$B$714:$B$738 = 'CalHFA Addendum'!AN$18)*(Application!$AC$714:$AC$738 = 'CalHFA Addendum'!$B22),Application!$G$714:$G$738)</f>
        <v>0</v>
      </c>
      <c r="AO22" s="1988"/>
      <c r="AP22" s="1988"/>
      <c r="AQ22" s="1988"/>
      <c r="AR22" s="1988"/>
      <c r="AS22" s="1989"/>
      <c r="AT22" s="1990">
        <f t="shared" si="1"/>
        <v>0.76666666666666672</v>
      </c>
      <c r="AU22" s="1991"/>
      <c r="AV22" s="1991"/>
      <c r="AW22" s="1991"/>
      <c r="AX22" s="1991"/>
      <c r="AY22" s="1992"/>
      <c r="AZ22" s="1190"/>
      <c r="BA22" s="1190"/>
      <c r="BB22" s="1190"/>
      <c r="BC22" s="1190"/>
      <c r="BD22" s="1190"/>
      <c r="BE22" s="1194"/>
    </row>
    <row r="23" spans="1:58" ht="15">
      <c r="A23" s="1190"/>
      <c r="B23" s="1984">
        <v>0.7</v>
      </c>
      <c r="C23" s="1985"/>
      <c r="D23" s="1985"/>
      <c r="E23" s="1985"/>
      <c r="F23" s="1985"/>
      <c r="G23" s="1985"/>
      <c r="H23" s="1985"/>
      <c r="I23" s="1986"/>
      <c r="J23" s="1987">
        <f t="shared" si="0"/>
        <v>0</v>
      </c>
      <c r="K23" s="1988"/>
      <c r="L23" s="1988"/>
      <c r="M23" s="1988"/>
      <c r="N23" s="1988"/>
      <c r="O23" s="1989"/>
      <c r="P23" s="1987" cm="1">
        <f t="array" ref="P23">SUMPRODUCT((Application!$B$714:$B$738 = 'CalHFA Addendum'!P$18)*(Application!$AC$714:$AC$738 = 'CalHFA Addendum'!$B23),Application!$G$714:$G$738)</f>
        <v>0</v>
      </c>
      <c r="Q23" s="1988"/>
      <c r="R23" s="1988"/>
      <c r="S23" s="1988"/>
      <c r="T23" s="1988"/>
      <c r="U23" s="1989"/>
      <c r="V23" s="1987" cm="1">
        <f t="array" ref="V23">SUMPRODUCT((Application!$B$714:$B$738 = 'CalHFA Addendum'!V$18)*(Application!$AC$714:$AC$738 = 'CalHFA Addendum'!$B23),Application!$G$714:$G$738)</f>
        <v>0</v>
      </c>
      <c r="W23" s="1988"/>
      <c r="X23" s="1988"/>
      <c r="Y23" s="1988"/>
      <c r="Z23" s="1988"/>
      <c r="AA23" s="1989"/>
      <c r="AB23" s="1987" cm="1">
        <f t="array" ref="AB23">SUMPRODUCT((Application!$B$714:$B$738 = 'CalHFA Addendum'!AB$18)*(Application!$AC$714:$AC$738 = 'CalHFA Addendum'!$B23),Application!$G$714:$G$738)</f>
        <v>0</v>
      </c>
      <c r="AC23" s="1988"/>
      <c r="AD23" s="1988"/>
      <c r="AE23" s="1988"/>
      <c r="AF23" s="1988"/>
      <c r="AG23" s="1989"/>
      <c r="AH23" s="1987" cm="1">
        <f t="array" ref="AH23">SUMPRODUCT((Application!$B$714:$B$738 = 'CalHFA Addendum'!AH$18)*(Application!$AC$714:$AC$738 = 'CalHFA Addendum'!$B23),Application!$G$714:$G$738)</f>
        <v>0</v>
      </c>
      <c r="AI23" s="1988"/>
      <c r="AJ23" s="1988"/>
      <c r="AK23" s="1988"/>
      <c r="AL23" s="1988"/>
      <c r="AM23" s="1989"/>
      <c r="AN23" s="1987" cm="1">
        <f t="array" ref="AN23">SUMPRODUCT((Application!$B$714:$B$738 = 'CalHFA Addendum'!AN$18)*(Application!$AC$714:$AC$738 = 'CalHFA Addendum'!$B23),Application!$G$714:$G$738)</f>
        <v>0</v>
      </c>
      <c r="AO23" s="1988"/>
      <c r="AP23" s="1988"/>
      <c r="AQ23" s="1988"/>
      <c r="AR23" s="1988"/>
      <c r="AS23" s="1989"/>
      <c r="AT23" s="1990">
        <f t="shared" si="1"/>
        <v>0</v>
      </c>
      <c r="AU23" s="1991"/>
      <c r="AV23" s="1991"/>
      <c r="AW23" s="1991"/>
      <c r="AX23" s="1991"/>
      <c r="AY23" s="1992"/>
      <c r="AZ23" s="1190"/>
      <c r="BA23" s="1190"/>
      <c r="BB23" s="1190"/>
      <c r="BC23" s="1190"/>
      <c r="BD23" s="1190"/>
      <c r="BE23" s="1194"/>
    </row>
    <row r="24" spans="1:58" ht="15">
      <c r="A24" s="1190"/>
      <c r="B24" s="1984">
        <v>0.8</v>
      </c>
      <c r="C24" s="1985"/>
      <c r="D24" s="1985"/>
      <c r="E24" s="1985"/>
      <c r="F24" s="1985"/>
      <c r="G24" s="1985"/>
      <c r="H24" s="1985"/>
      <c r="I24" s="1986"/>
      <c r="J24" s="1987">
        <f t="shared" si="0"/>
        <v>0</v>
      </c>
      <c r="K24" s="1988"/>
      <c r="L24" s="1988"/>
      <c r="M24" s="1988"/>
      <c r="N24" s="1988"/>
      <c r="O24" s="1989"/>
      <c r="P24" s="1987" cm="1">
        <f t="array" ref="P24">SUMPRODUCT((Application!$B$714:$B$738 = 'CalHFA Addendum'!P$18)*(Application!$AC$714:$AC$738 = 'CalHFA Addendum'!$B24),Application!$G$714:$G$738)</f>
        <v>0</v>
      </c>
      <c r="Q24" s="1988"/>
      <c r="R24" s="1988"/>
      <c r="S24" s="1988"/>
      <c r="T24" s="1988"/>
      <c r="U24" s="1989"/>
      <c r="V24" s="1987" cm="1">
        <f t="array" ref="V24">SUMPRODUCT((Application!$B$714:$B$738 = 'CalHFA Addendum'!V$18)*(Application!$AC$714:$AC$738 = 'CalHFA Addendum'!$B24),Application!$G$714:$G$738)</f>
        <v>0</v>
      </c>
      <c r="W24" s="1988"/>
      <c r="X24" s="1988"/>
      <c r="Y24" s="1988"/>
      <c r="Z24" s="1988"/>
      <c r="AA24" s="1989"/>
      <c r="AB24" s="1987" cm="1">
        <f t="array" ref="AB24">SUMPRODUCT((Application!$B$714:$B$738 = 'CalHFA Addendum'!AB$18)*(Application!$AC$714:$AC$738 = 'CalHFA Addendum'!$B24),Application!$G$714:$G$738)</f>
        <v>0</v>
      </c>
      <c r="AC24" s="1988"/>
      <c r="AD24" s="1988"/>
      <c r="AE24" s="1988"/>
      <c r="AF24" s="1988"/>
      <c r="AG24" s="1989"/>
      <c r="AH24" s="1987" cm="1">
        <f t="array" ref="AH24">SUMPRODUCT((Application!$B$714:$B$738 = 'CalHFA Addendum'!AH$18)*(Application!$AC$714:$AC$738 = 'CalHFA Addendum'!$B24),Application!$G$714:$G$738)</f>
        <v>0</v>
      </c>
      <c r="AI24" s="1988"/>
      <c r="AJ24" s="1988"/>
      <c r="AK24" s="1988"/>
      <c r="AL24" s="1988"/>
      <c r="AM24" s="1989"/>
      <c r="AN24" s="1987" cm="1">
        <f t="array" ref="AN24">SUMPRODUCT((Application!$B$714:$B$738 = 'CalHFA Addendum'!AN$18)*(Application!$AC$714:$AC$738 = 'CalHFA Addendum'!$B24),Application!$G$714:$G$738)</f>
        <v>0</v>
      </c>
      <c r="AO24" s="1988"/>
      <c r="AP24" s="1988"/>
      <c r="AQ24" s="1988"/>
      <c r="AR24" s="1988"/>
      <c r="AS24" s="1989"/>
      <c r="AT24" s="1990">
        <f t="shared" si="1"/>
        <v>0</v>
      </c>
      <c r="AU24" s="1991"/>
      <c r="AV24" s="1991"/>
      <c r="AW24" s="1991"/>
      <c r="AX24" s="1991"/>
      <c r="AY24" s="1992"/>
      <c r="AZ24" s="1190"/>
      <c r="BA24" s="1190"/>
      <c r="BB24" s="1190"/>
      <c r="BC24" s="1190"/>
      <c r="BD24" s="1190"/>
      <c r="BE24" s="1194"/>
    </row>
    <row r="25" spans="1:58" ht="15">
      <c r="A25" s="1190"/>
      <c r="B25" s="1984">
        <v>0.9</v>
      </c>
      <c r="C25" s="1985"/>
      <c r="D25" s="1985"/>
      <c r="E25" s="1985"/>
      <c r="F25" s="1985"/>
      <c r="G25" s="1985"/>
      <c r="H25" s="1985"/>
      <c r="I25" s="1986"/>
      <c r="J25" s="1993"/>
      <c r="K25" s="1994"/>
      <c r="L25" s="1994"/>
      <c r="M25" s="1994"/>
      <c r="N25" s="1994"/>
      <c r="O25" s="1995"/>
      <c r="P25" s="1993"/>
      <c r="Q25" s="1994"/>
      <c r="R25" s="1994"/>
      <c r="S25" s="1994"/>
      <c r="T25" s="1994"/>
      <c r="U25" s="1995"/>
      <c r="V25" s="1993"/>
      <c r="W25" s="1994"/>
      <c r="X25" s="1994"/>
      <c r="Y25" s="1994"/>
      <c r="Z25" s="1994"/>
      <c r="AA25" s="1995"/>
      <c r="AB25" s="1993"/>
      <c r="AC25" s="1994"/>
      <c r="AD25" s="1994"/>
      <c r="AE25" s="1994"/>
      <c r="AF25" s="1994"/>
      <c r="AG25" s="1995"/>
      <c r="AH25" s="1993"/>
      <c r="AI25" s="1994"/>
      <c r="AJ25" s="1994"/>
      <c r="AK25" s="1994"/>
      <c r="AL25" s="1994"/>
      <c r="AM25" s="1995"/>
      <c r="AN25" s="1993"/>
      <c r="AO25" s="1994"/>
      <c r="AP25" s="1994"/>
      <c r="AQ25" s="1994"/>
      <c r="AR25" s="1994"/>
      <c r="AS25" s="1995"/>
      <c r="AT25" s="1990">
        <f t="shared" si="1"/>
        <v>0</v>
      </c>
      <c r="AU25" s="1991"/>
      <c r="AV25" s="1991"/>
      <c r="AW25" s="1991"/>
      <c r="AX25" s="1991"/>
      <c r="AY25" s="1992"/>
      <c r="AZ25" s="1190"/>
      <c r="BA25" s="1190"/>
      <c r="BB25" s="1190"/>
      <c r="BC25" s="1190"/>
      <c r="BD25" s="1190"/>
      <c r="BE25" s="1194"/>
    </row>
    <row r="26" spans="1:58" ht="15">
      <c r="A26" s="1190"/>
      <c r="B26" s="1984">
        <v>1</v>
      </c>
      <c r="C26" s="1985"/>
      <c r="D26" s="1985"/>
      <c r="E26" s="1985"/>
      <c r="F26" s="1985"/>
      <c r="G26" s="1985"/>
      <c r="H26" s="1985"/>
      <c r="I26" s="1986"/>
      <c r="J26" s="1993"/>
      <c r="K26" s="1994"/>
      <c r="L26" s="1994"/>
      <c r="M26" s="1994"/>
      <c r="N26" s="1994"/>
      <c r="O26" s="1995"/>
      <c r="P26" s="1993"/>
      <c r="Q26" s="1994"/>
      <c r="R26" s="1994"/>
      <c r="S26" s="1994"/>
      <c r="T26" s="1994"/>
      <c r="U26" s="1995"/>
      <c r="V26" s="1993"/>
      <c r="W26" s="1994"/>
      <c r="X26" s="1994"/>
      <c r="Y26" s="1994"/>
      <c r="Z26" s="1994"/>
      <c r="AA26" s="1995"/>
      <c r="AB26" s="1993"/>
      <c r="AC26" s="1994"/>
      <c r="AD26" s="1994"/>
      <c r="AE26" s="1994"/>
      <c r="AF26" s="1994"/>
      <c r="AG26" s="1995"/>
      <c r="AH26" s="1993"/>
      <c r="AI26" s="1994"/>
      <c r="AJ26" s="1994"/>
      <c r="AK26" s="1994"/>
      <c r="AL26" s="1994"/>
      <c r="AM26" s="1995"/>
      <c r="AN26" s="1993"/>
      <c r="AO26" s="1994"/>
      <c r="AP26" s="1994"/>
      <c r="AQ26" s="1994"/>
      <c r="AR26" s="1994"/>
      <c r="AS26" s="1995"/>
      <c r="AT26" s="1990">
        <f t="shared" si="1"/>
        <v>0</v>
      </c>
      <c r="AU26" s="1991"/>
      <c r="AV26" s="1991"/>
      <c r="AW26" s="1991"/>
      <c r="AX26" s="1991"/>
      <c r="AY26" s="1992"/>
      <c r="AZ26" s="1190"/>
      <c r="BA26" s="1190"/>
      <c r="BB26" s="1190"/>
      <c r="BC26" s="1190"/>
      <c r="BD26" s="1190"/>
      <c r="BE26" s="1194"/>
    </row>
    <row r="27" spans="1:58" ht="15">
      <c r="A27" s="1190"/>
      <c r="B27" s="1984">
        <v>1.2</v>
      </c>
      <c r="C27" s="1985"/>
      <c r="D27" s="1985"/>
      <c r="E27" s="1985"/>
      <c r="F27" s="1985"/>
      <c r="G27" s="1985"/>
      <c r="H27" s="1985"/>
      <c r="I27" s="1986"/>
      <c r="J27" s="1993"/>
      <c r="K27" s="1994"/>
      <c r="L27" s="1994"/>
      <c r="M27" s="1994"/>
      <c r="N27" s="1994"/>
      <c r="O27" s="1995"/>
      <c r="P27" s="1993"/>
      <c r="Q27" s="1994"/>
      <c r="R27" s="1994"/>
      <c r="S27" s="1994"/>
      <c r="T27" s="1994"/>
      <c r="U27" s="1995"/>
      <c r="V27" s="1993"/>
      <c r="W27" s="1994"/>
      <c r="X27" s="1994"/>
      <c r="Y27" s="1994"/>
      <c r="Z27" s="1994"/>
      <c r="AA27" s="1995"/>
      <c r="AB27" s="1993"/>
      <c r="AC27" s="1994"/>
      <c r="AD27" s="1994"/>
      <c r="AE27" s="1994"/>
      <c r="AF27" s="1994"/>
      <c r="AG27" s="1995"/>
      <c r="AH27" s="1993"/>
      <c r="AI27" s="1994"/>
      <c r="AJ27" s="1994"/>
      <c r="AK27" s="1994"/>
      <c r="AL27" s="1994"/>
      <c r="AM27" s="1995"/>
      <c r="AN27" s="1993"/>
      <c r="AO27" s="1994"/>
      <c r="AP27" s="1994"/>
      <c r="AQ27" s="1994"/>
      <c r="AR27" s="1994"/>
      <c r="AS27" s="1995"/>
      <c r="AT27" s="1990">
        <f t="shared" si="1"/>
        <v>0</v>
      </c>
      <c r="AU27" s="1991"/>
      <c r="AV27" s="1991"/>
      <c r="AW27" s="1991"/>
      <c r="AX27" s="1991"/>
      <c r="AY27" s="1992"/>
      <c r="AZ27" s="1190"/>
      <c r="BA27" s="1190"/>
      <c r="BB27" s="1190"/>
      <c r="BC27" s="1190"/>
      <c r="BD27" s="1190"/>
      <c r="BE27" s="1194"/>
    </row>
    <row r="28" spans="1:58" thickBot="1">
      <c r="A28" s="1190"/>
      <c r="B28" s="1996" t="s">
        <v>2432</v>
      </c>
      <c r="C28" s="1997"/>
      <c r="D28" s="1997"/>
      <c r="E28" s="1997"/>
      <c r="F28" s="1997"/>
      <c r="G28" s="1997"/>
      <c r="H28" s="1997"/>
      <c r="I28" s="1998"/>
      <c r="J28" s="1999">
        <f>SUM(P28:AS28)</f>
        <v>1</v>
      </c>
      <c r="K28" s="2000"/>
      <c r="L28" s="2000"/>
      <c r="M28" s="2000"/>
      <c r="N28" s="2000"/>
      <c r="O28" s="2001"/>
      <c r="P28" s="1999">
        <f>_xlfn.IFNA(VLOOKUP(P$18,Application!$J$773:$S$776,6,FALSE), 0)</f>
        <v>0</v>
      </c>
      <c r="Q28" s="2000"/>
      <c r="R28" s="2000"/>
      <c r="S28" s="2000"/>
      <c r="T28" s="2000"/>
      <c r="U28" s="2001"/>
      <c r="V28" s="1999">
        <f>_xlfn.IFNA(VLOOKUP(V$18,Application!$J$773:$S$776,6,FALSE), 0)</f>
        <v>0</v>
      </c>
      <c r="W28" s="2000"/>
      <c r="X28" s="2000"/>
      <c r="Y28" s="2000"/>
      <c r="Z28" s="2000"/>
      <c r="AA28" s="2001"/>
      <c r="AB28" s="1999">
        <f>_xlfn.IFNA(VLOOKUP(AB$18,Application!$J$773:$S$776,6,FALSE), 0)</f>
        <v>0</v>
      </c>
      <c r="AC28" s="2000"/>
      <c r="AD28" s="2000"/>
      <c r="AE28" s="2000"/>
      <c r="AF28" s="2000"/>
      <c r="AG28" s="2001"/>
      <c r="AH28" s="1999">
        <f>_xlfn.IFNA(VLOOKUP(AH$18,Application!$J$773:$S$776,6,FALSE), 0)</f>
        <v>1</v>
      </c>
      <c r="AI28" s="2000"/>
      <c r="AJ28" s="2000"/>
      <c r="AK28" s="2000"/>
      <c r="AL28" s="2000"/>
      <c r="AM28" s="2001"/>
      <c r="AN28" s="1999">
        <f>_xlfn.IFNA(VLOOKUP(AN$18,Application!$J$773:$S$776,6,FALSE), 0)</f>
        <v>0</v>
      </c>
      <c r="AO28" s="2000"/>
      <c r="AP28" s="2000"/>
      <c r="AQ28" s="2000"/>
      <c r="AR28" s="2000"/>
      <c r="AS28" s="2001"/>
      <c r="AT28" s="2002">
        <f t="shared" si="1"/>
        <v>6.6666666666666671E-3</v>
      </c>
      <c r="AU28" s="2003"/>
      <c r="AV28" s="2003"/>
      <c r="AW28" s="2003"/>
      <c r="AX28" s="2003"/>
      <c r="AY28" s="2004"/>
      <c r="AZ28" s="1190"/>
      <c r="BA28" s="1190"/>
      <c r="BB28" s="1190"/>
      <c r="BC28" s="1190"/>
      <c r="BD28" s="1190"/>
      <c r="BE28" s="1194"/>
    </row>
    <row r="29" spans="1:58" thickBot="1">
      <c r="A29" s="1190"/>
      <c r="B29" s="2033" t="s">
        <v>1588</v>
      </c>
      <c r="C29" s="2006"/>
      <c r="D29" s="2006"/>
      <c r="E29" s="2006"/>
      <c r="F29" s="2006"/>
      <c r="G29" s="2006"/>
      <c r="H29" s="2006"/>
      <c r="I29" s="2007"/>
      <c r="J29" s="2005">
        <f>SUM(J19:O28)</f>
        <v>150</v>
      </c>
      <c r="K29" s="2006"/>
      <c r="L29" s="2006"/>
      <c r="M29" s="2006"/>
      <c r="N29" s="2006"/>
      <c r="O29" s="2007"/>
      <c r="P29" s="2005">
        <f>SUM(P19:U28)</f>
        <v>15</v>
      </c>
      <c r="Q29" s="2006"/>
      <c r="R29" s="2006"/>
      <c r="S29" s="2006"/>
      <c r="T29" s="2006"/>
      <c r="U29" s="2007"/>
      <c r="V29" s="2005">
        <f>SUM(V19:AA28)</f>
        <v>53</v>
      </c>
      <c r="W29" s="2006"/>
      <c r="X29" s="2006"/>
      <c r="Y29" s="2006"/>
      <c r="Z29" s="2006"/>
      <c r="AA29" s="2007"/>
      <c r="AB29" s="2005">
        <f>SUM(AB19:AG28)</f>
        <v>38</v>
      </c>
      <c r="AC29" s="2006"/>
      <c r="AD29" s="2006"/>
      <c r="AE29" s="2006"/>
      <c r="AF29" s="2006"/>
      <c r="AG29" s="2007"/>
      <c r="AH29" s="2005">
        <f>SUM(AH19:AM28)</f>
        <v>44</v>
      </c>
      <c r="AI29" s="2006"/>
      <c r="AJ29" s="2006"/>
      <c r="AK29" s="2006"/>
      <c r="AL29" s="2006"/>
      <c r="AM29" s="2007"/>
      <c r="AN29" s="2005">
        <f>SUM(AN19:AS28)</f>
        <v>0</v>
      </c>
      <c r="AO29" s="2006"/>
      <c r="AP29" s="2006"/>
      <c r="AQ29" s="2006"/>
      <c r="AR29" s="2006"/>
      <c r="AS29" s="2007"/>
      <c r="AT29" s="2008">
        <f t="shared" si="1"/>
        <v>1</v>
      </c>
      <c r="AU29" s="2009"/>
      <c r="AV29" s="2009"/>
      <c r="AW29" s="2009"/>
      <c r="AX29" s="2009"/>
      <c r="AY29" s="201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011" t="s">
        <v>2431</v>
      </c>
      <c r="C31" s="2012"/>
      <c r="D31" s="2012"/>
      <c r="E31" s="2012"/>
      <c r="F31" s="2012"/>
      <c r="G31" s="2012"/>
      <c r="H31" s="2012"/>
      <c r="I31" s="2012"/>
      <c r="J31" s="2012"/>
      <c r="K31" s="2012"/>
      <c r="L31" s="2012"/>
      <c r="M31" s="2012"/>
      <c r="N31" s="2012"/>
      <c r="O31" s="2012"/>
      <c r="P31" s="2012"/>
      <c r="Q31" s="2012"/>
      <c r="R31" s="2012"/>
      <c r="S31" s="2012"/>
      <c r="T31" s="2012"/>
      <c r="U31" s="2012"/>
      <c r="V31" s="2012"/>
      <c r="W31" s="2012"/>
      <c r="X31" s="2012"/>
      <c r="Y31" s="2012"/>
      <c r="Z31" s="2012"/>
      <c r="AA31" s="2012"/>
      <c r="AB31" s="2012"/>
      <c r="AC31" s="2012"/>
      <c r="AD31" s="2012"/>
      <c r="AE31" s="2012"/>
      <c r="AF31" s="2012"/>
      <c r="AG31" s="2012"/>
      <c r="AH31" s="2012"/>
      <c r="AI31" s="2012"/>
      <c r="AJ31" s="2012"/>
      <c r="AK31" s="2012"/>
      <c r="AL31" s="2012"/>
      <c r="AM31" s="2012"/>
      <c r="AN31" s="2012"/>
      <c r="AO31" s="2012"/>
      <c r="AP31" s="2012"/>
      <c r="AQ31" s="2012"/>
      <c r="AR31" s="2012"/>
      <c r="AS31" s="2012"/>
      <c r="AT31" s="2012"/>
      <c r="AU31" s="2012"/>
      <c r="AV31" s="2012"/>
      <c r="AW31" s="2012"/>
      <c r="AX31" s="2012"/>
      <c r="AY31" s="2012"/>
      <c r="AZ31" s="2012"/>
      <c r="BA31" s="2012"/>
      <c r="BB31" s="2012"/>
      <c r="BC31" s="2012"/>
      <c r="BD31" s="2013"/>
      <c r="BE31" s="1194"/>
    </row>
    <row r="32" spans="1:58" thickBot="1">
      <c r="A32" s="1190"/>
      <c r="B32" s="2014" t="s">
        <v>2430</v>
      </c>
      <c r="C32" s="2015"/>
      <c r="D32" s="2015"/>
      <c r="E32" s="2015"/>
      <c r="F32" s="2015"/>
      <c r="G32" s="2015"/>
      <c r="H32" s="2015"/>
      <c r="I32" s="2015"/>
      <c r="J32" s="2018" t="s">
        <v>2429</v>
      </c>
      <c r="K32" s="2019"/>
      <c r="L32" s="2019"/>
      <c r="M32" s="2019"/>
      <c r="N32" s="2018" t="s">
        <v>2428</v>
      </c>
      <c r="O32" s="2019"/>
      <c r="P32" s="2019"/>
      <c r="Q32" s="2021"/>
      <c r="R32" s="2023" t="s">
        <v>2427</v>
      </c>
      <c r="S32" s="2024"/>
      <c r="T32" s="2024"/>
      <c r="U32" s="2024"/>
      <c r="V32" s="2024"/>
      <c r="W32" s="2024"/>
      <c r="X32" s="2024"/>
      <c r="Y32" s="2024"/>
      <c r="Z32" s="2024"/>
      <c r="AA32" s="2024"/>
      <c r="AB32" s="2024"/>
      <c r="AC32" s="2024"/>
      <c r="AD32" s="2024"/>
      <c r="AE32" s="2024"/>
      <c r="AF32" s="2024"/>
      <c r="AG32" s="2024"/>
      <c r="AH32" s="2024"/>
      <c r="AI32" s="2024"/>
      <c r="AJ32" s="2024"/>
      <c r="AK32" s="2024"/>
      <c r="AL32" s="2024"/>
      <c r="AM32" s="2024"/>
      <c r="AN32" s="2024"/>
      <c r="AO32" s="2024"/>
      <c r="AP32" s="2024"/>
      <c r="AQ32" s="2024"/>
      <c r="AR32" s="2024"/>
      <c r="AS32" s="2024"/>
      <c r="AT32" s="2024"/>
      <c r="AU32" s="2024"/>
      <c r="AV32" s="2024"/>
      <c r="AW32" s="2024"/>
      <c r="AX32" s="2024"/>
      <c r="AY32" s="2024"/>
      <c r="AZ32" s="2024"/>
      <c r="BA32" s="2024"/>
      <c r="BB32" s="2024"/>
      <c r="BC32" s="2024"/>
      <c r="BD32" s="2025"/>
      <c r="BE32" s="1194"/>
    </row>
    <row r="33" spans="1:58" ht="15" customHeight="1">
      <c r="A33" s="1190"/>
      <c r="B33" s="2016"/>
      <c r="C33" s="2017"/>
      <c r="D33" s="2017"/>
      <c r="E33" s="2017"/>
      <c r="F33" s="2017"/>
      <c r="G33" s="2017"/>
      <c r="H33" s="2017"/>
      <c r="I33" s="2017"/>
      <c r="J33" s="2020"/>
      <c r="K33" s="2020"/>
      <c r="L33" s="2020"/>
      <c r="M33" s="2020"/>
      <c r="N33" s="2020"/>
      <c r="O33" s="2020"/>
      <c r="P33" s="2020"/>
      <c r="Q33" s="2022"/>
      <c r="R33" s="2026" t="s">
        <v>2426</v>
      </c>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2027"/>
      <c r="AP33" s="2027"/>
      <c r="AQ33" s="2027"/>
      <c r="AR33" s="2027"/>
      <c r="AS33" s="2027"/>
      <c r="AT33" s="2027"/>
      <c r="AU33" s="2027"/>
      <c r="AV33" s="2027"/>
      <c r="AW33" s="2027"/>
      <c r="AX33" s="2027"/>
      <c r="AY33" s="2027"/>
      <c r="AZ33" s="2027"/>
      <c r="BA33" s="2027"/>
      <c r="BB33" s="2027"/>
      <c r="BC33" s="2027"/>
      <c r="BD33" s="2028"/>
      <c r="BE33" s="1194"/>
    </row>
    <row r="34" spans="1:58" ht="15.75" customHeight="1" thickBot="1">
      <c r="A34" s="1190"/>
      <c r="B34" s="2016"/>
      <c r="C34" s="2017"/>
      <c r="D34" s="2017"/>
      <c r="E34" s="2017"/>
      <c r="F34" s="2017"/>
      <c r="G34" s="2017"/>
      <c r="H34" s="2017"/>
      <c r="I34" s="2017"/>
      <c r="J34" s="2020"/>
      <c r="K34" s="2020"/>
      <c r="L34" s="2020"/>
      <c r="M34" s="2020"/>
      <c r="N34" s="2020"/>
      <c r="O34" s="2020"/>
      <c r="P34" s="2020"/>
      <c r="Q34" s="2022"/>
      <c r="R34" s="2029"/>
      <c r="S34" s="2030"/>
      <c r="T34" s="2030"/>
      <c r="U34" s="2030"/>
      <c r="V34" s="2030"/>
      <c r="W34" s="2030"/>
      <c r="X34" s="2030"/>
      <c r="Y34" s="2030"/>
      <c r="Z34" s="2030"/>
      <c r="AA34" s="2030"/>
      <c r="AB34" s="2030"/>
      <c r="AC34" s="2030"/>
      <c r="AD34" s="2030"/>
      <c r="AE34" s="2030"/>
      <c r="AF34" s="2030"/>
      <c r="AG34" s="2030"/>
      <c r="AH34" s="2030"/>
      <c r="AI34" s="2030"/>
      <c r="AJ34" s="2030"/>
      <c r="AK34" s="2030"/>
      <c r="AL34" s="2030"/>
      <c r="AM34" s="2030"/>
      <c r="AN34" s="2030"/>
      <c r="AO34" s="2030"/>
      <c r="AP34" s="2030"/>
      <c r="AQ34" s="2030"/>
      <c r="AR34" s="2030"/>
      <c r="AS34" s="2030"/>
      <c r="AT34" s="2030"/>
      <c r="AU34" s="2030"/>
      <c r="AV34" s="2030"/>
      <c r="AW34" s="2030"/>
      <c r="AX34" s="2030"/>
      <c r="AY34" s="2030"/>
      <c r="AZ34" s="2030"/>
      <c r="BA34" s="2030"/>
      <c r="BB34" s="2030"/>
      <c r="BC34" s="2030"/>
      <c r="BD34" s="2031"/>
      <c r="BE34" s="1194"/>
    </row>
    <row r="35" spans="1:58" ht="15.75" customHeight="1">
      <c r="A35" s="1190"/>
      <c r="B35" s="2016"/>
      <c r="C35" s="2017"/>
      <c r="D35" s="2017"/>
      <c r="E35" s="2017"/>
      <c r="F35" s="2017"/>
      <c r="G35" s="2017"/>
      <c r="H35" s="2017"/>
      <c r="I35" s="2017"/>
      <c r="J35" s="2020"/>
      <c r="K35" s="2020"/>
      <c r="L35" s="2020"/>
      <c r="M35" s="2020"/>
      <c r="N35" s="2020"/>
      <c r="O35" s="2020"/>
      <c r="P35" s="2020"/>
      <c r="Q35" s="2020"/>
      <c r="R35" s="2032">
        <v>0.3</v>
      </c>
      <c r="S35" s="2032"/>
      <c r="T35" s="2032"/>
      <c r="U35" s="2032"/>
      <c r="V35" s="2032">
        <v>0.4</v>
      </c>
      <c r="W35" s="2032"/>
      <c r="X35" s="2032"/>
      <c r="Y35" s="2032"/>
      <c r="Z35" s="2032">
        <v>0.5</v>
      </c>
      <c r="AA35" s="2032"/>
      <c r="AB35" s="2032"/>
      <c r="AC35" s="2032"/>
      <c r="AD35" s="2032">
        <v>0.6</v>
      </c>
      <c r="AE35" s="2032"/>
      <c r="AF35" s="2032"/>
      <c r="AG35" s="2032"/>
      <c r="AH35" s="2032">
        <v>0.7</v>
      </c>
      <c r="AI35" s="2032"/>
      <c r="AJ35" s="2032"/>
      <c r="AK35" s="2032"/>
      <c r="AL35" s="2037">
        <v>0.8</v>
      </c>
      <c r="AM35" s="2038"/>
      <c r="AN35" s="2038"/>
      <c r="AO35" s="2039"/>
      <c r="AP35" s="2040">
        <v>1.2</v>
      </c>
      <c r="AQ35" s="2041"/>
      <c r="AR35" s="2042"/>
      <c r="AS35" s="2034" t="s">
        <v>2425</v>
      </c>
      <c r="AT35" s="2035"/>
      <c r="AU35" s="2035"/>
      <c r="AV35" s="2035"/>
      <c r="AW35" s="2035"/>
      <c r="AX35" s="2043"/>
      <c r="AY35" s="2034" t="s">
        <v>2424</v>
      </c>
      <c r="AZ35" s="2035"/>
      <c r="BA35" s="2035"/>
      <c r="BB35" s="2035"/>
      <c r="BC35" s="2035"/>
      <c r="BD35" s="2036"/>
      <c r="BE35" s="1194"/>
    </row>
    <row r="36" spans="1:58" ht="15.75" customHeight="1">
      <c r="A36" s="1190"/>
      <c r="B36" s="2053" t="s">
        <v>2423</v>
      </c>
      <c r="C36" s="2054"/>
      <c r="D36" s="2054"/>
      <c r="E36" s="2054"/>
      <c r="F36" s="2054"/>
      <c r="G36" s="2054"/>
      <c r="H36" s="2054"/>
      <c r="I36" s="2054"/>
      <c r="J36" s="2055" t="s">
        <v>2422</v>
      </c>
      <c r="K36" s="2055"/>
      <c r="L36" s="2055"/>
      <c r="M36" s="2055"/>
      <c r="N36" s="2055">
        <v>55</v>
      </c>
      <c r="O36" s="2055"/>
      <c r="P36" s="2055"/>
      <c r="Q36" s="2055"/>
      <c r="R36" s="2056"/>
      <c r="S36" s="2056"/>
      <c r="T36" s="2056"/>
      <c r="U36" s="2056"/>
      <c r="V36" s="2056"/>
      <c r="W36" s="2056"/>
      <c r="X36" s="2056"/>
      <c r="Y36" s="2056"/>
      <c r="Z36" s="2056"/>
      <c r="AA36" s="2056"/>
      <c r="AB36" s="2056"/>
      <c r="AC36" s="2056"/>
      <c r="AD36" s="2056"/>
      <c r="AE36" s="2056"/>
      <c r="AF36" s="2056"/>
      <c r="AG36" s="2056"/>
      <c r="AH36" s="2056"/>
      <c r="AI36" s="2056"/>
      <c r="AJ36" s="2056"/>
      <c r="AK36" s="2056"/>
      <c r="AL36" s="2044"/>
      <c r="AM36" s="2045"/>
      <c r="AN36" s="2045"/>
      <c r="AO36" s="2046"/>
      <c r="AP36" s="2044"/>
      <c r="AQ36" s="2045"/>
      <c r="AR36" s="2046"/>
      <c r="AS36" s="2047">
        <f t="shared" ref="AS36:AS47" si="2">SUM(R36:AR36)</f>
        <v>0</v>
      </c>
      <c r="AT36" s="2048"/>
      <c r="AU36" s="2048"/>
      <c r="AV36" s="2048"/>
      <c r="AW36" s="2048"/>
      <c r="AX36" s="2049"/>
      <c r="AY36" s="2050">
        <f t="shared" ref="AY36:AY47" si="3">AS36/$J$29</f>
        <v>0</v>
      </c>
      <c r="AZ36" s="2051"/>
      <c r="BA36" s="2051"/>
      <c r="BB36" s="2051"/>
      <c r="BC36" s="2051"/>
      <c r="BD36" s="2052"/>
      <c r="BE36" s="1194"/>
    </row>
    <row r="37" spans="1:58" ht="15.75" customHeight="1">
      <c r="A37" s="1190"/>
      <c r="B37" s="2053" t="s">
        <v>2421</v>
      </c>
      <c r="C37" s="2054"/>
      <c r="D37" s="2054"/>
      <c r="E37" s="2054"/>
      <c r="F37" s="2054"/>
      <c r="G37" s="2054"/>
      <c r="H37" s="2054"/>
      <c r="I37" s="2054"/>
      <c r="J37" s="2055" t="s">
        <v>2420</v>
      </c>
      <c r="K37" s="2055"/>
      <c r="L37" s="2055"/>
      <c r="M37" s="2055"/>
      <c r="N37" s="2055">
        <v>55</v>
      </c>
      <c r="O37" s="2055"/>
      <c r="P37" s="2055"/>
      <c r="Q37" s="2055"/>
      <c r="R37" s="2056"/>
      <c r="S37" s="2056"/>
      <c r="T37" s="2056"/>
      <c r="U37" s="2056"/>
      <c r="V37" s="2056"/>
      <c r="W37" s="2056"/>
      <c r="X37" s="2056"/>
      <c r="Y37" s="2056"/>
      <c r="Z37" s="2056"/>
      <c r="AA37" s="2056"/>
      <c r="AB37" s="2056"/>
      <c r="AC37" s="2056"/>
      <c r="AD37" s="2056"/>
      <c r="AE37" s="2056"/>
      <c r="AF37" s="2056"/>
      <c r="AG37" s="2056"/>
      <c r="AH37" s="2056"/>
      <c r="AI37" s="2056"/>
      <c r="AJ37" s="2056"/>
      <c r="AK37" s="2056"/>
      <c r="AL37" s="2044"/>
      <c r="AM37" s="2045"/>
      <c r="AN37" s="2045"/>
      <c r="AO37" s="2046"/>
      <c r="AP37" s="2044"/>
      <c r="AQ37" s="2045"/>
      <c r="AR37" s="2046"/>
      <c r="AS37" s="2047">
        <f t="shared" si="2"/>
        <v>0</v>
      </c>
      <c r="AT37" s="2048"/>
      <c r="AU37" s="2048"/>
      <c r="AV37" s="2048"/>
      <c r="AW37" s="2048"/>
      <c r="AX37" s="2049"/>
      <c r="AY37" s="2050">
        <f t="shared" si="3"/>
        <v>0</v>
      </c>
      <c r="AZ37" s="2051"/>
      <c r="BA37" s="2051"/>
      <c r="BB37" s="2051"/>
      <c r="BC37" s="2051"/>
      <c r="BD37" s="2052"/>
      <c r="BE37" s="1194"/>
    </row>
    <row r="38" spans="1:58" ht="15.75" customHeight="1">
      <c r="A38" s="1190"/>
      <c r="B38" s="2053" t="s">
        <v>2419</v>
      </c>
      <c r="C38" s="2054"/>
      <c r="D38" s="2054"/>
      <c r="E38" s="2054"/>
      <c r="F38" s="2054"/>
      <c r="G38" s="2054"/>
      <c r="H38" s="2054"/>
      <c r="I38" s="2054"/>
      <c r="J38" s="2055" t="s">
        <v>2418</v>
      </c>
      <c r="K38" s="2055"/>
      <c r="L38" s="2055"/>
      <c r="M38" s="2055"/>
      <c r="N38" s="2055">
        <v>55</v>
      </c>
      <c r="O38" s="2055"/>
      <c r="P38" s="2055"/>
      <c r="Q38" s="2055"/>
      <c r="R38" s="2056"/>
      <c r="S38" s="2056"/>
      <c r="T38" s="2056"/>
      <c r="U38" s="2056"/>
      <c r="V38" s="2056"/>
      <c r="W38" s="2056"/>
      <c r="X38" s="2056"/>
      <c r="Y38" s="2056"/>
      <c r="Z38" s="2056"/>
      <c r="AA38" s="2056"/>
      <c r="AB38" s="2056"/>
      <c r="AC38" s="2056"/>
      <c r="AD38" s="2056"/>
      <c r="AE38" s="2056"/>
      <c r="AF38" s="2056"/>
      <c r="AG38" s="2056"/>
      <c r="AH38" s="2056"/>
      <c r="AI38" s="2056"/>
      <c r="AJ38" s="2056"/>
      <c r="AK38" s="2056"/>
      <c r="AL38" s="2044"/>
      <c r="AM38" s="2045"/>
      <c r="AN38" s="2045"/>
      <c r="AO38" s="2046"/>
      <c r="AP38" s="2044"/>
      <c r="AQ38" s="2045"/>
      <c r="AR38" s="2046"/>
      <c r="AS38" s="2047">
        <f t="shared" si="2"/>
        <v>0</v>
      </c>
      <c r="AT38" s="2048"/>
      <c r="AU38" s="2048"/>
      <c r="AV38" s="2048"/>
      <c r="AW38" s="2048"/>
      <c r="AX38" s="2049"/>
      <c r="AY38" s="2050">
        <f t="shared" si="3"/>
        <v>0</v>
      </c>
      <c r="AZ38" s="2051"/>
      <c r="BA38" s="2051"/>
      <c r="BB38" s="2051"/>
      <c r="BC38" s="2051"/>
      <c r="BD38" s="2052"/>
      <c r="BE38" s="1194"/>
    </row>
    <row r="39" spans="1:58" ht="15.75" customHeight="1">
      <c r="A39" s="1190"/>
      <c r="B39" s="2053" t="s">
        <v>2417</v>
      </c>
      <c r="C39" s="2054"/>
      <c r="D39" s="2054"/>
      <c r="E39" s="2054"/>
      <c r="F39" s="2054"/>
      <c r="G39" s="2054"/>
      <c r="H39" s="2054"/>
      <c r="I39" s="2054"/>
      <c r="J39" s="2055"/>
      <c r="K39" s="2055"/>
      <c r="L39" s="2055"/>
      <c r="M39" s="2055"/>
      <c r="N39" s="2055"/>
      <c r="O39" s="2055"/>
      <c r="P39" s="2055"/>
      <c r="Q39" s="2055"/>
      <c r="R39" s="2056"/>
      <c r="S39" s="2056"/>
      <c r="T39" s="2056"/>
      <c r="U39" s="2056"/>
      <c r="V39" s="2056"/>
      <c r="W39" s="2056"/>
      <c r="X39" s="2056"/>
      <c r="Y39" s="2056"/>
      <c r="Z39" s="2056"/>
      <c r="AA39" s="2056"/>
      <c r="AB39" s="2056"/>
      <c r="AC39" s="2056"/>
      <c r="AD39" s="2056"/>
      <c r="AE39" s="2056"/>
      <c r="AF39" s="2056"/>
      <c r="AG39" s="2056"/>
      <c r="AH39" s="2056"/>
      <c r="AI39" s="2056"/>
      <c r="AJ39" s="2056"/>
      <c r="AK39" s="2056"/>
      <c r="AL39" s="2044"/>
      <c r="AM39" s="2045"/>
      <c r="AN39" s="2045"/>
      <c r="AO39" s="2046"/>
      <c r="AP39" s="2044"/>
      <c r="AQ39" s="2045"/>
      <c r="AR39" s="2046"/>
      <c r="AS39" s="2047">
        <f t="shared" si="2"/>
        <v>0</v>
      </c>
      <c r="AT39" s="2048"/>
      <c r="AU39" s="2048"/>
      <c r="AV39" s="2048"/>
      <c r="AW39" s="2048"/>
      <c r="AX39" s="2049"/>
      <c r="AY39" s="2050">
        <f t="shared" si="3"/>
        <v>0</v>
      </c>
      <c r="AZ39" s="2051"/>
      <c r="BA39" s="2051"/>
      <c r="BB39" s="2051"/>
      <c r="BC39" s="2051"/>
      <c r="BD39" s="2052"/>
      <c r="BE39" s="1194"/>
    </row>
    <row r="40" spans="1:58" ht="15.75" customHeight="1">
      <c r="A40" s="1190"/>
      <c r="B40" s="2053" t="s">
        <v>2417</v>
      </c>
      <c r="C40" s="2054"/>
      <c r="D40" s="2054"/>
      <c r="E40" s="2054"/>
      <c r="F40" s="2054"/>
      <c r="G40" s="2054"/>
      <c r="H40" s="2054"/>
      <c r="I40" s="2054"/>
      <c r="J40" s="2055"/>
      <c r="K40" s="2055"/>
      <c r="L40" s="2055"/>
      <c r="M40" s="2055"/>
      <c r="N40" s="2055"/>
      <c r="O40" s="2055"/>
      <c r="P40" s="2055"/>
      <c r="Q40" s="2055"/>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44"/>
      <c r="AM40" s="2045"/>
      <c r="AN40" s="2045"/>
      <c r="AO40" s="2046"/>
      <c r="AP40" s="2044"/>
      <c r="AQ40" s="2045"/>
      <c r="AR40" s="2046"/>
      <c r="AS40" s="2047">
        <f t="shared" si="2"/>
        <v>0</v>
      </c>
      <c r="AT40" s="2048"/>
      <c r="AU40" s="2048"/>
      <c r="AV40" s="2048"/>
      <c r="AW40" s="2048"/>
      <c r="AX40" s="2049"/>
      <c r="AY40" s="2050">
        <f t="shared" si="3"/>
        <v>0</v>
      </c>
      <c r="AZ40" s="2051"/>
      <c r="BA40" s="2051"/>
      <c r="BB40" s="2051"/>
      <c r="BC40" s="2051"/>
      <c r="BD40" s="2052"/>
      <c r="BE40" s="1194"/>
    </row>
    <row r="41" spans="1:58" ht="15.75" customHeight="1">
      <c r="A41" s="1190"/>
      <c r="B41" s="2053" t="s">
        <v>2416</v>
      </c>
      <c r="C41" s="2054"/>
      <c r="D41" s="2054"/>
      <c r="E41" s="2054"/>
      <c r="F41" s="2054"/>
      <c r="G41" s="2054"/>
      <c r="H41" s="2054"/>
      <c r="I41" s="2054"/>
      <c r="J41" s="2055"/>
      <c r="K41" s="2055"/>
      <c r="L41" s="2055"/>
      <c r="M41" s="2055"/>
      <c r="N41" s="2055"/>
      <c r="O41" s="2055"/>
      <c r="P41" s="2055"/>
      <c r="Q41" s="2055"/>
      <c r="R41" s="2056"/>
      <c r="S41" s="2056"/>
      <c r="T41" s="2056"/>
      <c r="U41" s="2056"/>
      <c r="V41" s="2056"/>
      <c r="W41" s="2056"/>
      <c r="X41" s="2056"/>
      <c r="Y41" s="2056"/>
      <c r="Z41" s="2056"/>
      <c r="AA41" s="2056"/>
      <c r="AB41" s="2056"/>
      <c r="AC41" s="2056"/>
      <c r="AD41" s="2056"/>
      <c r="AE41" s="2056"/>
      <c r="AF41" s="2056"/>
      <c r="AG41" s="2056"/>
      <c r="AH41" s="2056"/>
      <c r="AI41" s="2056"/>
      <c r="AJ41" s="2056"/>
      <c r="AK41" s="2056"/>
      <c r="AL41" s="2044"/>
      <c r="AM41" s="2045"/>
      <c r="AN41" s="2045"/>
      <c r="AO41" s="2046"/>
      <c r="AP41" s="2044"/>
      <c r="AQ41" s="2045"/>
      <c r="AR41" s="2046"/>
      <c r="AS41" s="2047">
        <f t="shared" si="2"/>
        <v>0</v>
      </c>
      <c r="AT41" s="2048"/>
      <c r="AU41" s="2048"/>
      <c r="AV41" s="2048"/>
      <c r="AW41" s="2048"/>
      <c r="AX41" s="2049"/>
      <c r="AY41" s="2050">
        <f t="shared" si="3"/>
        <v>0</v>
      </c>
      <c r="AZ41" s="2051"/>
      <c r="BA41" s="2051"/>
      <c r="BB41" s="2051"/>
      <c r="BC41" s="2051"/>
      <c r="BD41" s="2052"/>
      <c r="BE41" s="1194"/>
    </row>
    <row r="42" spans="1:58" ht="15.75" customHeight="1">
      <c r="A42" s="1190"/>
      <c r="B42" s="2053" t="s">
        <v>2416</v>
      </c>
      <c r="C42" s="2054"/>
      <c r="D42" s="2054"/>
      <c r="E42" s="2054"/>
      <c r="F42" s="2054"/>
      <c r="G42" s="2054"/>
      <c r="H42" s="2054"/>
      <c r="I42" s="2054"/>
      <c r="J42" s="2055"/>
      <c r="K42" s="2055"/>
      <c r="L42" s="2055"/>
      <c r="M42" s="2055"/>
      <c r="N42" s="2055"/>
      <c r="O42" s="2055"/>
      <c r="P42" s="2055"/>
      <c r="Q42" s="2055"/>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44"/>
      <c r="AM42" s="2045"/>
      <c r="AN42" s="2045"/>
      <c r="AO42" s="2046"/>
      <c r="AP42" s="2044"/>
      <c r="AQ42" s="2045"/>
      <c r="AR42" s="2046"/>
      <c r="AS42" s="2047">
        <f t="shared" si="2"/>
        <v>0</v>
      </c>
      <c r="AT42" s="2048"/>
      <c r="AU42" s="2048"/>
      <c r="AV42" s="2048"/>
      <c r="AW42" s="2048"/>
      <c r="AX42" s="2049"/>
      <c r="AY42" s="2050">
        <f t="shared" si="3"/>
        <v>0</v>
      </c>
      <c r="AZ42" s="2051"/>
      <c r="BA42" s="2051"/>
      <c r="BB42" s="2051"/>
      <c r="BC42" s="2051"/>
      <c r="BD42" s="2052"/>
      <c r="BE42" s="1194"/>
    </row>
    <row r="43" spans="1:58" ht="15.75" customHeight="1">
      <c r="A43" s="1190"/>
      <c r="B43" s="2057" t="s">
        <v>2415</v>
      </c>
      <c r="C43" s="2058"/>
      <c r="D43" s="2058"/>
      <c r="E43" s="2058"/>
      <c r="F43" s="2058"/>
      <c r="G43" s="2058"/>
      <c r="H43" s="2058"/>
      <c r="I43" s="2058"/>
      <c r="J43" s="2055"/>
      <c r="K43" s="2055"/>
      <c r="L43" s="2055"/>
      <c r="M43" s="2055"/>
      <c r="N43" s="2055"/>
      <c r="O43" s="2055"/>
      <c r="P43" s="2055"/>
      <c r="Q43" s="2055"/>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44"/>
      <c r="AM43" s="2045"/>
      <c r="AN43" s="2045"/>
      <c r="AO43" s="2046"/>
      <c r="AP43" s="2044"/>
      <c r="AQ43" s="2045"/>
      <c r="AR43" s="2046"/>
      <c r="AS43" s="2047">
        <f t="shared" si="2"/>
        <v>0</v>
      </c>
      <c r="AT43" s="2048"/>
      <c r="AU43" s="2048"/>
      <c r="AV43" s="2048"/>
      <c r="AW43" s="2048"/>
      <c r="AX43" s="2049"/>
      <c r="AY43" s="2050">
        <f t="shared" si="3"/>
        <v>0</v>
      </c>
      <c r="AZ43" s="2051"/>
      <c r="BA43" s="2051"/>
      <c r="BB43" s="2051"/>
      <c r="BC43" s="2051"/>
      <c r="BD43" s="2052"/>
      <c r="BE43" s="1194"/>
    </row>
    <row r="44" spans="1:58" ht="15.75" customHeight="1">
      <c r="A44" s="1190"/>
      <c r="B44" s="2057" t="s">
        <v>2414</v>
      </c>
      <c r="C44" s="2058"/>
      <c r="D44" s="2058"/>
      <c r="E44" s="2058"/>
      <c r="F44" s="2058"/>
      <c r="G44" s="2058"/>
      <c r="H44" s="2058"/>
      <c r="I44" s="2058"/>
      <c r="J44" s="2055"/>
      <c r="K44" s="2055"/>
      <c r="L44" s="2055"/>
      <c r="M44" s="2055"/>
      <c r="N44" s="2055"/>
      <c r="O44" s="2055"/>
      <c r="P44" s="2055"/>
      <c r="Q44" s="2055"/>
      <c r="R44" s="2056"/>
      <c r="S44" s="2056"/>
      <c r="T44" s="2056"/>
      <c r="U44" s="2056"/>
      <c r="V44" s="2056"/>
      <c r="W44" s="2056"/>
      <c r="X44" s="2056"/>
      <c r="Y44" s="2056"/>
      <c r="Z44" s="2056"/>
      <c r="AA44" s="2056"/>
      <c r="AB44" s="2056"/>
      <c r="AC44" s="2056"/>
      <c r="AD44" s="2056"/>
      <c r="AE44" s="2056"/>
      <c r="AF44" s="2056"/>
      <c r="AG44" s="2056"/>
      <c r="AH44" s="2056"/>
      <c r="AI44" s="2056"/>
      <c r="AJ44" s="2056"/>
      <c r="AK44" s="2056"/>
      <c r="AL44" s="2044"/>
      <c r="AM44" s="2045"/>
      <c r="AN44" s="2045"/>
      <c r="AO44" s="2046"/>
      <c r="AP44" s="2044"/>
      <c r="AQ44" s="2045"/>
      <c r="AR44" s="2046"/>
      <c r="AS44" s="2047">
        <f t="shared" si="2"/>
        <v>0</v>
      </c>
      <c r="AT44" s="2048"/>
      <c r="AU44" s="2048"/>
      <c r="AV44" s="2048"/>
      <c r="AW44" s="2048"/>
      <c r="AX44" s="2049"/>
      <c r="AY44" s="2050">
        <f t="shared" si="3"/>
        <v>0</v>
      </c>
      <c r="AZ44" s="2051"/>
      <c r="BA44" s="2051"/>
      <c r="BB44" s="2051"/>
      <c r="BC44" s="2051"/>
      <c r="BD44" s="2052"/>
      <c r="BE44" s="1194"/>
    </row>
    <row r="45" spans="1:58" ht="15.75" customHeight="1">
      <c r="A45" s="1190"/>
      <c r="B45" s="2057" t="s">
        <v>2413</v>
      </c>
      <c r="C45" s="2058"/>
      <c r="D45" s="2058"/>
      <c r="E45" s="2058"/>
      <c r="F45" s="2058"/>
      <c r="G45" s="2058"/>
      <c r="H45" s="2058"/>
      <c r="I45" s="2058"/>
      <c r="J45" s="2055"/>
      <c r="K45" s="2055"/>
      <c r="L45" s="2055"/>
      <c r="M45" s="2055"/>
      <c r="N45" s="2055"/>
      <c r="O45" s="2055"/>
      <c r="P45" s="2055"/>
      <c r="Q45" s="2055"/>
      <c r="R45" s="2056"/>
      <c r="S45" s="2056"/>
      <c r="T45" s="2056"/>
      <c r="U45" s="2056"/>
      <c r="V45" s="2056"/>
      <c r="W45" s="2056"/>
      <c r="X45" s="2056"/>
      <c r="Y45" s="2056"/>
      <c r="Z45" s="2056"/>
      <c r="AA45" s="2056"/>
      <c r="AB45" s="2056"/>
      <c r="AC45" s="2056"/>
      <c r="AD45" s="2056"/>
      <c r="AE45" s="2056"/>
      <c r="AF45" s="2056"/>
      <c r="AG45" s="2056"/>
      <c r="AH45" s="2056"/>
      <c r="AI45" s="2056"/>
      <c r="AJ45" s="2056"/>
      <c r="AK45" s="2056"/>
      <c r="AL45" s="2044"/>
      <c r="AM45" s="2045"/>
      <c r="AN45" s="2045"/>
      <c r="AO45" s="2046"/>
      <c r="AP45" s="2044"/>
      <c r="AQ45" s="2045"/>
      <c r="AR45" s="2046"/>
      <c r="AS45" s="2047">
        <f t="shared" si="2"/>
        <v>0</v>
      </c>
      <c r="AT45" s="2048"/>
      <c r="AU45" s="2048"/>
      <c r="AV45" s="2048"/>
      <c r="AW45" s="2048"/>
      <c r="AX45" s="2049"/>
      <c r="AY45" s="2050">
        <f t="shared" si="3"/>
        <v>0</v>
      </c>
      <c r="AZ45" s="2051"/>
      <c r="BA45" s="2051"/>
      <c r="BB45" s="2051"/>
      <c r="BC45" s="2051"/>
      <c r="BD45" s="2052"/>
      <c r="BE45" s="1194"/>
    </row>
    <row r="46" spans="1:58" ht="15.75" customHeight="1">
      <c r="A46" s="1190"/>
      <c r="B46" s="2057" t="s">
        <v>2337</v>
      </c>
      <c r="C46" s="2058"/>
      <c r="D46" s="2058"/>
      <c r="E46" s="2058"/>
      <c r="F46" s="2058"/>
      <c r="G46" s="2058"/>
      <c r="H46" s="2058"/>
      <c r="I46" s="2058"/>
      <c r="J46" s="2055"/>
      <c r="K46" s="2055"/>
      <c r="L46" s="2055"/>
      <c r="M46" s="2055"/>
      <c r="N46" s="2055">
        <v>99</v>
      </c>
      <c r="O46" s="2055"/>
      <c r="P46" s="2055"/>
      <c r="Q46" s="2055"/>
      <c r="R46" s="2056"/>
      <c r="S46" s="2056"/>
      <c r="T46" s="2056"/>
      <c r="U46" s="2056"/>
      <c r="V46" s="2056"/>
      <c r="W46" s="2056"/>
      <c r="X46" s="2056"/>
      <c r="Y46" s="2056"/>
      <c r="Z46" s="2056"/>
      <c r="AA46" s="2056"/>
      <c r="AB46" s="2056"/>
      <c r="AC46" s="2056"/>
      <c r="AD46" s="2056"/>
      <c r="AE46" s="2056"/>
      <c r="AF46" s="2056"/>
      <c r="AG46" s="2056"/>
      <c r="AH46" s="2056"/>
      <c r="AI46" s="2056"/>
      <c r="AJ46" s="2056"/>
      <c r="AK46" s="2056"/>
      <c r="AL46" s="2044"/>
      <c r="AM46" s="2045"/>
      <c r="AN46" s="2045"/>
      <c r="AO46" s="2046"/>
      <c r="AP46" s="2044"/>
      <c r="AQ46" s="2045"/>
      <c r="AR46" s="2046"/>
      <c r="AS46" s="2047">
        <f t="shared" si="2"/>
        <v>0</v>
      </c>
      <c r="AT46" s="2048"/>
      <c r="AU46" s="2048"/>
      <c r="AV46" s="2048"/>
      <c r="AW46" s="2048"/>
      <c r="AX46" s="2049"/>
      <c r="AY46" s="2050">
        <f t="shared" si="3"/>
        <v>0</v>
      </c>
      <c r="AZ46" s="2051"/>
      <c r="BA46" s="2051"/>
      <c r="BB46" s="2051"/>
      <c r="BC46" s="2051"/>
      <c r="BD46" s="2052"/>
      <c r="BE46" s="1194"/>
    </row>
    <row r="47" spans="1:58" ht="15.75" customHeight="1" thickBot="1">
      <c r="A47" s="1190"/>
      <c r="B47" s="2059" t="s">
        <v>300</v>
      </c>
      <c r="C47" s="2060"/>
      <c r="D47" s="2060"/>
      <c r="E47" s="2060"/>
      <c r="F47" s="2060"/>
      <c r="G47" s="2060"/>
      <c r="H47" s="2060"/>
      <c r="I47" s="2060"/>
      <c r="J47" s="2061"/>
      <c r="K47" s="2061"/>
      <c r="L47" s="2061"/>
      <c r="M47" s="2061"/>
      <c r="N47" s="2061"/>
      <c r="O47" s="2061"/>
      <c r="P47" s="2061"/>
      <c r="Q47" s="2061"/>
      <c r="R47" s="2062"/>
      <c r="S47" s="2062"/>
      <c r="T47" s="2062"/>
      <c r="U47" s="2062"/>
      <c r="V47" s="2062"/>
      <c r="W47" s="2062"/>
      <c r="X47" s="2062"/>
      <c r="Y47" s="2062"/>
      <c r="Z47" s="2062"/>
      <c r="AA47" s="2062"/>
      <c r="AB47" s="2062"/>
      <c r="AC47" s="2062"/>
      <c r="AD47" s="2062"/>
      <c r="AE47" s="2062"/>
      <c r="AF47" s="2062"/>
      <c r="AG47" s="2062"/>
      <c r="AH47" s="2062"/>
      <c r="AI47" s="2062"/>
      <c r="AJ47" s="2062"/>
      <c r="AK47" s="2062"/>
      <c r="AL47" s="2066"/>
      <c r="AM47" s="2067"/>
      <c r="AN47" s="2067"/>
      <c r="AO47" s="2068"/>
      <c r="AP47" s="2066"/>
      <c r="AQ47" s="2067"/>
      <c r="AR47" s="2068"/>
      <c r="AS47" s="2047">
        <f t="shared" si="2"/>
        <v>0</v>
      </c>
      <c r="AT47" s="2048"/>
      <c r="AU47" s="2048"/>
      <c r="AV47" s="2048"/>
      <c r="AW47" s="2048"/>
      <c r="AX47" s="2049"/>
      <c r="AY47" s="2063">
        <f t="shared" si="3"/>
        <v>0</v>
      </c>
      <c r="AZ47" s="2064"/>
      <c r="BA47" s="2064"/>
      <c r="BB47" s="2064"/>
      <c r="BC47" s="2064"/>
      <c r="BD47" s="2065"/>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2410</v>
      </c>
      <c r="C50" s="2070"/>
      <c r="D50" s="2070"/>
      <c r="E50" s="2070"/>
      <c r="F50" s="2070"/>
      <c r="G50" s="2070"/>
      <c r="H50" s="2070"/>
      <c r="I50" s="2070"/>
      <c r="J50" s="2070"/>
      <c r="K50" s="2070"/>
      <c r="L50" s="2070"/>
      <c r="M50" s="2070"/>
      <c r="N50" s="2070"/>
      <c r="O50" s="2070"/>
      <c r="P50" s="2070"/>
      <c r="Q50" s="2070"/>
      <c r="R50" s="2070"/>
      <c r="S50" s="2070"/>
      <c r="T50" s="2070"/>
      <c r="U50" s="2070"/>
      <c r="V50" s="2070"/>
      <c r="W50" s="2070"/>
      <c r="X50" s="2070"/>
      <c r="Y50" s="2070"/>
      <c r="Z50" s="2070"/>
      <c r="AA50" s="2070"/>
      <c r="AB50" s="2070"/>
      <c r="AC50" s="2070"/>
      <c r="AD50" s="2070"/>
      <c r="AE50" s="2070"/>
      <c r="AF50" s="2070"/>
      <c r="AG50" s="2070"/>
      <c r="AH50" s="2070"/>
      <c r="AI50" s="2070"/>
      <c r="AJ50" s="2070"/>
      <c r="AK50" s="2070"/>
      <c r="AL50" s="2070"/>
      <c r="AM50" s="2070"/>
      <c r="AN50" s="2070"/>
      <c r="AO50" s="207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72" t="s">
        <v>2403</v>
      </c>
      <c r="C51" s="2073"/>
      <c r="D51" s="2073"/>
      <c r="E51" s="2073"/>
      <c r="F51" s="2073"/>
      <c r="G51" s="2073"/>
      <c r="H51" s="2073"/>
      <c r="I51" s="2073"/>
      <c r="J51" s="2073" t="s">
        <v>2409</v>
      </c>
      <c r="K51" s="2073"/>
      <c r="L51" s="2073"/>
      <c r="M51" s="2073"/>
      <c r="N51" s="2073"/>
      <c r="O51" s="2073"/>
      <c r="P51" s="2073"/>
      <c r="Q51" s="2073"/>
      <c r="R51" s="2074" t="s">
        <v>2408</v>
      </c>
      <c r="S51" s="2074"/>
      <c r="T51" s="2074"/>
      <c r="U51" s="2074"/>
      <c r="V51" s="2074"/>
      <c r="W51" s="2074"/>
      <c r="X51" s="2074"/>
      <c r="Y51" s="2074"/>
      <c r="Z51" s="2074" t="s">
        <v>2407</v>
      </c>
      <c r="AA51" s="2074"/>
      <c r="AB51" s="2074"/>
      <c r="AC51" s="2074"/>
      <c r="AD51" s="2074"/>
      <c r="AE51" s="2074"/>
      <c r="AF51" s="2074"/>
      <c r="AG51" s="2074"/>
      <c r="AH51" s="2074" t="s">
        <v>2406</v>
      </c>
      <c r="AI51" s="2074"/>
      <c r="AJ51" s="2074"/>
      <c r="AK51" s="2074"/>
      <c r="AL51" s="2074"/>
      <c r="AM51" s="2074"/>
      <c r="AN51" s="2074"/>
      <c r="AO51" s="207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57" t="s">
        <v>2405</v>
      </c>
      <c r="C52" s="2058"/>
      <c r="D52" s="2058"/>
      <c r="E52" s="2058"/>
      <c r="F52" s="2058"/>
      <c r="G52" s="2058"/>
      <c r="H52" s="2058"/>
      <c r="I52" s="2058"/>
      <c r="J52" s="2076">
        <v>0</v>
      </c>
      <c r="K52" s="2076"/>
      <c r="L52" s="2076"/>
      <c r="M52" s="2076"/>
      <c r="N52" s="2076"/>
      <c r="O52" s="2076"/>
      <c r="P52" s="2076"/>
      <c r="Q52" s="2076"/>
      <c r="R52" s="2077">
        <v>0</v>
      </c>
      <c r="S52" s="2077"/>
      <c r="T52" s="2077"/>
      <c r="U52" s="2077"/>
      <c r="V52" s="2077"/>
      <c r="W52" s="2077"/>
      <c r="X52" s="2077"/>
      <c r="Y52" s="2077"/>
      <c r="Z52" s="2078">
        <v>0</v>
      </c>
      <c r="AA52" s="2078"/>
      <c r="AB52" s="2078"/>
      <c r="AC52" s="2078"/>
      <c r="AD52" s="2078"/>
      <c r="AE52" s="2078"/>
      <c r="AF52" s="2078"/>
      <c r="AG52" s="2078"/>
      <c r="AH52" s="2079"/>
      <c r="AI52" s="2079"/>
      <c r="AJ52" s="2079"/>
      <c r="AK52" s="2079"/>
      <c r="AL52" s="2079"/>
      <c r="AM52" s="2079"/>
      <c r="AN52" s="2079"/>
      <c r="AO52" s="208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57" t="s">
        <v>2404</v>
      </c>
      <c r="C53" s="2058"/>
      <c r="D53" s="2058"/>
      <c r="E53" s="2058"/>
      <c r="F53" s="2058"/>
      <c r="G53" s="2058"/>
      <c r="H53" s="2058"/>
      <c r="I53" s="2058"/>
      <c r="J53" s="2076">
        <v>0</v>
      </c>
      <c r="K53" s="2076"/>
      <c r="L53" s="2076"/>
      <c r="M53" s="2076"/>
      <c r="N53" s="2076"/>
      <c r="O53" s="2076"/>
      <c r="P53" s="2076"/>
      <c r="Q53" s="2076"/>
      <c r="R53" s="2077">
        <v>0</v>
      </c>
      <c r="S53" s="2077"/>
      <c r="T53" s="2077"/>
      <c r="U53" s="2077"/>
      <c r="V53" s="2077"/>
      <c r="W53" s="2077"/>
      <c r="X53" s="2077"/>
      <c r="Y53" s="2077"/>
      <c r="Z53" s="2078">
        <v>0</v>
      </c>
      <c r="AA53" s="2078"/>
      <c r="AB53" s="2078"/>
      <c r="AC53" s="2078"/>
      <c r="AD53" s="2078"/>
      <c r="AE53" s="2078"/>
      <c r="AF53" s="2078"/>
      <c r="AG53" s="2078"/>
      <c r="AH53" s="2079"/>
      <c r="AI53" s="2079"/>
      <c r="AJ53" s="2079"/>
      <c r="AK53" s="2079"/>
      <c r="AL53" s="2079"/>
      <c r="AM53" s="2079"/>
      <c r="AN53" s="2079"/>
      <c r="AO53" s="208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57"/>
      <c r="C54" s="2058"/>
      <c r="D54" s="2058"/>
      <c r="E54" s="2058"/>
      <c r="F54" s="2058"/>
      <c r="G54" s="2058"/>
      <c r="H54" s="2058"/>
      <c r="I54" s="2058"/>
      <c r="J54" s="2076"/>
      <c r="K54" s="2076"/>
      <c r="L54" s="2076"/>
      <c r="M54" s="2076"/>
      <c r="N54" s="2076"/>
      <c r="O54" s="2076"/>
      <c r="P54" s="2076"/>
      <c r="Q54" s="2076"/>
      <c r="R54" s="2077"/>
      <c r="S54" s="2077"/>
      <c r="T54" s="2077"/>
      <c r="U54" s="2077"/>
      <c r="V54" s="2077"/>
      <c r="W54" s="2077"/>
      <c r="X54" s="2077"/>
      <c r="Y54" s="2077"/>
      <c r="Z54" s="2078"/>
      <c r="AA54" s="2078"/>
      <c r="AB54" s="2078"/>
      <c r="AC54" s="2078"/>
      <c r="AD54" s="2078"/>
      <c r="AE54" s="2078"/>
      <c r="AF54" s="2078"/>
      <c r="AG54" s="2078"/>
      <c r="AH54" s="2079"/>
      <c r="AI54" s="2079"/>
      <c r="AJ54" s="2079"/>
      <c r="AK54" s="2079"/>
      <c r="AL54" s="2079"/>
      <c r="AM54" s="2079"/>
      <c r="AN54" s="2079"/>
      <c r="AO54" s="208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57"/>
      <c r="C55" s="2058"/>
      <c r="D55" s="2058"/>
      <c r="E55" s="2058"/>
      <c r="F55" s="2058"/>
      <c r="G55" s="2058"/>
      <c r="H55" s="2058"/>
      <c r="I55" s="2058"/>
      <c r="J55" s="2076"/>
      <c r="K55" s="2076"/>
      <c r="L55" s="2076"/>
      <c r="M55" s="2076"/>
      <c r="N55" s="2076"/>
      <c r="O55" s="2076"/>
      <c r="P55" s="2076"/>
      <c r="Q55" s="2076"/>
      <c r="R55" s="2077"/>
      <c r="S55" s="2077"/>
      <c r="T55" s="2077"/>
      <c r="U55" s="2077"/>
      <c r="V55" s="2077"/>
      <c r="W55" s="2077"/>
      <c r="X55" s="2077"/>
      <c r="Y55" s="2077"/>
      <c r="Z55" s="2078"/>
      <c r="AA55" s="2078"/>
      <c r="AB55" s="2078"/>
      <c r="AC55" s="2078"/>
      <c r="AD55" s="2078"/>
      <c r="AE55" s="2078"/>
      <c r="AF55" s="2078"/>
      <c r="AG55" s="2078"/>
      <c r="AH55" s="2079"/>
      <c r="AI55" s="2079"/>
      <c r="AJ55" s="2079"/>
      <c r="AK55" s="2079"/>
      <c r="AL55" s="2079"/>
      <c r="AM55" s="2079"/>
      <c r="AN55" s="2079"/>
      <c r="AO55" s="208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057"/>
      <c r="C56" s="2058"/>
      <c r="D56" s="2058"/>
      <c r="E56" s="2058"/>
      <c r="F56" s="2058"/>
      <c r="G56" s="2058"/>
      <c r="H56" s="2058"/>
      <c r="I56" s="2058"/>
      <c r="J56" s="2076"/>
      <c r="K56" s="2076"/>
      <c r="L56" s="2076"/>
      <c r="M56" s="2076"/>
      <c r="N56" s="2076"/>
      <c r="O56" s="2076"/>
      <c r="P56" s="2076"/>
      <c r="Q56" s="2076"/>
      <c r="R56" s="2077"/>
      <c r="S56" s="2077"/>
      <c r="T56" s="2077"/>
      <c r="U56" s="2077"/>
      <c r="V56" s="2077"/>
      <c r="W56" s="2077"/>
      <c r="X56" s="2077"/>
      <c r="Y56" s="2077"/>
      <c r="Z56" s="2078"/>
      <c r="AA56" s="2078"/>
      <c r="AB56" s="2078"/>
      <c r="AC56" s="2078"/>
      <c r="AD56" s="2078"/>
      <c r="AE56" s="2078"/>
      <c r="AF56" s="2078"/>
      <c r="AG56" s="2078"/>
      <c r="AH56" s="2079"/>
      <c r="AI56" s="2079"/>
      <c r="AJ56" s="2079"/>
      <c r="AK56" s="2079"/>
      <c r="AL56" s="2079"/>
      <c r="AM56" s="2079"/>
      <c r="AN56" s="2079"/>
      <c r="AO56" s="208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90" t="s">
        <v>1588</v>
      </c>
      <c r="C57" s="2091"/>
      <c r="D57" s="2091"/>
      <c r="E57" s="2091"/>
      <c r="F57" s="2091"/>
      <c r="G57" s="2091"/>
      <c r="H57" s="2091"/>
      <c r="I57" s="2091"/>
      <c r="J57" s="2091"/>
      <c r="K57" s="2091"/>
      <c r="L57" s="2091"/>
      <c r="M57" s="2091"/>
      <c r="N57" s="2091"/>
      <c r="O57" s="2091"/>
      <c r="P57" s="2091"/>
      <c r="Q57" s="2091"/>
      <c r="R57" s="2092">
        <f>SUM(R52:Y56)</f>
        <v>0</v>
      </c>
      <c r="S57" s="2092"/>
      <c r="T57" s="2092"/>
      <c r="U57" s="2092"/>
      <c r="V57" s="2092"/>
      <c r="W57" s="2092"/>
      <c r="X57" s="2092"/>
      <c r="Y57" s="2092"/>
      <c r="Z57" s="2093">
        <f>SUM(Z52:AG56)</f>
        <v>0</v>
      </c>
      <c r="AA57" s="2093"/>
      <c r="AB57" s="2093"/>
      <c r="AC57" s="2093"/>
      <c r="AD57" s="2093"/>
      <c r="AE57" s="2093"/>
      <c r="AF57" s="2093"/>
      <c r="AG57" s="2093"/>
      <c r="AH57" s="2094"/>
      <c r="AI57" s="2094"/>
      <c r="AJ57" s="2094"/>
      <c r="AK57" s="2094"/>
      <c r="AL57" s="2094"/>
      <c r="AM57" s="2094"/>
      <c r="AN57" s="2094"/>
      <c r="AO57" s="209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81" t="s">
        <v>2403</v>
      </c>
      <c r="C59" s="2082"/>
      <c r="D59" s="2082"/>
      <c r="E59" s="2082"/>
      <c r="F59" s="2082"/>
      <c r="G59" s="2082"/>
      <c r="H59" s="2082"/>
      <c r="I59" s="2083"/>
      <c r="J59" s="1975" t="s">
        <v>2402</v>
      </c>
      <c r="K59" s="1975"/>
      <c r="L59" s="1975"/>
      <c r="M59" s="1975"/>
      <c r="N59" s="1975"/>
      <c r="O59" s="1975"/>
      <c r="P59" s="1975"/>
      <c r="Q59" s="1975"/>
      <c r="R59" s="1975"/>
      <c r="S59" s="1975"/>
      <c r="T59" s="1975"/>
      <c r="U59" s="1975"/>
      <c r="V59" s="1975"/>
      <c r="W59" s="1975"/>
      <c r="X59" s="1975"/>
      <c r="Y59" s="1975"/>
      <c r="Z59" s="1975"/>
      <c r="AA59" s="1975"/>
      <c r="AB59" s="1975"/>
      <c r="AC59" s="1975"/>
      <c r="AD59" s="1975"/>
      <c r="AE59" s="1975"/>
      <c r="AF59" s="1975"/>
      <c r="AG59" s="1975"/>
      <c r="AH59" s="1975"/>
      <c r="AI59" s="1975"/>
      <c r="AJ59" s="1975"/>
      <c r="AK59" s="1975"/>
      <c r="AL59" s="1975"/>
      <c r="AM59" s="1975"/>
      <c r="AN59" s="1975"/>
      <c r="AO59" s="1975"/>
      <c r="AP59" s="1975"/>
      <c r="AQ59" s="1975"/>
      <c r="AR59" s="1975"/>
      <c r="AS59" s="1975"/>
      <c r="AT59" s="1975"/>
      <c r="AU59" s="1975"/>
      <c r="AV59" s="1975"/>
      <c r="AW59" s="1976"/>
      <c r="AX59" s="1190"/>
      <c r="AY59" s="1190"/>
      <c r="AZ59" s="1190"/>
      <c r="BA59" s="1190"/>
      <c r="BB59" s="1190"/>
      <c r="BC59" s="1190"/>
      <c r="BD59" s="1190"/>
      <c r="BE59" s="1194"/>
    </row>
    <row r="60" spans="1:77" ht="15.75" customHeight="1">
      <c r="A60" s="1190"/>
      <c r="B60" s="2084" t="str">
        <f>IF(B52="", "", B52)</f>
        <v>Services Company 1</v>
      </c>
      <c r="C60" s="2085"/>
      <c r="D60" s="2085"/>
      <c r="E60" s="2085"/>
      <c r="F60" s="2085"/>
      <c r="G60" s="2085"/>
      <c r="H60" s="2085"/>
      <c r="I60" s="2086"/>
      <c r="J60" s="2087"/>
      <c r="K60" s="2088"/>
      <c r="L60" s="2088"/>
      <c r="M60" s="2088"/>
      <c r="N60" s="2088"/>
      <c r="O60" s="2088"/>
      <c r="P60" s="2088"/>
      <c r="Q60" s="2088"/>
      <c r="R60" s="2088"/>
      <c r="S60" s="2088"/>
      <c r="T60" s="2088"/>
      <c r="U60" s="2088"/>
      <c r="V60" s="2088"/>
      <c r="W60" s="2088"/>
      <c r="X60" s="2088"/>
      <c r="Y60" s="2088"/>
      <c r="Z60" s="2088"/>
      <c r="AA60" s="2088"/>
      <c r="AB60" s="2088"/>
      <c r="AC60" s="2088"/>
      <c r="AD60" s="2088"/>
      <c r="AE60" s="2088"/>
      <c r="AF60" s="2088"/>
      <c r="AG60" s="2088"/>
      <c r="AH60" s="2088"/>
      <c r="AI60" s="2088"/>
      <c r="AJ60" s="2088"/>
      <c r="AK60" s="2088"/>
      <c r="AL60" s="2088"/>
      <c r="AM60" s="2088"/>
      <c r="AN60" s="2088"/>
      <c r="AO60" s="2088"/>
      <c r="AP60" s="2088"/>
      <c r="AQ60" s="2088"/>
      <c r="AR60" s="2088"/>
      <c r="AS60" s="2088"/>
      <c r="AT60" s="2088"/>
      <c r="AU60" s="2088"/>
      <c r="AV60" s="2088"/>
      <c r="AW60" s="2089"/>
      <c r="AX60" s="1190"/>
      <c r="AY60" s="1190"/>
      <c r="AZ60" s="1190"/>
      <c r="BA60" s="1190"/>
      <c r="BB60" s="1190"/>
      <c r="BC60" s="1190"/>
      <c r="BD60" s="1190"/>
      <c r="BE60" s="1194"/>
    </row>
    <row r="61" spans="1:77" ht="15.75" customHeight="1">
      <c r="A61" s="1190"/>
      <c r="B61" s="2084" t="str">
        <f>IF(B53="", "", B53)</f>
        <v>Services Company 2</v>
      </c>
      <c r="C61" s="2085"/>
      <c r="D61" s="2085"/>
      <c r="E61" s="2085"/>
      <c r="F61" s="2085"/>
      <c r="G61" s="2085"/>
      <c r="H61" s="2085"/>
      <c r="I61" s="2086"/>
      <c r="J61" s="2087"/>
      <c r="K61" s="2088"/>
      <c r="L61" s="2088"/>
      <c r="M61" s="2088"/>
      <c r="N61" s="2088"/>
      <c r="O61" s="2088"/>
      <c r="P61" s="2088"/>
      <c r="Q61" s="2088"/>
      <c r="R61" s="2088"/>
      <c r="S61" s="2088"/>
      <c r="T61" s="2088"/>
      <c r="U61" s="2088"/>
      <c r="V61" s="2088"/>
      <c r="W61" s="2088"/>
      <c r="X61" s="2088"/>
      <c r="Y61" s="2088"/>
      <c r="Z61" s="2088"/>
      <c r="AA61" s="2088"/>
      <c r="AB61" s="2088"/>
      <c r="AC61" s="2088"/>
      <c r="AD61" s="2088"/>
      <c r="AE61" s="2088"/>
      <c r="AF61" s="2088"/>
      <c r="AG61" s="2088"/>
      <c r="AH61" s="2088"/>
      <c r="AI61" s="2088"/>
      <c r="AJ61" s="2088"/>
      <c r="AK61" s="2088"/>
      <c r="AL61" s="2088"/>
      <c r="AM61" s="2088"/>
      <c r="AN61" s="2088"/>
      <c r="AO61" s="2088"/>
      <c r="AP61" s="2088"/>
      <c r="AQ61" s="2088"/>
      <c r="AR61" s="2088"/>
      <c r="AS61" s="2088"/>
      <c r="AT61" s="2088"/>
      <c r="AU61" s="2088"/>
      <c r="AV61" s="2088"/>
      <c r="AW61" s="2089"/>
      <c r="AX61" s="1190"/>
      <c r="AY61" s="1190"/>
      <c r="AZ61" s="1190"/>
      <c r="BA61" s="1190"/>
      <c r="BB61" s="1190"/>
      <c r="BC61" s="1190"/>
      <c r="BD61" s="1190"/>
      <c r="BE61" s="1194"/>
    </row>
    <row r="62" spans="1:77" ht="15.75" customHeight="1">
      <c r="A62" s="1190"/>
      <c r="B62" s="2084" t="str">
        <f>IF(B54="", "", B54)</f>
        <v/>
      </c>
      <c r="C62" s="2085"/>
      <c r="D62" s="2085"/>
      <c r="E62" s="2085"/>
      <c r="F62" s="2085"/>
      <c r="G62" s="2085"/>
      <c r="H62" s="2085"/>
      <c r="I62" s="2086"/>
      <c r="J62" s="2087"/>
      <c r="K62" s="2088"/>
      <c r="L62" s="2088"/>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8"/>
      <c r="AK62" s="2088"/>
      <c r="AL62" s="2088"/>
      <c r="AM62" s="2088"/>
      <c r="AN62" s="2088"/>
      <c r="AO62" s="2088"/>
      <c r="AP62" s="2088"/>
      <c r="AQ62" s="2088"/>
      <c r="AR62" s="2088"/>
      <c r="AS62" s="2088"/>
      <c r="AT62" s="2088"/>
      <c r="AU62" s="2088"/>
      <c r="AV62" s="2088"/>
      <c r="AW62" s="2089"/>
      <c r="AX62" s="1190"/>
      <c r="AY62" s="1190"/>
      <c r="AZ62" s="1190"/>
      <c r="BA62" s="1190"/>
      <c r="BB62" s="1190"/>
      <c r="BC62" s="1190"/>
      <c r="BD62" s="1190"/>
      <c r="BE62" s="1194"/>
    </row>
    <row r="63" spans="1:77" ht="15.75" customHeight="1">
      <c r="A63" s="1190"/>
      <c r="B63" s="2084" t="str">
        <f>IF(B55="", "", B55)</f>
        <v/>
      </c>
      <c r="C63" s="2085"/>
      <c r="D63" s="2085"/>
      <c r="E63" s="2085"/>
      <c r="F63" s="2085"/>
      <c r="G63" s="2085"/>
      <c r="H63" s="2085"/>
      <c r="I63" s="2086"/>
      <c r="J63" s="2087"/>
      <c r="K63" s="2088"/>
      <c r="L63" s="2088"/>
      <c r="M63" s="2088"/>
      <c r="N63" s="2088"/>
      <c r="O63" s="2088"/>
      <c r="P63" s="2088"/>
      <c r="Q63" s="2088"/>
      <c r="R63" s="2088"/>
      <c r="S63" s="2088"/>
      <c r="T63" s="2088"/>
      <c r="U63" s="2088"/>
      <c r="V63" s="2088"/>
      <c r="W63" s="2088"/>
      <c r="X63" s="2088"/>
      <c r="Y63" s="2088"/>
      <c r="Z63" s="2088"/>
      <c r="AA63" s="2088"/>
      <c r="AB63" s="2088"/>
      <c r="AC63" s="2088"/>
      <c r="AD63" s="2088"/>
      <c r="AE63" s="2088"/>
      <c r="AF63" s="2088"/>
      <c r="AG63" s="2088"/>
      <c r="AH63" s="2088"/>
      <c r="AI63" s="2088"/>
      <c r="AJ63" s="2088"/>
      <c r="AK63" s="2088"/>
      <c r="AL63" s="2088"/>
      <c r="AM63" s="2088"/>
      <c r="AN63" s="2088"/>
      <c r="AO63" s="2088"/>
      <c r="AP63" s="2088"/>
      <c r="AQ63" s="2088"/>
      <c r="AR63" s="2088"/>
      <c r="AS63" s="2088"/>
      <c r="AT63" s="2088"/>
      <c r="AU63" s="2088"/>
      <c r="AV63" s="2088"/>
      <c r="AW63" s="2089"/>
      <c r="AX63" s="1190"/>
      <c r="AY63" s="1190"/>
      <c r="AZ63" s="1190"/>
      <c r="BA63" s="1190"/>
      <c r="BB63" s="1190"/>
      <c r="BC63" s="1190"/>
      <c r="BD63" s="1190"/>
      <c r="BE63" s="1194"/>
    </row>
    <row r="64" spans="1:77" ht="15.75" customHeight="1" thickBot="1">
      <c r="A64" s="1190"/>
      <c r="B64" s="2106" t="str">
        <f>IF(B56="", "", B56)</f>
        <v/>
      </c>
      <c r="C64" s="2107"/>
      <c r="D64" s="2107"/>
      <c r="E64" s="2107"/>
      <c r="F64" s="2107"/>
      <c r="G64" s="2107"/>
      <c r="H64" s="2107"/>
      <c r="I64" s="2108"/>
      <c r="J64" s="2109"/>
      <c r="K64" s="2110"/>
      <c r="L64" s="2110"/>
      <c r="M64" s="2110"/>
      <c r="N64" s="2110"/>
      <c r="O64" s="2110"/>
      <c r="P64" s="2110"/>
      <c r="Q64" s="2110"/>
      <c r="R64" s="2110"/>
      <c r="S64" s="2110"/>
      <c r="T64" s="2110"/>
      <c r="U64" s="2110"/>
      <c r="V64" s="2110"/>
      <c r="W64" s="2110"/>
      <c r="X64" s="2110"/>
      <c r="Y64" s="2110"/>
      <c r="Z64" s="2110"/>
      <c r="AA64" s="2110"/>
      <c r="AB64" s="2110"/>
      <c r="AC64" s="2110"/>
      <c r="AD64" s="2110"/>
      <c r="AE64" s="2110"/>
      <c r="AF64" s="2110"/>
      <c r="AG64" s="2110"/>
      <c r="AH64" s="2110"/>
      <c r="AI64" s="2110"/>
      <c r="AJ64" s="2110"/>
      <c r="AK64" s="2110"/>
      <c r="AL64" s="2110"/>
      <c r="AM64" s="2110"/>
      <c r="AN64" s="2110"/>
      <c r="AO64" s="2110"/>
      <c r="AP64" s="2110"/>
      <c r="AQ64" s="2110"/>
      <c r="AR64" s="2110"/>
      <c r="AS64" s="2110"/>
      <c r="AT64" s="2110"/>
      <c r="AU64" s="2110"/>
      <c r="AV64" s="2110"/>
      <c r="AW64" s="211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74" t="s">
        <v>2400</v>
      </c>
      <c r="C68" s="1975"/>
      <c r="D68" s="1975"/>
      <c r="E68" s="1975"/>
      <c r="F68" s="1975"/>
      <c r="G68" s="1975"/>
      <c r="H68" s="1975"/>
      <c r="I68" s="1975"/>
      <c r="J68" s="1975"/>
      <c r="K68" s="1975"/>
      <c r="L68" s="1975"/>
      <c r="M68" s="1975"/>
      <c r="N68" s="1975"/>
      <c r="O68" s="1975"/>
      <c r="P68" s="1975"/>
      <c r="Q68" s="1975"/>
      <c r="R68" s="1975"/>
      <c r="S68" s="1975"/>
      <c r="T68" s="1975"/>
      <c r="U68" s="1975"/>
      <c r="V68" s="1975"/>
      <c r="W68" s="1975"/>
      <c r="X68" s="1975"/>
      <c r="Y68" s="1975"/>
      <c r="Z68" s="1975"/>
      <c r="AA68" s="1976"/>
      <c r="AB68" s="1190"/>
      <c r="AC68" s="2118" t="s">
        <v>2399</v>
      </c>
      <c r="AD68" s="2119"/>
      <c r="AE68" s="2119"/>
      <c r="AF68" s="2119"/>
      <c r="AG68" s="2119"/>
      <c r="AH68" s="2119"/>
      <c r="AI68" s="2119"/>
      <c r="AJ68" s="2119"/>
      <c r="AK68" s="2119"/>
      <c r="AL68" s="2119"/>
      <c r="AM68" s="2119"/>
      <c r="AN68" s="2119"/>
      <c r="AO68" s="2119"/>
      <c r="AP68" s="2119"/>
      <c r="AQ68" s="2119"/>
      <c r="AR68" s="2119"/>
      <c r="AS68" s="2119"/>
      <c r="AT68" s="2119"/>
      <c r="AU68" s="2119"/>
      <c r="AV68" s="2096" t="s">
        <v>670</v>
      </c>
      <c r="AW68" s="2097"/>
      <c r="AX68" s="2097"/>
      <c r="AY68" s="2097"/>
      <c r="AZ68" s="2097"/>
      <c r="BA68" s="2097"/>
      <c r="BB68" s="2097"/>
      <c r="BC68" s="2098"/>
      <c r="BD68" s="1190"/>
      <c r="BE68" s="1194"/>
      <c r="BM68" s="1199" t="s">
        <v>2398</v>
      </c>
    </row>
    <row r="69" spans="1:94" ht="15.75" customHeight="1" thickTop="1" thickBot="1">
      <c r="A69" s="1190"/>
      <c r="B69" s="2099" t="s">
        <v>2397</v>
      </c>
      <c r="C69" s="2100"/>
      <c r="D69" s="2100"/>
      <c r="E69" s="2100"/>
      <c r="F69" s="2100"/>
      <c r="G69" s="2100"/>
      <c r="H69" s="2100"/>
      <c r="I69" s="2100"/>
      <c r="J69" s="2100"/>
      <c r="K69" s="2100"/>
      <c r="L69" s="2100"/>
      <c r="M69" s="2100"/>
      <c r="N69" s="2100"/>
      <c r="O69" s="2101" t="s">
        <v>2396</v>
      </c>
      <c r="P69" s="2102"/>
      <c r="Q69" s="2102"/>
      <c r="R69" s="2102"/>
      <c r="S69" s="2102"/>
      <c r="T69" s="2102"/>
      <c r="U69" s="2102"/>
      <c r="V69" s="2102"/>
      <c r="W69" s="2102"/>
      <c r="X69" s="2102"/>
      <c r="Y69" s="2102"/>
      <c r="Z69" s="2102"/>
      <c r="AA69" s="2103"/>
      <c r="AB69" s="1190"/>
      <c r="AC69" s="2104" t="s">
        <v>2395</v>
      </c>
      <c r="AD69" s="2105"/>
      <c r="AE69" s="2105"/>
      <c r="AF69" s="2105"/>
      <c r="AG69" s="2105"/>
      <c r="AH69" s="2105"/>
      <c r="AI69" s="2105"/>
      <c r="AJ69" s="2105"/>
      <c r="AK69" s="2105"/>
      <c r="AL69" s="2105"/>
      <c r="AM69" s="2105"/>
      <c r="AN69" s="2105"/>
      <c r="AO69" s="2105"/>
      <c r="AP69" s="2105"/>
      <c r="AQ69" s="2105"/>
      <c r="AR69" s="2105"/>
      <c r="AS69" s="2105"/>
      <c r="AT69" s="2105"/>
      <c r="AU69" s="2105"/>
      <c r="AV69" s="2096" t="s">
        <v>670</v>
      </c>
      <c r="AW69" s="2097"/>
      <c r="AX69" s="2097"/>
      <c r="AY69" s="2097"/>
      <c r="AZ69" s="2097"/>
      <c r="BA69" s="2097"/>
      <c r="BB69" s="2097"/>
      <c r="BC69" s="2098"/>
      <c r="BD69" s="1190"/>
      <c r="BE69" s="1194"/>
      <c r="BM69" s="1200" t="s">
        <v>546</v>
      </c>
    </row>
    <row r="70" spans="1:94" ht="15.75" customHeight="1">
      <c r="A70" s="1190"/>
      <c r="B70" s="2053" t="s">
        <v>2394</v>
      </c>
      <c r="C70" s="2054"/>
      <c r="D70" s="2054"/>
      <c r="E70" s="2054"/>
      <c r="F70" s="2054"/>
      <c r="G70" s="2054"/>
      <c r="H70" s="2054"/>
      <c r="I70" s="2054"/>
      <c r="J70" s="2054"/>
      <c r="K70" s="2054"/>
      <c r="L70" s="2054"/>
      <c r="M70" s="2054"/>
      <c r="N70" s="2054"/>
      <c r="O70" s="2112">
        <v>0</v>
      </c>
      <c r="P70" s="2112"/>
      <c r="Q70" s="2112"/>
      <c r="R70" s="2112"/>
      <c r="S70" s="2112"/>
      <c r="T70" s="2112"/>
      <c r="U70" s="2112"/>
      <c r="V70" s="2112"/>
      <c r="W70" s="2112"/>
      <c r="X70" s="2112"/>
      <c r="Y70" s="2112"/>
      <c r="Z70" s="2112"/>
      <c r="AA70" s="2113"/>
      <c r="AB70" s="1190"/>
      <c r="AC70" s="2069" t="s">
        <v>2393</v>
      </c>
      <c r="AD70" s="2070"/>
      <c r="AE70" s="2070"/>
      <c r="AF70" s="2114"/>
      <c r="AG70" s="2114"/>
      <c r="AH70" s="2114"/>
      <c r="AI70" s="2114"/>
      <c r="AJ70" s="2114"/>
      <c r="AK70" s="2114"/>
      <c r="AL70" s="2114"/>
      <c r="AM70" s="2114"/>
      <c r="AN70" s="2114"/>
      <c r="AO70" s="2114"/>
      <c r="AP70" s="2114"/>
      <c r="AQ70" s="2114"/>
      <c r="AR70" s="2114"/>
      <c r="AS70" s="2114"/>
      <c r="AT70" s="2114"/>
      <c r="AU70" s="2115"/>
      <c r="AV70" s="1190"/>
      <c r="AW70" s="1190"/>
      <c r="AX70" s="1190"/>
      <c r="AY70" s="1190"/>
      <c r="AZ70" s="1190"/>
      <c r="BA70" s="1190"/>
      <c r="BB70" s="1190"/>
      <c r="BC70" s="1190"/>
      <c r="BD70" s="1190"/>
      <c r="BE70" s="1194"/>
      <c r="BM70" s="1201" t="s">
        <v>670</v>
      </c>
    </row>
    <row r="71" spans="1:94" ht="15.75" customHeight="1" thickBot="1">
      <c r="A71" s="1190"/>
      <c r="B71" s="2053" t="s">
        <v>2392</v>
      </c>
      <c r="C71" s="2054"/>
      <c r="D71" s="2054"/>
      <c r="E71" s="2054"/>
      <c r="F71" s="2054"/>
      <c r="G71" s="2054"/>
      <c r="H71" s="2054"/>
      <c r="I71" s="2054"/>
      <c r="J71" s="2054"/>
      <c r="K71" s="2054"/>
      <c r="L71" s="2054"/>
      <c r="M71" s="2054"/>
      <c r="N71" s="2054"/>
      <c r="O71" s="2112">
        <v>0</v>
      </c>
      <c r="P71" s="2112"/>
      <c r="Q71" s="2112"/>
      <c r="R71" s="2112"/>
      <c r="S71" s="2112"/>
      <c r="T71" s="2112"/>
      <c r="U71" s="2112"/>
      <c r="V71" s="2112"/>
      <c r="W71" s="2112"/>
      <c r="X71" s="2112"/>
      <c r="Y71" s="2112"/>
      <c r="Z71" s="2112"/>
      <c r="AA71" s="2113"/>
      <c r="AB71" s="1190"/>
      <c r="AC71" s="2116" t="s">
        <v>2391</v>
      </c>
      <c r="AD71" s="2117"/>
      <c r="AE71" s="2117"/>
      <c r="AF71" s="2110"/>
      <c r="AG71" s="2110"/>
      <c r="AH71" s="2110"/>
      <c r="AI71" s="2110"/>
      <c r="AJ71" s="2110"/>
      <c r="AK71" s="2110"/>
      <c r="AL71" s="2110"/>
      <c r="AM71" s="2110"/>
      <c r="AN71" s="2110"/>
      <c r="AO71" s="2110"/>
      <c r="AP71" s="2110"/>
      <c r="AQ71" s="2110"/>
      <c r="AR71" s="2110"/>
      <c r="AS71" s="2110"/>
      <c r="AT71" s="2110"/>
      <c r="AU71" s="2111"/>
      <c r="AV71" s="1190"/>
      <c r="AW71" s="1190"/>
      <c r="AX71" s="1190"/>
      <c r="AY71" s="1190"/>
      <c r="AZ71" s="1190"/>
      <c r="BA71" s="1190"/>
      <c r="BB71" s="1190"/>
      <c r="BC71" s="1190"/>
      <c r="BD71" s="1190"/>
      <c r="BE71" s="1194"/>
      <c r="BM71" s="1187" t="s">
        <v>2390</v>
      </c>
    </row>
    <row r="72" spans="1:94" ht="15.75" customHeight="1">
      <c r="A72" s="1190"/>
      <c r="B72" s="2053" t="s">
        <v>2389</v>
      </c>
      <c r="C72" s="2054"/>
      <c r="D72" s="2054"/>
      <c r="E72" s="2054"/>
      <c r="F72" s="2054"/>
      <c r="G72" s="2054"/>
      <c r="H72" s="2054"/>
      <c r="I72" s="2054"/>
      <c r="J72" s="2054"/>
      <c r="K72" s="2054"/>
      <c r="L72" s="2054"/>
      <c r="M72" s="2054"/>
      <c r="N72" s="2054"/>
      <c r="O72" s="2112">
        <v>0</v>
      </c>
      <c r="P72" s="2112"/>
      <c r="Q72" s="2112"/>
      <c r="R72" s="2112"/>
      <c r="S72" s="2112"/>
      <c r="T72" s="2112"/>
      <c r="U72" s="2112"/>
      <c r="V72" s="2112"/>
      <c r="W72" s="2112"/>
      <c r="X72" s="2112"/>
      <c r="Y72" s="2112"/>
      <c r="Z72" s="2112"/>
      <c r="AA72" s="2113"/>
      <c r="AB72" s="1190"/>
      <c r="AC72" s="2136" t="s">
        <v>2388</v>
      </c>
      <c r="AD72" s="2137"/>
      <c r="AE72" s="2137"/>
      <c r="AF72" s="2137"/>
      <c r="AG72" s="2137"/>
      <c r="AH72" s="2137"/>
      <c r="AI72" s="2137"/>
      <c r="AJ72" s="2137"/>
      <c r="AK72" s="2137"/>
      <c r="AL72" s="2137"/>
      <c r="AM72" s="2137"/>
      <c r="AN72" s="2137"/>
      <c r="AO72" s="2137"/>
      <c r="AP72" s="2137"/>
      <c r="AQ72" s="2137"/>
      <c r="AR72" s="2137"/>
      <c r="AS72" s="2137"/>
      <c r="AT72" s="2137"/>
      <c r="AU72" s="2137"/>
      <c r="AV72" s="2070"/>
      <c r="AW72" s="2070"/>
      <c r="AX72" s="2070"/>
      <c r="AY72" s="2070"/>
      <c r="AZ72" s="2070"/>
      <c r="BA72" s="2070"/>
      <c r="BB72" s="2070"/>
      <c r="BC72" s="2071"/>
      <c r="BD72" s="1190"/>
      <c r="BE72" s="1194"/>
    </row>
    <row r="73" spans="1:94" ht="15.75" customHeight="1">
      <c r="A73" s="1190"/>
      <c r="B73" s="2057" t="s">
        <v>2387</v>
      </c>
      <c r="C73" s="2058"/>
      <c r="D73" s="2058"/>
      <c r="E73" s="2058"/>
      <c r="F73" s="2058"/>
      <c r="G73" s="2058"/>
      <c r="H73" s="2058"/>
      <c r="I73" s="2058"/>
      <c r="J73" s="2058"/>
      <c r="K73" s="2058"/>
      <c r="L73" s="2058"/>
      <c r="M73" s="2058"/>
      <c r="N73" s="2058"/>
      <c r="O73" s="2112">
        <v>0</v>
      </c>
      <c r="P73" s="2112"/>
      <c r="Q73" s="2112"/>
      <c r="R73" s="2112"/>
      <c r="S73" s="2112"/>
      <c r="T73" s="2112"/>
      <c r="U73" s="2112"/>
      <c r="V73" s="2112"/>
      <c r="W73" s="2112"/>
      <c r="X73" s="2112"/>
      <c r="Y73" s="2112"/>
      <c r="Z73" s="2112"/>
      <c r="AA73" s="2113"/>
      <c r="AB73" s="1190"/>
      <c r="AC73" s="2138" t="s">
        <v>2332</v>
      </c>
      <c r="AD73" s="2139"/>
      <c r="AE73" s="2139"/>
      <c r="AF73" s="2139"/>
      <c r="AG73" s="2139"/>
      <c r="AH73" s="2139"/>
      <c r="AI73" s="2139"/>
      <c r="AJ73" s="2139"/>
      <c r="AK73" s="2139"/>
      <c r="AL73" s="2139"/>
      <c r="AM73" s="2139"/>
      <c r="AN73" s="2139"/>
      <c r="AO73" s="2139"/>
      <c r="AP73" s="2139"/>
      <c r="AQ73" s="2139"/>
      <c r="AR73" s="2139"/>
      <c r="AS73" s="2139"/>
      <c r="AT73" s="2139"/>
      <c r="AU73" s="2139"/>
      <c r="AV73" s="2139"/>
      <c r="AW73" s="2139"/>
      <c r="AX73" s="2139"/>
      <c r="AY73" s="2139"/>
      <c r="AZ73" s="2139"/>
      <c r="BA73" s="2139"/>
      <c r="BB73" s="2139"/>
      <c r="BC73" s="2140"/>
      <c r="BD73" s="1190"/>
      <c r="BE73" s="1194"/>
      <c r="CK73" s="1188"/>
      <c r="CL73" s="1188"/>
      <c r="CM73" s="1188"/>
      <c r="CN73" s="1188"/>
      <c r="CO73" s="1188"/>
      <c r="CP73" s="1188"/>
    </row>
    <row r="74" spans="1:94" ht="15.75" customHeight="1">
      <c r="A74" s="1190"/>
      <c r="B74" s="2144"/>
      <c r="C74" s="2076"/>
      <c r="D74" s="2076"/>
      <c r="E74" s="2076"/>
      <c r="F74" s="2076"/>
      <c r="G74" s="2076"/>
      <c r="H74" s="2076"/>
      <c r="I74" s="2076"/>
      <c r="J74" s="2076"/>
      <c r="K74" s="2076"/>
      <c r="L74" s="2076"/>
      <c r="M74" s="2076"/>
      <c r="N74" s="2076"/>
      <c r="O74" s="2112"/>
      <c r="P74" s="2112"/>
      <c r="Q74" s="2112"/>
      <c r="R74" s="2112"/>
      <c r="S74" s="2112"/>
      <c r="T74" s="2112"/>
      <c r="U74" s="2112"/>
      <c r="V74" s="2112"/>
      <c r="W74" s="2112"/>
      <c r="X74" s="2112"/>
      <c r="Y74" s="2112"/>
      <c r="Z74" s="2112"/>
      <c r="AA74" s="2113"/>
      <c r="AB74" s="1190"/>
      <c r="AC74" s="2138"/>
      <c r="AD74" s="2139"/>
      <c r="AE74" s="2139"/>
      <c r="AF74" s="2139"/>
      <c r="AG74" s="2139"/>
      <c r="AH74" s="2139"/>
      <c r="AI74" s="2139"/>
      <c r="AJ74" s="2139"/>
      <c r="AK74" s="2139"/>
      <c r="AL74" s="2139"/>
      <c r="AM74" s="2139"/>
      <c r="AN74" s="2139"/>
      <c r="AO74" s="2139"/>
      <c r="AP74" s="2139"/>
      <c r="AQ74" s="2139"/>
      <c r="AR74" s="2139"/>
      <c r="AS74" s="2139"/>
      <c r="AT74" s="2139"/>
      <c r="AU74" s="2139"/>
      <c r="AV74" s="2139"/>
      <c r="AW74" s="2139"/>
      <c r="AX74" s="2139"/>
      <c r="AY74" s="2139"/>
      <c r="AZ74" s="2139"/>
      <c r="BA74" s="2139"/>
      <c r="BB74" s="2139"/>
      <c r="BC74" s="2140"/>
      <c r="BD74" s="1190"/>
      <c r="BE74" s="1194"/>
      <c r="CK74" s="1188"/>
      <c r="CL74" s="1188"/>
      <c r="CM74" s="1188"/>
      <c r="CN74" s="1188"/>
      <c r="CO74" s="1188"/>
      <c r="CP74" s="1188"/>
    </row>
    <row r="75" spans="1:94" ht="15.75" customHeight="1" thickBot="1">
      <c r="A75" s="1190"/>
      <c r="B75" s="2145" t="s">
        <v>124</v>
      </c>
      <c r="C75" s="2146"/>
      <c r="D75" s="2146"/>
      <c r="E75" s="2146"/>
      <c r="F75" s="2146"/>
      <c r="G75" s="2146"/>
      <c r="H75" s="2146"/>
      <c r="I75" s="2146"/>
      <c r="J75" s="2146"/>
      <c r="K75" s="2146"/>
      <c r="L75" s="2146"/>
      <c r="M75" s="2146"/>
      <c r="N75" s="2146"/>
      <c r="O75" s="2147">
        <f>SUM(O70:AA74)</f>
        <v>0</v>
      </c>
      <c r="P75" s="2147"/>
      <c r="Q75" s="2147"/>
      <c r="R75" s="2147"/>
      <c r="S75" s="2147"/>
      <c r="T75" s="2147"/>
      <c r="U75" s="2147"/>
      <c r="V75" s="2147"/>
      <c r="W75" s="2147"/>
      <c r="X75" s="2147"/>
      <c r="Y75" s="2147"/>
      <c r="Z75" s="2147"/>
      <c r="AA75" s="2148"/>
      <c r="AB75" s="1190"/>
      <c r="AC75" s="2138"/>
      <c r="AD75" s="2139"/>
      <c r="AE75" s="2139"/>
      <c r="AF75" s="2139"/>
      <c r="AG75" s="2139"/>
      <c r="AH75" s="2139"/>
      <c r="AI75" s="2139"/>
      <c r="AJ75" s="2139"/>
      <c r="AK75" s="2139"/>
      <c r="AL75" s="2139"/>
      <c r="AM75" s="2139"/>
      <c r="AN75" s="2139"/>
      <c r="AO75" s="2139"/>
      <c r="AP75" s="2139"/>
      <c r="AQ75" s="2139"/>
      <c r="AR75" s="2139"/>
      <c r="AS75" s="2139"/>
      <c r="AT75" s="2139"/>
      <c r="AU75" s="2139"/>
      <c r="AV75" s="2139"/>
      <c r="AW75" s="2139"/>
      <c r="AX75" s="2139"/>
      <c r="AY75" s="2139"/>
      <c r="AZ75" s="2139"/>
      <c r="BA75" s="2139"/>
      <c r="BB75" s="2139"/>
      <c r="BC75" s="214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138"/>
      <c r="AD76" s="2139"/>
      <c r="AE76" s="2139"/>
      <c r="AF76" s="2139"/>
      <c r="AG76" s="2139"/>
      <c r="AH76" s="2139"/>
      <c r="AI76" s="2139"/>
      <c r="AJ76" s="2139"/>
      <c r="AK76" s="2139"/>
      <c r="AL76" s="2139"/>
      <c r="AM76" s="2139"/>
      <c r="AN76" s="2139"/>
      <c r="AO76" s="2139"/>
      <c r="AP76" s="2139"/>
      <c r="AQ76" s="2139"/>
      <c r="AR76" s="2139"/>
      <c r="AS76" s="2139"/>
      <c r="AT76" s="2139"/>
      <c r="AU76" s="2139"/>
      <c r="AV76" s="2139"/>
      <c r="AW76" s="2139"/>
      <c r="AX76" s="2139"/>
      <c r="AY76" s="2139"/>
      <c r="AZ76" s="2139"/>
      <c r="BA76" s="2139"/>
      <c r="BB76" s="2139"/>
      <c r="BC76" s="214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141"/>
      <c r="AD77" s="2142"/>
      <c r="AE77" s="2142"/>
      <c r="AF77" s="2142"/>
      <c r="AG77" s="2142"/>
      <c r="AH77" s="2142"/>
      <c r="AI77" s="2142"/>
      <c r="AJ77" s="2142"/>
      <c r="AK77" s="2142"/>
      <c r="AL77" s="2142"/>
      <c r="AM77" s="2142"/>
      <c r="AN77" s="2142"/>
      <c r="AO77" s="2142"/>
      <c r="AP77" s="2142"/>
      <c r="AQ77" s="2142"/>
      <c r="AR77" s="2142"/>
      <c r="AS77" s="2142"/>
      <c r="AT77" s="2142"/>
      <c r="AU77" s="2142"/>
      <c r="AV77" s="2142"/>
      <c r="AW77" s="2142"/>
      <c r="AX77" s="2142"/>
      <c r="AY77" s="2142"/>
      <c r="AZ77" s="2142"/>
      <c r="BA77" s="2142"/>
      <c r="BB77" s="2142"/>
      <c r="BC77" s="2143"/>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20"/>
      <c r="G79" s="2121"/>
      <c r="H79" s="2121"/>
      <c r="I79" s="2121"/>
      <c r="J79" s="2121"/>
      <c r="K79" s="2121"/>
      <c r="L79" s="2121"/>
      <c r="M79" s="2121"/>
      <c r="N79" s="2121"/>
      <c r="O79" s="2121"/>
      <c r="P79" s="2121"/>
      <c r="Q79" s="2121"/>
      <c r="R79" s="2121"/>
      <c r="S79" s="2121"/>
      <c r="T79" s="212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23" t="s">
        <v>2385</v>
      </c>
      <c r="C80" s="2124"/>
      <c r="D80" s="2124"/>
      <c r="E80" s="2124"/>
      <c r="F80" s="2124"/>
      <c r="G80" s="2124"/>
      <c r="H80" s="2124"/>
      <c r="I80" s="2124"/>
      <c r="J80" s="2124"/>
      <c r="K80" s="2124"/>
      <c r="L80" s="2124"/>
      <c r="M80" s="2124"/>
      <c r="N80" s="2124"/>
      <c r="O80" s="2124"/>
      <c r="P80" s="2124"/>
      <c r="Q80" s="2124"/>
      <c r="R80" s="2125" t="str">
        <f>IFERROR(INDEX(BR96:BR98,MATCH(F79,$BQ$96:$BQ$98,0))/SUM($BR$96:$BR$98),"")</f>
        <v/>
      </c>
      <c r="S80" s="2126"/>
      <c r="T80" s="212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28" t="s">
        <v>2384</v>
      </c>
      <c r="C81" s="2129"/>
      <c r="D81" s="2129"/>
      <c r="E81" s="2129"/>
      <c r="F81" s="2129"/>
      <c r="G81" s="2129"/>
      <c r="H81" s="2129"/>
      <c r="I81" s="2129"/>
      <c r="J81" s="2129"/>
      <c r="K81" s="2129"/>
      <c r="L81" s="2129"/>
      <c r="M81" s="2129"/>
      <c r="N81" s="2129"/>
      <c r="O81" s="2129"/>
      <c r="P81" s="2129"/>
      <c r="Q81" s="2129"/>
      <c r="R81" s="2130" t="s">
        <v>2190</v>
      </c>
      <c r="S81" s="2131"/>
      <c r="T81" s="213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33" t="s">
        <v>2383</v>
      </c>
      <c r="C83" s="2134"/>
      <c r="D83" s="2134"/>
      <c r="E83" s="2134"/>
      <c r="F83" s="2134"/>
      <c r="G83" s="2134"/>
      <c r="H83" s="2134"/>
      <c r="I83" s="2134"/>
      <c r="J83" s="2134"/>
      <c r="K83" s="2134"/>
      <c r="L83" s="2134"/>
      <c r="M83" s="2134"/>
      <c r="N83" s="2134"/>
      <c r="O83" s="2134"/>
      <c r="P83" s="2134"/>
      <c r="Q83" s="2134"/>
      <c r="R83" s="2134"/>
      <c r="S83" s="2134"/>
      <c r="T83" s="2134"/>
      <c r="U83" s="2134"/>
      <c r="V83" s="2134"/>
      <c r="W83" s="2134"/>
      <c r="X83" s="2134"/>
      <c r="Y83" s="2134"/>
      <c r="Z83" s="2134"/>
      <c r="AA83" s="2134"/>
      <c r="AB83" s="2134"/>
      <c r="AC83" s="2134"/>
      <c r="AD83" s="2134"/>
      <c r="AE83" s="2134"/>
      <c r="AF83" s="2134"/>
      <c r="AG83" s="2134"/>
      <c r="AH83" s="2135"/>
      <c r="AI83" s="1190"/>
      <c r="AJ83" s="2151" t="s">
        <v>2382</v>
      </c>
      <c r="AK83" s="2152"/>
      <c r="AL83" s="2152"/>
      <c r="AM83" s="2152"/>
      <c r="AN83" s="2152"/>
      <c r="AO83" s="2152"/>
      <c r="AP83" s="2152"/>
      <c r="AQ83" s="2152"/>
      <c r="AR83" s="2152"/>
      <c r="AS83" s="2152"/>
      <c r="AT83" s="2152"/>
      <c r="AU83" s="2152"/>
      <c r="AV83" s="2152"/>
      <c r="AW83" s="2152"/>
      <c r="AX83" s="2152"/>
      <c r="AY83" s="2155" t="s">
        <v>546</v>
      </c>
      <c r="AZ83" s="2155"/>
      <c r="BA83" s="2155"/>
      <c r="BB83" s="2156"/>
      <c r="BC83" s="1190"/>
      <c r="BD83" s="1190"/>
      <c r="BE83" s="1194"/>
      <c r="CK83" s="1188"/>
      <c r="CL83" s="1188"/>
      <c r="CM83" s="1188"/>
      <c r="CN83" s="1188"/>
      <c r="CO83" s="1188"/>
      <c r="CP83" s="1188"/>
    </row>
    <row r="84" spans="1:94" ht="15.75" customHeight="1">
      <c r="A84" s="1190"/>
      <c r="B84" s="2072"/>
      <c r="C84" s="2073"/>
      <c r="D84" s="2073"/>
      <c r="E84" s="2073"/>
      <c r="F84" s="2073"/>
      <c r="G84" s="2073"/>
      <c r="H84" s="2073"/>
      <c r="I84" s="2073" t="s">
        <v>2372</v>
      </c>
      <c r="J84" s="2073"/>
      <c r="K84" s="2073"/>
      <c r="L84" s="2073"/>
      <c r="M84" s="2073"/>
      <c r="N84" s="2073"/>
      <c r="O84" s="2073" t="s">
        <v>2348</v>
      </c>
      <c r="P84" s="2073"/>
      <c r="Q84" s="2073"/>
      <c r="R84" s="2073"/>
      <c r="S84" s="2073"/>
      <c r="T84" s="2073"/>
      <c r="U84" s="2073"/>
      <c r="V84" s="2159" t="s">
        <v>2347</v>
      </c>
      <c r="W84" s="2159"/>
      <c r="X84" s="2159"/>
      <c r="Y84" s="2159"/>
      <c r="Z84" s="2159"/>
      <c r="AA84" s="2159"/>
      <c r="AB84" s="2160" t="s">
        <v>2371</v>
      </c>
      <c r="AC84" s="2160"/>
      <c r="AD84" s="2160"/>
      <c r="AE84" s="2160"/>
      <c r="AF84" s="2160"/>
      <c r="AG84" s="2160"/>
      <c r="AH84" s="2161"/>
      <c r="AI84" s="1190"/>
      <c r="AJ84" s="2153"/>
      <c r="AK84" s="2154"/>
      <c r="AL84" s="2154"/>
      <c r="AM84" s="2154"/>
      <c r="AN84" s="2154"/>
      <c r="AO84" s="2154"/>
      <c r="AP84" s="2154"/>
      <c r="AQ84" s="2154"/>
      <c r="AR84" s="2154"/>
      <c r="AS84" s="2154"/>
      <c r="AT84" s="2154"/>
      <c r="AU84" s="2154"/>
      <c r="AV84" s="2154"/>
      <c r="AW84" s="2154"/>
      <c r="AX84" s="2154"/>
      <c r="AY84" s="2157"/>
      <c r="AZ84" s="2157"/>
      <c r="BA84" s="2157"/>
      <c r="BB84" s="2158"/>
      <c r="BC84" s="1190"/>
      <c r="BD84" s="1190"/>
      <c r="BE84" s="1194"/>
      <c r="CK84" s="1188"/>
      <c r="CL84" s="1188"/>
      <c r="CM84" s="1188"/>
      <c r="CN84" s="1188"/>
      <c r="CO84" s="1188"/>
      <c r="CP84" s="1188"/>
    </row>
    <row r="85" spans="1:94" ht="15.75" customHeight="1">
      <c r="A85" s="1190"/>
      <c r="B85" s="2072"/>
      <c r="C85" s="2073"/>
      <c r="D85" s="2073"/>
      <c r="E85" s="2073"/>
      <c r="F85" s="2073"/>
      <c r="G85" s="2073"/>
      <c r="H85" s="2073"/>
      <c r="I85" s="2073"/>
      <c r="J85" s="2073"/>
      <c r="K85" s="2073"/>
      <c r="L85" s="2073"/>
      <c r="M85" s="2073"/>
      <c r="N85" s="2073"/>
      <c r="O85" s="2073"/>
      <c r="P85" s="2073"/>
      <c r="Q85" s="2073"/>
      <c r="R85" s="2073"/>
      <c r="S85" s="2073"/>
      <c r="T85" s="2073"/>
      <c r="U85" s="2073"/>
      <c r="V85" s="2159"/>
      <c r="W85" s="2159"/>
      <c r="X85" s="2159"/>
      <c r="Y85" s="2159"/>
      <c r="Z85" s="2159"/>
      <c r="AA85" s="2159"/>
      <c r="AB85" s="2160"/>
      <c r="AC85" s="2160"/>
      <c r="AD85" s="2160"/>
      <c r="AE85" s="2160"/>
      <c r="AF85" s="2160"/>
      <c r="AG85" s="2160"/>
      <c r="AH85" s="2161"/>
      <c r="AI85" s="1190"/>
      <c r="AJ85" s="2153"/>
      <c r="AK85" s="2154"/>
      <c r="AL85" s="2154"/>
      <c r="AM85" s="2154"/>
      <c r="AN85" s="2154"/>
      <c r="AO85" s="2154"/>
      <c r="AP85" s="2154"/>
      <c r="AQ85" s="2154"/>
      <c r="AR85" s="2154"/>
      <c r="AS85" s="2154"/>
      <c r="AT85" s="2154"/>
      <c r="AU85" s="2154"/>
      <c r="AV85" s="2154"/>
      <c r="AW85" s="2154"/>
      <c r="AX85" s="2154"/>
      <c r="AY85" s="2157"/>
      <c r="AZ85" s="2157"/>
      <c r="BA85" s="2157"/>
      <c r="BB85" s="2158"/>
      <c r="BC85" s="1190"/>
      <c r="BD85" s="1190"/>
      <c r="BE85" s="1194"/>
      <c r="CK85" s="1188"/>
      <c r="CL85" s="1188"/>
      <c r="CM85" s="1188"/>
      <c r="CN85" s="1188"/>
      <c r="CO85" s="1188"/>
      <c r="CP85" s="1188"/>
    </row>
    <row r="86" spans="1:94" ht="15.75" customHeight="1">
      <c r="A86" s="1190"/>
      <c r="B86" s="2072" t="s">
        <v>2370</v>
      </c>
      <c r="C86" s="2073"/>
      <c r="D86" s="2073"/>
      <c r="E86" s="2073"/>
      <c r="F86" s="2073"/>
      <c r="G86" s="2073"/>
      <c r="H86" s="2073"/>
      <c r="I86" s="2149">
        <v>0</v>
      </c>
      <c r="J86" s="2149"/>
      <c r="K86" s="2149"/>
      <c r="L86" s="2149"/>
      <c r="M86" s="2149"/>
      <c r="N86" s="2149"/>
      <c r="O86" s="2149">
        <v>0</v>
      </c>
      <c r="P86" s="2149"/>
      <c r="Q86" s="2149"/>
      <c r="R86" s="2149"/>
      <c r="S86" s="2149"/>
      <c r="T86" s="2149"/>
      <c r="U86" s="2149"/>
      <c r="V86" s="2149">
        <v>0</v>
      </c>
      <c r="W86" s="2149"/>
      <c r="X86" s="2149"/>
      <c r="Y86" s="2149"/>
      <c r="Z86" s="2149"/>
      <c r="AA86" s="2149"/>
      <c r="AB86" s="2149">
        <v>0</v>
      </c>
      <c r="AC86" s="2149"/>
      <c r="AD86" s="2149"/>
      <c r="AE86" s="2149"/>
      <c r="AF86" s="2149"/>
      <c r="AG86" s="2149"/>
      <c r="AH86" s="2150"/>
      <c r="AI86" s="1190"/>
      <c r="AJ86" s="2153"/>
      <c r="AK86" s="2154"/>
      <c r="AL86" s="2154"/>
      <c r="AM86" s="2154"/>
      <c r="AN86" s="2154"/>
      <c r="AO86" s="2154"/>
      <c r="AP86" s="2154"/>
      <c r="AQ86" s="2154"/>
      <c r="AR86" s="2154"/>
      <c r="AS86" s="2154"/>
      <c r="AT86" s="2154"/>
      <c r="AU86" s="2154"/>
      <c r="AV86" s="2154"/>
      <c r="AW86" s="2154"/>
      <c r="AX86" s="2154"/>
      <c r="AY86" s="2157"/>
      <c r="AZ86" s="2157"/>
      <c r="BA86" s="2157"/>
      <c r="BB86" s="2158"/>
      <c r="BC86" s="1190"/>
      <c r="BD86" s="1190"/>
      <c r="BE86" s="1194"/>
      <c r="CK86" s="1188"/>
      <c r="CL86" s="1188"/>
      <c r="CM86" s="1188"/>
      <c r="CN86" s="1188"/>
      <c r="CO86" s="1188"/>
      <c r="CP86" s="1188"/>
    </row>
    <row r="87" spans="1:94" ht="15.75" customHeight="1">
      <c r="A87" s="1190"/>
      <c r="B87" s="2072" t="s">
        <v>2369</v>
      </c>
      <c r="C87" s="2073"/>
      <c r="D87" s="2073"/>
      <c r="E87" s="2073"/>
      <c r="F87" s="2073"/>
      <c r="G87" s="2073"/>
      <c r="H87" s="2073"/>
      <c r="I87" s="2149">
        <v>0</v>
      </c>
      <c r="J87" s="2149"/>
      <c r="K87" s="2149"/>
      <c r="L87" s="2149"/>
      <c r="M87" s="2149"/>
      <c r="N87" s="2149"/>
      <c r="O87" s="2149">
        <v>0</v>
      </c>
      <c r="P87" s="2149"/>
      <c r="Q87" s="2149"/>
      <c r="R87" s="2149"/>
      <c r="S87" s="2149"/>
      <c r="T87" s="2149"/>
      <c r="U87" s="2149"/>
      <c r="V87" s="2149">
        <v>0</v>
      </c>
      <c r="W87" s="2149"/>
      <c r="X87" s="2149"/>
      <c r="Y87" s="2149"/>
      <c r="Z87" s="2149"/>
      <c r="AA87" s="2149"/>
      <c r="AB87" s="2149">
        <v>0</v>
      </c>
      <c r="AC87" s="2149"/>
      <c r="AD87" s="2149"/>
      <c r="AE87" s="2149"/>
      <c r="AF87" s="2149"/>
      <c r="AG87" s="2149"/>
      <c r="AH87" s="2150"/>
      <c r="AI87" s="1190"/>
      <c r="AJ87" s="2138" t="s">
        <v>2376</v>
      </c>
      <c r="AK87" s="2139"/>
      <c r="AL87" s="2139"/>
      <c r="AM87" s="2139"/>
      <c r="AN87" s="2139"/>
      <c r="AO87" s="2139"/>
      <c r="AP87" s="2139"/>
      <c r="AQ87" s="2139"/>
      <c r="AR87" s="2139"/>
      <c r="AS87" s="2139"/>
      <c r="AT87" s="2139"/>
      <c r="AU87" s="2139"/>
      <c r="AV87" s="2139"/>
      <c r="AW87" s="2139"/>
      <c r="AX87" s="2139"/>
      <c r="AY87" s="2139"/>
      <c r="AZ87" s="2139"/>
      <c r="BA87" s="2139"/>
      <c r="BB87" s="2140"/>
      <c r="BC87" s="1190"/>
      <c r="BD87" s="1190"/>
      <c r="BE87" s="1194"/>
      <c r="CK87" s="1188"/>
      <c r="CL87" s="1188"/>
      <c r="CM87" s="1188"/>
      <c r="CN87" s="1188"/>
      <c r="CO87" s="1188"/>
      <c r="CP87" s="1188"/>
    </row>
    <row r="88" spans="1:94" ht="15.75" customHeight="1" thickBot="1">
      <c r="A88" s="1190"/>
      <c r="B88" s="2090" t="s">
        <v>2368</v>
      </c>
      <c r="C88" s="2091"/>
      <c r="D88" s="2091"/>
      <c r="E88" s="2091"/>
      <c r="F88" s="2091"/>
      <c r="G88" s="2091"/>
      <c r="H88" s="2091"/>
      <c r="I88" s="2164">
        <v>0</v>
      </c>
      <c r="J88" s="2164"/>
      <c r="K88" s="2164"/>
      <c r="L88" s="2164"/>
      <c r="M88" s="2164"/>
      <c r="N88" s="2164"/>
      <c r="O88" s="2164">
        <v>0</v>
      </c>
      <c r="P88" s="2164"/>
      <c r="Q88" s="2164"/>
      <c r="R88" s="2164"/>
      <c r="S88" s="2164"/>
      <c r="T88" s="2164"/>
      <c r="U88" s="2164"/>
      <c r="V88" s="2164">
        <v>0</v>
      </c>
      <c r="W88" s="2164"/>
      <c r="X88" s="2164"/>
      <c r="Y88" s="2164"/>
      <c r="Z88" s="2164"/>
      <c r="AA88" s="2164"/>
      <c r="AB88" s="2164">
        <v>0</v>
      </c>
      <c r="AC88" s="2164"/>
      <c r="AD88" s="2164"/>
      <c r="AE88" s="2164"/>
      <c r="AF88" s="2164"/>
      <c r="AG88" s="2164"/>
      <c r="AH88" s="2165"/>
      <c r="AI88" s="1190"/>
      <c r="AJ88" s="2141"/>
      <c r="AK88" s="2142"/>
      <c r="AL88" s="2142"/>
      <c r="AM88" s="2142"/>
      <c r="AN88" s="2142"/>
      <c r="AO88" s="2142"/>
      <c r="AP88" s="2142"/>
      <c r="AQ88" s="2142"/>
      <c r="AR88" s="2142"/>
      <c r="AS88" s="2142"/>
      <c r="AT88" s="2142"/>
      <c r="AU88" s="2142"/>
      <c r="AV88" s="2142"/>
      <c r="AW88" s="2142"/>
      <c r="AX88" s="2142"/>
      <c r="AY88" s="2142"/>
      <c r="AZ88" s="2142"/>
      <c r="BA88" s="2142"/>
      <c r="BB88" s="214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20"/>
      <c r="G92" s="2121"/>
      <c r="H92" s="2121"/>
      <c r="I92" s="2121"/>
      <c r="J92" s="2121"/>
      <c r="K92" s="2121"/>
      <c r="L92" s="2121"/>
      <c r="M92" s="2121"/>
      <c r="N92" s="2121"/>
      <c r="O92" s="2121"/>
      <c r="P92" s="2121"/>
      <c r="Q92" s="2121"/>
      <c r="R92" s="2121"/>
      <c r="S92" s="2121"/>
      <c r="T92" s="212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23" t="s">
        <v>2380</v>
      </c>
      <c r="C93" s="2124"/>
      <c r="D93" s="2124"/>
      <c r="E93" s="2124"/>
      <c r="F93" s="2124"/>
      <c r="G93" s="2124"/>
      <c r="H93" s="2124"/>
      <c r="I93" s="2124"/>
      <c r="J93" s="2124"/>
      <c r="K93" s="2124"/>
      <c r="L93" s="2124"/>
      <c r="M93" s="2124"/>
      <c r="N93" s="2124"/>
      <c r="O93" s="2124"/>
      <c r="P93" s="2124"/>
      <c r="Q93" s="2162"/>
      <c r="R93" s="2125" t="str">
        <f>IFERROR(INDEX(BR96:BR98,MATCH(F92,$BQ$96:$BQ$98,0))/SUM($BR$96:$BR$98),"")</f>
        <v/>
      </c>
      <c r="S93" s="2126"/>
      <c r="T93" s="212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28" t="s">
        <v>2379</v>
      </c>
      <c r="C94" s="2129"/>
      <c r="D94" s="2129"/>
      <c r="E94" s="2129"/>
      <c r="F94" s="2129"/>
      <c r="G94" s="2129"/>
      <c r="H94" s="2129"/>
      <c r="I94" s="2129"/>
      <c r="J94" s="2129"/>
      <c r="K94" s="2129"/>
      <c r="L94" s="2129"/>
      <c r="M94" s="2129"/>
      <c r="N94" s="2129"/>
      <c r="O94" s="2129"/>
      <c r="P94" s="2129"/>
      <c r="Q94" s="2163"/>
      <c r="R94" s="2130" t="s">
        <v>2190</v>
      </c>
      <c r="S94" s="2131"/>
      <c r="T94" s="213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33" t="s">
        <v>2378</v>
      </c>
      <c r="C96" s="2134"/>
      <c r="D96" s="2134"/>
      <c r="E96" s="2134"/>
      <c r="F96" s="2134"/>
      <c r="G96" s="2134"/>
      <c r="H96" s="2134"/>
      <c r="I96" s="2134"/>
      <c r="J96" s="2134"/>
      <c r="K96" s="2134"/>
      <c r="L96" s="2134"/>
      <c r="M96" s="2134"/>
      <c r="N96" s="2134"/>
      <c r="O96" s="2134"/>
      <c r="P96" s="2134"/>
      <c r="Q96" s="2134"/>
      <c r="R96" s="2134"/>
      <c r="S96" s="2134"/>
      <c r="T96" s="2134"/>
      <c r="U96" s="2134"/>
      <c r="V96" s="2134"/>
      <c r="W96" s="2134"/>
      <c r="X96" s="2134"/>
      <c r="Y96" s="2134"/>
      <c r="Z96" s="2134"/>
      <c r="AA96" s="2134"/>
      <c r="AB96" s="2134"/>
      <c r="AC96" s="2134"/>
      <c r="AD96" s="2134"/>
      <c r="AE96" s="2134"/>
      <c r="AF96" s="2134"/>
      <c r="AG96" s="2134"/>
      <c r="AH96" s="2135"/>
      <c r="AI96" s="1190"/>
      <c r="AJ96" s="2151" t="s">
        <v>2377</v>
      </c>
      <c r="AK96" s="2152"/>
      <c r="AL96" s="2152"/>
      <c r="AM96" s="2152"/>
      <c r="AN96" s="2152"/>
      <c r="AO96" s="2152"/>
      <c r="AP96" s="2152"/>
      <c r="AQ96" s="2152"/>
      <c r="AR96" s="2152"/>
      <c r="AS96" s="2152"/>
      <c r="AT96" s="2152"/>
      <c r="AU96" s="2152"/>
      <c r="AV96" s="2152"/>
      <c r="AW96" s="2152"/>
      <c r="AX96" s="2152"/>
      <c r="AY96" s="2155" t="s">
        <v>546</v>
      </c>
      <c r="AZ96" s="2155"/>
      <c r="BA96" s="2155"/>
      <c r="BB96" s="2156"/>
      <c r="BC96" s="1190"/>
      <c r="BD96" s="1190"/>
      <c r="BE96" s="1194"/>
      <c r="BQ96" s="1256" t="str">
        <f>Application!M243&amp;IF(TRIM(Application!AA249)&lt;&gt;""," ("&amp;Application!AA249&amp;")","")</f>
        <v>Community Revitalization and Development Corporation</v>
      </c>
      <c r="BR96" s="1259">
        <f>Application!AH246</f>
        <v>0.01</v>
      </c>
      <c r="CM96" s="1188"/>
      <c r="CN96" s="1188"/>
      <c r="CO96" s="1188"/>
      <c r="CP96" s="1188"/>
    </row>
    <row r="97" spans="1:94" ht="15.75" customHeight="1">
      <c r="A97" s="1190"/>
      <c r="B97" s="2072"/>
      <c r="C97" s="2073"/>
      <c r="D97" s="2073"/>
      <c r="E97" s="2073"/>
      <c r="F97" s="2073"/>
      <c r="G97" s="2073"/>
      <c r="H97" s="2073"/>
      <c r="I97" s="2073" t="s">
        <v>2372</v>
      </c>
      <c r="J97" s="2073"/>
      <c r="K97" s="2073"/>
      <c r="L97" s="2073"/>
      <c r="M97" s="2073"/>
      <c r="N97" s="2073"/>
      <c r="O97" s="2073" t="s">
        <v>2348</v>
      </c>
      <c r="P97" s="2073"/>
      <c r="Q97" s="2073"/>
      <c r="R97" s="2073"/>
      <c r="S97" s="2073"/>
      <c r="T97" s="2073"/>
      <c r="U97" s="2073"/>
      <c r="V97" s="2159" t="s">
        <v>2347</v>
      </c>
      <c r="W97" s="2159"/>
      <c r="X97" s="2159"/>
      <c r="Y97" s="2159"/>
      <c r="Z97" s="2159"/>
      <c r="AA97" s="2159"/>
      <c r="AB97" s="2160" t="s">
        <v>2371</v>
      </c>
      <c r="AC97" s="2160"/>
      <c r="AD97" s="2160"/>
      <c r="AE97" s="2160"/>
      <c r="AF97" s="2160"/>
      <c r="AG97" s="2160"/>
      <c r="AH97" s="2161"/>
      <c r="AI97" s="1190"/>
      <c r="AJ97" s="2153"/>
      <c r="AK97" s="2154"/>
      <c r="AL97" s="2154"/>
      <c r="AM97" s="2154"/>
      <c r="AN97" s="2154"/>
      <c r="AO97" s="2154"/>
      <c r="AP97" s="2154"/>
      <c r="AQ97" s="2154"/>
      <c r="AR97" s="2154"/>
      <c r="AS97" s="2154"/>
      <c r="AT97" s="2154"/>
      <c r="AU97" s="2154"/>
      <c r="AV97" s="2154"/>
      <c r="AW97" s="2154"/>
      <c r="AX97" s="2154"/>
      <c r="AY97" s="2157"/>
      <c r="AZ97" s="2157"/>
      <c r="BA97" s="2157"/>
      <c r="BB97" s="2158"/>
      <c r="BC97" s="1190"/>
      <c r="BD97" s="1190"/>
      <c r="BE97" s="1194"/>
      <c r="BQ97" s="1256" t="str">
        <f>Application!M251&amp;IF(TRIM(Application!AA257)&lt;&gt;""," ("&amp;Application!AA257&amp;")","")</f>
        <v>Santa Maria North Broadway LLC (Johnson &amp; Johnson Investments, LLC)</v>
      </c>
      <c r="BR97" s="1259">
        <f>Application!AH254</f>
        <v>0.09</v>
      </c>
      <c r="CM97" s="1188"/>
      <c r="CN97" s="1188"/>
      <c r="CO97" s="1188"/>
      <c r="CP97" s="1188"/>
    </row>
    <row r="98" spans="1:94" ht="15.75" customHeight="1">
      <c r="A98" s="1190"/>
      <c r="B98" s="2072"/>
      <c r="C98" s="2073"/>
      <c r="D98" s="2073"/>
      <c r="E98" s="2073"/>
      <c r="F98" s="2073"/>
      <c r="G98" s="2073"/>
      <c r="H98" s="2073"/>
      <c r="I98" s="2073"/>
      <c r="J98" s="2073"/>
      <c r="K98" s="2073"/>
      <c r="L98" s="2073"/>
      <c r="M98" s="2073"/>
      <c r="N98" s="2073"/>
      <c r="O98" s="2073"/>
      <c r="P98" s="2073"/>
      <c r="Q98" s="2073"/>
      <c r="R98" s="2073"/>
      <c r="S98" s="2073"/>
      <c r="T98" s="2073"/>
      <c r="U98" s="2073"/>
      <c r="V98" s="2159"/>
      <c r="W98" s="2159"/>
      <c r="X98" s="2159"/>
      <c r="Y98" s="2159"/>
      <c r="Z98" s="2159"/>
      <c r="AA98" s="2159"/>
      <c r="AB98" s="2160"/>
      <c r="AC98" s="2160"/>
      <c r="AD98" s="2160"/>
      <c r="AE98" s="2160"/>
      <c r="AF98" s="2160"/>
      <c r="AG98" s="2160"/>
      <c r="AH98" s="2161"/>
      <c r="AI98" s="1190"/>
      <c r="AJ98" s="2153"/>
      <c r="AK98" s="2154"/>
      <c r="AL98" s="2154"/>
      <c r="AM98" s="2154"/>
      <c r="AN98" s="2154"/>
      <c r="AO98" s="2154"/>
      <c r="AP98" s="2154"/>
      <c r="AQ98" s="2154"/>
      <c r="AR98" s="2154"/>
      <c r="AS98" s="2154"/>
      <c r="AT98" s="2154"/>
      <c r="AU98" s="2154"/>
      <c r="AV98" s="2154"/>
      <c r="AW98" s="2154"/>
      <c r="AX98" s="2154"/>
      <c r="AY98" s="2157"/>
      <c r="AZ98" s="2157"/>
      <c r="BA98" s="2157"/>
      <c r="BB98" s="215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72" t="s">
        <v>2370</v>
      </c>
      <c r="C99" s="2073"/>
      <c r="D99" s="2073"/>
      <c r="E99" s="2073"/>
      <c r="F99" s="2073"/>
      <c r="G99" s="2073"/>
      <c r="H99" s="2073"/>
      <c r="I99" s="2149">
        <v>0</v>
      </c>
      <c r="J99" s="2149"/>
      <c r="K99" s="2149"/>
      <c r="L99" s="2149"/>
      <c r="M99" s="2149"/>
      <c r="N99" s="2149"/>
      <c r="O99" s="2149">
        <v>0</v>
      </c>
      <c r="P99" s="2149"/>
      <c r="Q99" s="2149"/>
      <c r="R99" s="2149"/>
      <c r="S99" s="2149"/>
      <c r="T99" s="2149"/>
      <c r="U99" s="2149"/>
      <c r="V99" s="2149">
        <v>0</v>
      </c>
      <c r="W99" s="2149"/>
      <c r="X99" s="2149"/>
      <c r="Y99" s="2149"/>
      <c r="Z99" s="2149"/>
      <c r="AA99" s="2149"/>
      <c r="AB99" s="2149">
        <v>0</v>
      </c>
      <c r="AC99" s="2149"/>
      <c r="AD99" s="2149"/>
      <c r="AE99" s="2149"/>
      <c r="AF99" s="2149"/>
      <c r="AG99" s="2149"/>
      <c r="AH99" s="2150"/>
      <c r="AI99" s="1190"/>
      <c r="AJ99" s="2153"/>
      <c r="AK99" s="2154"/>
      <c r="AL99" s="2154"/>
      <c r="AM99" s="2154"/>
      <c r="AN99" s="2154"/>
      <c r="AO99" s="2154"/>
      <c r="AP99" s="2154"/>
      <c r="AQ99" s="2154"/>
      <c r="AR99" s="2154"/>
      <c r="AS99" s="2154"/>
      <c r="AT99" s="2154"/>
      <c r="AU99" s="2154"/>
      <c r="AV99" s="2154"/>
      <c r="AW99" s="2154"/>
      <c r="AX99" s="2154"/>
      <c r="AY99" s="2157"/>
      <c r="AZ99" s="2157"/>
      <c r="BA99" s="2157"/>
      <c r="BB99" s="2158"/>
      <c r="BC99" s="1190"/>
      <c r="BD99" s="1190"/>
      <c r="BE99" s="1194"/>
      <c r="CM99" s="1188"/>
      <c r="CN99" s="1188"/>
      <c r="CO99" s="1188"/>
      <c r="CP99" s="1188"/>
    </row>
    <row r="100" spans="1:94" ht="15.75" customHeight="1">
      <c r="A100" s="1190"/>
      <c r="B100" s="2072" t="s">
        <v>2369</v>
      </c>
      <c r="C100" s="2073"/>
      <c r="D100" s="2073"/>
      <c r="E100" s="2073"/>
      <c r="F100" s="2073"/>
      <c r="G100" s="2073"/>
      <c r="H100" s="2073"/>
      <c r="I100" s="2149">
        <v>0</v>
      </c>
      <c r="J100" s="2149"/>
      <c r="K100" s="2149"/>
      <c r="L100" s="2149"/>
      <c r="M100" s="2149"/>
      <c r="N100" s="2149"/>
      <c r="O100" s="2149">
        <v>0</v>
      </c>
      <c r="P100" s="2149"/>
      <c r="Q100" s="2149"/>
      <c r="R100" s="2149"/>
      <c r="S100" s="2149"/>
      <c r="T100" s="2149"/>
      <c r="U100" s="2149"/>
      <c r="V100" s="2149">
        <v>0</v>
      </c>
      <c r="W100" s="2149"/>
      <c r="X100" s="2149"/>
      <c r="Y100" s="2149"/>
      <c r="Z100" s="2149"/>
      <c r="AA100" s="2149"/>
      <c r="AB100" s="2149">
        <v>0</v>
      </c>
      <c r="AC100" s="2149"/>
      <c r="AD100" s="2149"/>
      <c r="AE100" s="2149"/>
      <c r="AF100" s="2149"/>
      <c r="AG100" s="2149"/>
      <c r="AH100" s="2150"/>
      <c r="AI100" s="1190"/>
      <c r="AJ100" s="2138" t="s">
        <v>2376</v>
      </c>
      <c r="AK100" s="2139"/>
      <c r="AL100" s="2139"/>
      <c r="AM100" s="2139"/>
      <c r="AN100" s="2139"/>
      <c r="AO100" s="2139"/>
      <c r="AP100" s="2139"/>
      <c r="AQ100" s="2139"/>
      <c r="AR100" s="2139"/>
      <c r="AS100" s="2139"/>
      <c r="AT100" s="2139"/>
      <c r="AU100" s="2139"/>
      <c r="AV100" s="2139"/>
      <c r="AW100" s="2139"/>
      <c r="AX100" s="2139"/>
      <c r="AY100" s="2139"/>
      <c r="AZ100" s="2139"/>
      <c r="BA100" s="2139"/>
      <c r="BB100" s="2140"/>
      <c r="BC100" s="1190"/>
      <c r="BD100" s="1190"/>
      <c r="BE100" s="1194"/>
      <c r="CM100" s="1188"/>
      <c r="CN100" s="1188"/>
      <c r="CO100" s="1188"/>
      <c r="CP100" s="1188"/>
    </row>
    <row r="101" spans="1:94" ht="15.75" customHeight="1" thickBot="1">
      <c r="A101" s="1190"/>
      <c r="B101" s="2090" t="s">
        <v>2368</v>
      </c>
      <c r="C101" s="2091"/>
      <c r="D101" s="2091"/>
      <c r="E101" s="2091"/>
      <c r="F101" s="2091"/>
      <c r="G101" s="2091"/>
      <c r="H101" s="2091"/>
      <c r="I101" s="2164">
        <v>0</v>
      </c>
      <c r="J101" s="2164"/>
      <c r="K101" s="2164"/>
      <c r="L101" s="2164"/>
      <c r="M101" s="2164"/>
      <c r="N101" s="2164"/>
      <c r="O101" s="2164">
        <v>0</v>
      </c>
      <c r="P101" s="2164"/>
      <c r="Q101" s="2164"/>
      <c r="R101" s="2164"/>
      <c r="S101" s="2164"/>
      <c r="T101" s="2164"/>
      <c r="U101" s="2164"/>
      <c r="V101" s="2164">
        <v>0</v>
      </c>
      <c r="W101" s="2164"/>
      <c r="X101" s="2164"/>
      <c r="Y101" s="2164"/>
      <c r="Z101" s="2164"/>
      <c r="AA101" s="2164"/>
      <c r="AB101" s="2164">
        <v>0</v>
      </c>
      <c r="AC101" s="2164"/>
      <c r="AD101" s="2164"/>
      <c r="AE101" s="2164"/>
      <c r="AF101" s="2164"/>
      <c r="AG101" s="2164"/>
      <c r="AH101" s="2165"/>
      <c r="AI101" s="1190"/>
      <c r="AJ101" s="2141"/>
      <c r="AK101" s="2142"/>
      <c r="AL101" s="2142"/>
      <c r="AM101" s="2142"/>
      <c r="AN101" s="2142"/>
      <c r="AO101" s="2142"/>
      <c r="AP101" s="2142"/>
      <c r="AQ101" s="2142"/>
      <c r="AR101" s="2142"/>
      <c r="AS101" s="2142"/>
      <c r="AT101" s="2142"/>
      <c r="AU101" s="2142"/>
      <c r="AV101" s="2142"/>
      <c r="AW101" s="2142"/>
      <c r="AX101" s="2142"/>
      <c r="AY101" s="2142"/>
      <c r="AZ101" s="2142"/>
      <c r="BA101" s="2142"/>
      <c r="BB101" s="2143"/>
      <c r="BC101" s="1190"/>
      <c r="BD101" s="1190"/>
      <c r="BE101" s="1194"/>
      <c r="BQ101" s="1256" t="str">
        <f>Application!AA335</f>
        <v>Danco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66"/>
      <c r="G104" s="2167"/>
      <c r="H104" s="2167"/>
      <c r="I104" s="2167"/>
      <c r="J104" s="2167"/>
      <c r="K104" s="2167"/>
      <c r="L104" s="2167"/>
      <c r="M104" s="2167"/>
      <c r="N104" s="2167"/>
      <c r="O104" s="2167"/>
      <c r="P104" s="2167"/>
      <c r="Q104" s="2167"/>
      <c r="R104" s="216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0" t="str">
        <f>IFERROR(INDEX(BR96:BR98,MATCH(F104,$BQ$96:$BQ$98,0))/SUM($BR$96:$BR$98),"")</f>
        <v/>
      </c>
      <c r="P105" s="2131"/>
      <c r="Q105" s="2131"/>
      <c r="R105" s="213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118" t="s">
        <v>2373</v>
      </c>
      <c r="C107" s="2119"/>
      <c r="D107" s="2119"/>
      <c r="E107" s="2119"/>
      <c r="F107" s="2119"/>
      <c r="G107" s="2119"/>
      <c r="H107" s="2119"/>
      <c r="I107" s="2119"/>
      <c r="J107" s="2119"/>
      <c r="K107" s="2119"/>
      <c r="L107" s="2119"/>
      <c r="M107" s="2119"/>
      <c r="N107" s="2119"/>
      <c r="O107" s="2119"/>
      <c r="P107" s="2119"/>
      <c r="Q107" s="2119"/>
      <c r="R107" s="2119"/>
      <c r="S107" s="2119"/>
      <c r="T107" s="2119"/>
      <c r="U107" s="2119"/>
      <c r="V107" s="2119"/>
      <c r="W107" s="2119"/>
      <c r="X107" s="2119"/>
      <c r="Y107" s="2119"/>
      <c r="Z107" s="2119"/>
      <c r="AA107" s="2119"/>
      <c r="AB107" s="2119"/>
      <c r="AC107" s="2119"/>
      <c r="AD107" s="2119"/>
      <c r="AE107" s="2119"/>
      <c r="AF107" s="2119"/>
      <c r="AG107" s="2119"/>
      <c r="AH107" s="216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72"/>
      <c r="C108" s="2073"/>
      <c r="D108" s="2073"/>
      <c r="E108" s="2073"/>
      <c r="F108" s="2073"/>
      <c r="G108" s="2073"/>
      <c r="H108" s="2073"/>
      <c r="I108" s="2073" t="s">
        <v>2372</v>
      </c>
      <c r="J108" s="2073"/>
      <c r="K108" s="2073"/>
      <c r="L108" s="2073"/>
      <c r="M108" s="2073"/>
      <c r="N108" s="2073"/>
      <c r="O108" s="2073" t="s">
        <v>2348</v>
      </c>
      <c r="P108" s="2073"/>
      <c r="Q108" s="2073"/>
      <c r="R108" s="2073"/>
      <c r="S108" s="2073"/>
      <c r="T108" s="2073"/>
      <c r="U108" s="2073"/>
      <c r="V108" s="2159" t="s">
        <v>2347</v>
      </c>
      <c r="W108" s="2159"/>
      <c r="X108" s="2159"/>
      <c r="Y108" s="2159"/>
      <c r="Z108" s="2159"/>
      <c r="AA108" s="2159"/>
      <c r="AB108" s="2160" t="s">
        <v>2371</v>
      </c>
      <c r="AC108" s="2160"/>
      <c r="AD108" s="2160"/>
      <c r="AE108" s="2160"/>
      <c r="AF108" s="2160"/>
      <c r="AG108" s="2160"/>
      <c r="AH108" s="216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72"/>
      <c r="C109" s="2073"/>
      <c r="D109" s="2073"/>
      <c r="E109" s="2073"/>
      <c r="F109" s="2073"/>
      <c r="G109" s="2073"/>
      <c r="H109" s="2073"/>
      <c r="I109" s="2073"/>
      <c r="J109" s="2073"/>
      <c r="K109" s="2073"/>
      <c r="L109" s="2073"/>
      <c r="M109" s="2073"/>
      <c r="N109" s="2073"/>
      <c r="O109" s="2073"/>
      <c r="P109" s="2073"/>
      <c r="Q109" s="2073"/>
      <c r="R109" s="2073"/>
      <c r="S109" s="2073"/>
      <c r="T109" s="2073"/>
      <c r="U109" s="2073"/>
      <c r="V109" s="2159"/>
      <c r="W109" s="2159"/>
      <c r="X109" s="2159"/>
      <c r="Y109" s="2159"/>
      <c r="Z109" s="2159"/>
      <c r="AA109" s="2159"/>
      <c r="AB109" s="2160"/>
      <c r="AC109" s="2160"/>
      <c r="AD109" s="2160"/>
      <c r="AE109" s="2160"/>
      <c r="AF109" s="2160"/>
      <c r="AG109" s="2160"/>
      <c r="AH109" s="216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72" t="s">
        <v>2370</v>
      </c>
      <c r="C110" s="2073"/>
      <c r="D110" s="2073"/>
      <c r="E110" s="2073"/>
      <c r="F110" s="2073"/>
      <c r="G110" s="2073"/>
      <c r="H110" s="2073"/>
      <c r="I110" s="2149">
        <v>0</v>
      </c>
      <c r="J110" s="2149"/>
      <c r="K110" s="2149"/>
      <c r="L110" s="2149"/>
      <c r="M110" s="2149"/>
      <c r="N110" s="2149"/>
      <c r="O110" s="2149">
        <v>0</v>
      </c>
      <c r="P110" s="2149"/>
      <c r="Q110" s="2149"/>
      <c r="R110" s="2149"/>
      <c r="S110" s="2149"/>
      <c r="T110" s="2149"/>
      <c r="U110" s="2149"/>
      <c r="V110" s="2149">
        <v>0</v>
      </c>
      <c r="W110" s="2149"/>
      <c r="X110" s="2149"/>
      <c r="Y110" s="2149"/>
      <c r="Z110" s="2149"/>
      <c r="AA110" s="2149"/>
      <c r="AB110" s="2149">
        <v>0</v>
      </c>
      <c r="AC110" s="2149"/>
      <c r="AD110" s="2149"/>
      <c r="AE110" s="2149"/>
      <c r="AF110" s="2149"/>
      <c r="AG110" s="2149"/>
      <c r="AH110" s="215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72" t="s">
        <v>2369</v>
      </c>
      <c r="C111" s="2073"/>
      <c r="D111" s="2073"/>
      <c r="E111" s="2073"/>
      <c r="F111" s="2073"/>
      <c r="G111" s="2073"/>
      <c r="H111" s="2073"/>
      <c r="I111" s="2149">
        <v>0</v>
      </c>
      <c r="J111" s="2149"/>
      <c r="K111" s="2149"/>
      <c r="L111" s="2149"/>
      <c r="M111" s="2149"/>
      <c r="N111" s="2149"/>
      <c r="O111" s="2149">
        <v>0</v>
      </c>
      <c r="P111" s="2149"/>
      <c r="Q111" s="2149"/>
      <c r="R111" s="2149"/>
      <c r="S111" s="2149"/>
      <c r="T111" s="2149"/>
      <c r="U111" s="2149"/>
      <c r="V111" s="2149">
        <v>0</v>
      </c>
      <c r="W111" s="2149"/>
      <c r="X111" s="2149"/>
      <c r="Y111" s="2149"/>
      <c r="Z111" s="2149"/>
      <c r="AA111" s="2149"/>
      <c r="AB111" s="2149">
        <v>0</v>
      </c>
      <c r="AC111" s="2149"/>
      <c r="AD111" s="2149"/>
      <c r="AE111" s="2149"/>
      <c r="AF111" s="2149"/>
      <c r="AG111" s="2149"/>
      <c r="AH111" s="215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90" t="s">
        <v>2368</v>
      </c>
      <c r="C112" s="2091"/>
      <c r="D112" s="2091"/>
      <c r="E112" s="2091"/>
      <c r="F112" s="2091"/>
      <c r="G112" s="2091"/>
      <c r="H112" s="2091"/>
      <c r="I112" s="2164">
        <v>0</v>
      </c>
      <c r="J112" s="2164"/>
      <c r="K112" s="2164"/>
      <c r="L112" s="2164"/>
      <c r="M112" s="2164"/>
      <c r="N112" s="2164"/>
      <c r="O112" s="2164">
        <v>0</v>
      </c>
      <c r="P112" s="2164"/>
      <c r="Q112" s="2164"/>
      <c r="R112" s="2164"/>
      <c r="S112" s="2164"/>
      <c r="T112" s="2164"/>
      <c r="U112" s="2164"/>
      <c r="V112" s="2164">
        <v>0</v>
      </c>
      <c r="W112" s="2164"/>
      <c r="X112" s="2164"/>
      <c r="Y112" s="2164"/>
      <c r="Z112" s="2164"/>
      <c r="AA112" s="2164"/>
      <c r="AB112" s="2164">
        <v>0</v>
      </c>
      <c r="AC112" s="2164"/>
      <c r="AD112" s="2164"/>
      <c r="AE112" s="2164"/>
      <c r="AF112" s="2164"/>
      <c r="AG112" s="2164"/>
      <c r="AH112" s="216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66"/>
      <c r="G115" s="2167"/>
      <c r="H115" s="2167"/>
      <c r="I115" s="2167"/>
      <c r="J115" s="2167"/>
      <c r="K115" s="2167"/>
      <c r="L115" s="2167"/>
      <c r="M115" s="2167"/>
      <c r="N115" s="2167"/>
      <c r="O115" s="2167"/>
      <c r="P115" s="2167"/>
      <c r="Q115" s="2167"/>
      <c r="R115" s="216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78" t="s">
        <v>2366</v>
      </c>
      <c r="C117" s="2179"/>
      <c r="D117" s="2179"/>
      <c r="E117" s="2179"/>
      <c r="F117" s="2179"/>
      <c r="G117" s="2179"/>
      <c r="H117" s="2179"/>
      <c r="I117" s="2179"/>
      <c r="J117" s="2179"/>
      <c r="K117" s="2179"/>
      <c r="L117" s="2179"/>
      <c r="M117" s="2179"/>
      <c r="N117" s="2179"/>
      <c r="O117" s="2179"/>
      <c r="P117" s="2179"/>
      <c r="Q117" s="2179"/>
      <c r="R117" s="2179"/>
      <c r="S117" s="2179"/>
      <c r="T117" s="2179"/>
      <c r="U117" s="2182" t="s">
        <v>546</v>
      </c>
      <c r="V117" s="2182"/>
      <c r="W117" s="2182"/>
      <c r="X117" s="218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80"/>
      <c r="C118" s="2181"/>
      <c r="D118" s="2181"/>
      <c r="E118" s="2181"/>
      <c r="F118" s="2181"/>
      <c r="G118" s="2181"/>
      <c r="H118" s="2181"/>
      <c r="I118" s="2181"/>
      <c r="J118" s="2181"/>
      <c r="K118" s="2181"/>
      <c r="L118" s="2181"/>
      <c r="M118" s="2181"/>
      <c r="N118" s="2181"/>
      <c r="O118" s="2181"/>
      <c r="P118" s="2181"/>
      <c r="Q118" s="2181"/>
      <c r="R118" s="2181"/>
      <c r="S118" s="2181"/>
      <c r="T118" s="2181"/>
      <c r="U118" s="2184"/>
      <c r="V118" s="2184"/>
      <c r="W118" s="2184"/>
      <c r="X118" s="218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80"/>
      <c r="C119" s="2181"/>
      <c r="D119" s="2181"/>
      <c r="E119" s="2181"/>
      <c r="F119" s="2181"/>
      <c r="G119" s="2181"/>
      <c r="H119" s="2181"/>
      <c r="I119" s="2181"/>
      <c r="J119" s="2181"/>
      <c r="K119" s="2181"/>
      <c r="L119" s="2181"/>
      <c r="M119" s="2181"/>
      <c r="N119" s="2181"/>
      <c r="O119" s="2181"/>
      <c r="P119" s="2181"/>
      <c r="Q119" s="2181"/>
      <c r="R119" s="2181"/>
      <c r="S119" s="2181"/>
      <c r="T119" s="2181"/>
      <c r="U119" s="2184"/>
      <c r="V119" s="2184"/>
      <c r="W119" s="2184"/>
      <c r="X119" s="218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80"/>
      <c r="C120" s="2181"/>
      <c r="D120" s="2181"/>
      <c r="E120" s="2181"/>
      <c r="F120" s="2181"/>
      <c r="G120" s="2181"/>
      <c r="H120" s="2181"/>
      <c r="I120" s="2181"/>
      <c r="J120" s="2181"/>
      <c r="K120" s="2181"/>
      <c r="L120" s="2181"/>
      <c r="M120" s="2181"/>
      <c r="N120" s="2181"/>
      <c r="O120" s="2181"/>
      <c r="P120" s="2181"/>
      <c r="Q120" s="2181"/>
      <c r="R120" s="2181"/>
      <c r="S120" s="2181"/>
      <c r="T120" s="2181"/>
      <c r="U120" s="2184"/>
      <c r="V120" s="2184"/>
      <c r="W120" s="2184"/>
      <c r="X120" s="218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86" t="s">
        <v>2366</v>
      </c>
      <c r="C121" s="2187"/>
      <c r="D121" s="2187"/>
      <c r="E121" s="2187"/>
      <c r="F121" s="2187"/>
      <c r="G121" s="2187"/>
      <c r="H121" s="2187"/>
      <c r="I121" s="2187"/>
      <c r="J121" s="2187"/>
      <c r="K121" s="2187"/>
      <c r="L121" s="2187"/>
      <c r="M121" s="2187"/>
      <c r="N121" s="2187"/>
      <c r="O121" s="2187"/>
      <c r="P121" s="2187"/>
      <c r="Q121" s="2187"/>
      <c r="R121" s="2187"/>
      <c r="S121" s="2187"/>
      <c r="T121" s="2187"/>
      <c r="U121" s="2190" t="s">
        <v>546</v>
      </c>
      <c r="V121" s="2190"/>
      <c r="W121" s="2190"/>
      <c r="X121" s="219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88"/>
      <c r="C122" s="2189"/>
      <c r="D122" s="2189"/>
      <c r="E122" s="2189"/>
      <c r="F122" s="2189"/>
      <c r="G122" s="2189"/>
      <c r="H122" s="2189"/>
      <c r="I122" s="2189"/>
      <c r="J122" s="2189"/>
      <c r="K122" s="2189"/>
      <c r="L122" s="2189"/>
      <c r="M122" s="2189"/>
      <c r="N122" s="2189"/>
      <c r="O122" s="2189"/>
      <c r="P122" s="2189"/>
      <c r="Q122" s="2189"/>
      <c r="R122" s="2189"/>
      <c r="S122" s="2189"/>
      <c r="T122" s="2189"/>
      <c r="U122" s="2192"/>
      <c r="V122" s="2192"/>
      <c r="W122" s="2192"/>
      <c r="X122" s="219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51" t="s">
        <v>2364</v>
      </c>
      <c r="Y125" s="2152"/>
      <c r="Z125" s="2152"/>
      <c r="AA125" s="2152"/>
      <c r="AB125" s="2152"/>
      <c r="AC125" s="2152"/>
      <c r="AD125" s="2152"/>
      <c r="AE125" s="2152"/>
      <c r="AF125" s="2152"/>
      <c r="AG125" s="2152"/>
      <c r="AH125" s="2152"/>
      <c r="AI125" s="2152"/>
      <c r="AJ125" s="2152"/>
      <c r="AK125" s="2152"/>
      <c r="AL125" s="2152"/>
      <c r="AM125" s="2152"/>
      <c r="AN125" s="2152"/>
      <c r="AO125" s="2152"/>
      <c r="AP125" s="2152"/>
      <c r="AQ125" s="2152"/>
      <c r="AR125" s="2152"/>
      <c r="AS125" s="2152"/>
      <c r="AT125" s="2152"/>
      <c r="AU125" s="2152"/>
      <c r="AV125" s="2152"/>
      <c r="AW125" s="2152"/>
      <c r="AX125" s="2152"/>
      <c r="AY125" s="2152"/>
      <c r="AZ125" s="2152"/>
      <c r="BA125" s="2152"/>
      <c r="BB125" s="2152"/>
      <c r="BC125" s="2152"/>
      <c r="BD125" s="2194"/>
      <c r="BE125" s="1194"/>
    </row>
    <row r="126" spans="1:57" ht="15.75" customHeight="1">
      <c r="A126" s="1190"/>
      <c r="B126" s="2196" t="s">
        <v>1578</v>
      </c>
      <c r="C126" s="2197"/>
      <c r="D126" s="2197"/>
      <c r="E126" s="2197"/>
      <c r="F126" s="2197"/>
      <c r="G126" s="2197"/>
      <c r="H126" s="2197"/>
      <c r="I126" s="2197"/>
      <c r="J126" s="2197"/>
      <c r="K126" s="2197"/>
      <c r="L126" s="2197"/>
      <c r="M126" s="2197"/>
      <c r="N126" s="2197"/>
      <c r="O126" s="2197"/>
      <c r="P126" s="2197"/>
      <c r="Q126" s="2197"/>
      <c r="R126" s="2197"/>
      <c r="S126" s="2197"/>
      <c r="T126" s="2197"/>
      <c r="U126" s="2198"/>
      <c r="V126" s="1190"/>
      <c r="W126" s="1190"/>
      <c r="X126" s="2153"/>
      <c r="Y126" s="2154"/>
      <c r="Z126" s="2154"/>
      <c r="AA126" s="2154"/>
      <c r="AB126" s="2154"/>
      <c r="AC126" s="2154"/>
      <c r="AD126" s="2154"/>
      <c r="AE126" s="2154"/>
      <c r="AF126" s="2154"/>
      <c r="AG126" s="2154"/>
      <c r="AH126" s="2154"/>
      <c r="AI126" s="2154"/>
      <c r="AJ126" s="2154"/>
      <c r="AK126" s="2154"/>
      <c r="AL126" s="2154"/>
      <c r="AM126" s="2154"/>
      <c r="AN126" s="2154"/>
      <c r="AO126" s="2154"/>
      <c r="AP126" s="2154"/>
      <c r="AQ126" s="2154"/>
      <c r="AR126" s="2154"/>
      <c r="AS126" s="2154"/>
      <c r="AT126" s="2154"/>
      <c r="AU126" s="2154"/>
      <c r="AV126" s="2154"/>
      <c r="AW126" s="2154"/>
      <c r="AX126" s="2154"/>
      <c r="AY126" s="2154"/>
      <c r="AZ126" s="2154"/>
      <c r="BA126" s="2154"/>
      <c r="BB126" s="2154"/>
      <c r="BC126" s="2154"/>
      <c r="BD126" s="2195"/>
      <c r="BE126" s="1194"/>
    </row>
    <row r="127" spans="1:57" ht="15.75" customHeight="1">
      <c r="A127" s="1190"/>
      <c r="B127" s="2214"/>
      <c r="C127" s="2215"/>
      <c r="D127" s="2215"/>
      <c r="E127" s="2215"/>
      <c r="F127" s="2215"/>
      <c r="G127" s="2215"/>
      <c r="H127" s="2215"/>
      <c r="I127" s="2073" t="s">
        <v>2363</v>
      </c>
      <c r="J127" s="2073"/>
      <c r="K127" s="2073"/>
      <c r="L127" s="2073"/>
      <c r="M127" s="2073"/>
      <c r="N127" s="2073"/>
      <c r="O127" s="2170" t="s">
        <v>2362</v>
      </c>
      <c r="P127" s="2170"/>
      <c r="Q127" s="2170"/>
      <c r="R127" s="2170"/>
      <c r="S127" s="2170"/>
      <c r="T127" s="2170"/>
      <c r="U127" s="2171"/>
      <c r="V127" s="1190"/>
      <c r="W127" s="1190"/>
      <c r="X127" s="2138" t="s">
        <v>2332</v>
      </c>
      <c r="Y127" s="2139"/>
      <c r="Z127" s="2139"/>
      <c r="AA127" s="2139"/>
      <c r="AB127" s="2139"/>
      <c r="AC127" s="2139"/>
      <c r="AD127" s="2139"/>
      <c r="AE127" s="2139"/>
      <c r="AF127" s="2139"/>
      <c r="AG127" s="2139"/>
      <c r="AH127" s="2139"/>
      <c r="AI127" s="2139"/>
      <c r="AJ127" s="2139"/>
      <c r="AK127" s="2139"/>
      <c r="AL127" s="2139"/>
      <c r="AM127" s="2139"/>
      <c r="AN127" s="2139"/>
      <c r="AO127" s="2139"/>
      <c r="AP127" s="2139"/>
      <c r="AQ127" s="2139"/>
      <c r="AR127" s="2139"/>
      <c r="AS127" s="2139"/>
      <c r="AT127" s="2139"/>
      <c r="AU127" s="2139"/>
      <c r="AV127" s="2139"/>
      <c r="AW127" s="2139"/>
      <c r="AX127" s="2139"/>
      <c r="AY127" s="2139"/>
      <c r="AZ127" s="2139"/>
      <c r="BA127" s="2139"/>
      <c r="BB127" s="2139"/>
      <c r="BC127" s="2139"/>
      <c r="BD127" s="2140"/>
      <c r="BE127" s="1194"/>
    </row>
    <row r="128" spans="1:57" ht="15.75" customHeight="1">
      <c r="A128" s="1190"/>
      <c r="B128" s="2172" t="s">
        <v>2346</v>
      </c>
      <c r="C128" s="2173"/>
      <c r="D128" s="2173"/>
      <c r="E128" s="2173"/>
      <c r="F128" s="2173"/>
      <c r="G128" s="2173"/>
      <c r="H128" s="2173"/>
      <c r="I128" s="2149">
        <v>0</v>
      </c>
      <c r="J128" s="2149"/>
      <c r="K128" s="2149"/>
      <c r="L128" s="2149"/>
      <c r="M128" s="2149"/>
      <c r="N128" s="2149"/>
      <c r="O128" s="2149">
        <v>0</v>
      </c>
      <c r="P128" s="2149"/>
      <c r="Q128" s="2149"/>
      <c r="R128" s="2149"/>
      <c r="S128" s="2149"/>
      <c r="T128" s="2149"/>
      <c r="U128" s="2150"/>
      <c r="V128" s="1190"/>
      <c r="W128" s="1190"/>
      <c r="X128" s="2138"/>
      <c r="Y128" s="2139"/>
      <c r="Z128" s="2139"/>
      <c r="AA128" s="2139"/>
      <c r="AB128" s="2139"/>
      <c r="AC128" s="2139"/>
      <c r="AD128" s="2139"/>
      <c r="AE128" s="2139"/>
      <c r="AF128" s="2139"/>
      <c r="AG128" s="2139"/>
      <c r="AH128" s="2139"/>
      <c r="AI128" s="2139"/>
      <c r="AJ128" s="2139"/>
      <c r="AK128" s="2139"/>
      <c r="AL128" s="2139"/>
      <c r="AM128" s="2139"/>
      <c r="AN128" s="2139"/>
      <c r="AO128" s="2139"/>
      <c r="AP128" s="2139"/>
      <c r="AQ128" s="2139"/>
      <c r="AR128" s="2139"/>
      <c r="AS128" s="2139"/>
      <c r="AT128" s="2139"/>
      <c r="AU128" s="2139"/>
      <c r="AV128" s="2139"/>
      <c r="AW128" s="2139"/>
      <c r="AX128" s="2139"/>
      <c r="AY128" s="2139"/>
      <c r="AZ128" s="2139"/>
      <c r="BA128" s="2139"/>
      <c r="BB128" s="2139"/>
      <c r="BC128" s="2139"/>
      <c r="BD128" s="2140"/>
      <c r="BE128" s="1194"/>
    </row>
    <row r="129" spans="1:57" ht="15.75" customHeight="1" thickBot="1">
      <c r="A129" s="1190"/>
      <c r="B129" s="2174" t="s">
        <v>2345</v>
      </c>
      <c r="C129" s="2175"/>
      <c r="D129" s="2175"/>
      <c r="E129" s="2175"/>
      <c r="F129" s="2175"/>
      <c r="G129" s="2175"/>
      <c r="H129" s="2175"/>
      <c r="I129" s="2164">
        <v>0</v>
      </c>
      <c r="J129" s="2164"/>
      <c r="K129" s="2164"/>
      <c r="L129" s="2164"/>
      <c r="M129" s="2164"/>
      <c r="N129" s="2164"/>
      <c r="O129" s="2176"/>
      <c r="P129" s="2176"/>
      <c r="Q129" s="2176"/>
      <c r="R129" s="2176"/>
      <c r="S129" s="2176"/>
      <c r="T129" s="2176"/>
      <c r="U129" s="2177"/>
      <c r="V129" s="1190"/>
      <c r="W129" s="1190"/>
      <c r="X129" s="2138"/>
      <c r="Y129" s="2139"/>
      <c r="Z129" s="2139"/>
      <c r="AA129" s="2139"/>
      <c r="AB129" s="2139"/>
      <c r="AC129" s="2139"/>
      <c r="AD129" s="2139"/>
      <c r="AE129" s="2139"/>
      <c r="AF129" s="2139"/>
      <c r="AG129" s="2139"/>
      <c r="AH129" s="2139"/>
      <c r="AI129" s="2139"/>
      <c r="AJ129" s="2139"/>
      <c r="AK129" s="2139"/>
      <c r="AL129" s="2139"/>
      <c r="AM129" s="2139"/>
      <c r="AN129" s="2139"/>
      <c r="AO129" s="2139"/>
      <c r="AP129" s="2139"/>
      <c r="AQ129" s="2139"/>
      <c r="AR129" s="2139"/>
      <c r="AS129" s="2139"/>
      <c r="AT129" s="2139"/>
      <c r="AU129" s="2139"/>
      <c r="AV129" s="2139"/>
      <c r="AW129" s="2139"/>
      <c r="AX129" s="2139"/>
      <c r="AY129" s="2139"/>
      <c r="AZ129" s="2139"/>
      <c r="BA129" s="2139"/>
      <c r="BB129" s="2139"/>
      <c r="BC129" s="2139"/>
      <c r="BD129" s="214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138"/>
      <c r="Y130" s="2139"/>
      <c r="Z130" s="2139"/>
      <c r="AA130" s="2139"/>
      <c r="AB130" s="2139"/>
      <c r="AC130" s="2139"/>
      <c r="AD130" s="2139"/>
      <c r="AE130" s="2139"/>
      <c r="AF130" s="2139"/>
      <c r="AG130" s="2139"/>
      <c r="AH130" s="2139"/>
      <c r="AI130" s="2139"/>
      <c r="AJ130" s="2139"/>
      <c r="AK130" s="2139"/>
      <c r="AL130" s="2139"/>
      <c r="AM130" s="2139"/>
      <c r="AN130" s="2139"/>
      <c r="AO130" s="2139"/>
      <c r="AP130" s="2139"/>
      <c r="AQ130" s="2139"/>
      <c r="AR130" s="2139"/>
      <c r="AS130" s="2139"/>
      <c r="AT130" s="2139"/>
      <c r="AU130" s="2139"/>
      <c r="AV130" s="2139"/>
      <c r="AW130" s="2139"/>
      <c r="AX130" s="2139"/>
      <c r="AY130" s="2139"/>
      <c r="AZ130" s="2139"/>
      <c r="BA130" s="2139"/>
      <c r="BB130" s="2139"/>
      <c r="BC130" s="2139"/>
      <c r="BD130" s="2140"/>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138"/>
      <c r="Y131" s="2139"/>
      <c r="Z131" s="2139"/>
      <c r="AA131" s="2139"/>
      <c r="AB131" s="2139"/>
      <c r="AC131" s="2139"/>
      <c r="AD131" s="2139"/>
      <c r="AE131" s="2139"/>
      <c r="AF131" s="2139"/>
      <c r="AG131" s="2139"/>
      <c r="AH131" s="2139"/>
      <c r="AI131" s="2139"/>
      <c r="AJ131" s="2139"/>
      <c r="AK131" s="2139"/>
      <c r="AL131" s="2139"/>
      <c r="AM131" s="2139"/>
      <c r="AN131" s="2139"/>
      <c r="AO131" s="2139"/>
      <c r="AP131" s="2139"/>
      <c r="AQ131" s="2139"/>
      <c r="AR131" s="2139"/>
      <c r="AS131" s="2139"/>
      <c r="AT131" s="2139"/>
      <c r="AU131" s="2139"/>
      <c r="AV131" s="2139"/>
      <c r="AW131" s="2139"/>
      <c r="AX131" s="2139"/>
      <c r="AY131" s="2139"/>
      <c r="AZ131" s="2139"/>
      <c r="BA131" s="2139"/>
      <c r="BB131" s="2139"/>
      <c r="BC131" s="2139"/>
      <c r="BD131" s="214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138"/>
      <c r="Y132" s="2139"/>
      <c r="Z132" s="2139"/>
      <c r="AA132" s="2139"/>
      <c r="AB132" s="2139"/>
      <c r="AC132" s="2139"/>
      <c r="AD132" s="2139"/>
      <c r="AE132" s="2139"/>
      <c r="AF132" s="2139"/>
      <c r="AG132" s="2139"/>
      <c r="AH132" s="2139"/>
      <c r="AI132" s="2139"/>
      <c r="AJ132" s="2139"/>
      <c r="AK132" s="2139"/>
      <c r="AL132" s="2139"/>
      <c r="AM132" s="2139"/>
      <c r="AN132" s="2139"/>
      <c r="AO132" s="2139"/>
      <c r="AP132" s="2139"/>
      <c r="AQ132" s="2139"/>
      <c r="AR132" s="2139"/>
      <c r="AS132" s="2139"/>
      <c r="AT132" s="2139"/>
      <c r="AU132" s="2139"/>
      <c r="AV132" s="2139"/>
      <c r="AW132" s="2139"/>
      <c r="AX132" s="2139"/>
      <c r="AY132" s="2139"/>
      <c r="AZ132" s="2139"/>
      <c r="BA132" s="2139"/>
      <c r="BB132" s="2139"/>
      <c r="BC132" s="2139"/>
      <c r="BD132" s="2140"/>
      <c r="BE132" s="1194"/>
    </row>
    <row r="133" spans="1:57" ht="15.75" customHeight="1">
      <c r="A133" s="1190"/>
      <c r="B133" s="1974" t="s">
        <v>2360</v>
      </c>
      <c r="C133" s="1975"/>
      <c r="D133" s="1975"/>
      <c r="E133" s="1975"/>
      <c r="F133" s="1975"/>
      <c r="G133" s="1975"/>
      <c r="H133" s="1975"/>
      <c r="I133" s="1975"/>
      <c r="J133" s="1975"/>
      <c r="K133" s="1975"/>
      <c r="L133" s="1975"/>
      <c r="M133" s="1975"/>
      <c r="N133" s="1975"/>
      <c r="O133" s="1975"/>
      <c r="P133" s="1975"/>
      <c r="Q133" s="1975"/>
      <c r="R133" s="1975"/>
      <c r="S133" s="1975"/>
      <c r="T133" s="1975"/>
      <c r="U133" s="1976"/>
      <c r="V133" s="1190"/>
      <c r="W133" s="1190"/>
      <c r="X133" s="2138"/>
      <c r="Y133" s="2139"/>
      <c r="Z133" s="2139"/>
      <c r="AA133" s="2139"/>
      <c r="AB133" s="2139"/>
      <c r="AC133" s="2139"/>
      <c r="AD133" s="2139"/>
      <c r="AE133" s="2139"/>
      <c r="AF133" s="2139"/>
      <c r="AG133" s="2139"/>
      <c r="AH133" s="2139"/>
      <c r="AI133" s="2139"/>
      <c r="AJ133" s="2139"/>
      <c r="AK133" s="2139"/>
      <c r="AL133" s="2139"/>
      <c r="AM133" s="2139"/>
      <c r="AN133" s="2139"/>
      <c r="AO133" s="2139"/>
      <c r="AP133" s="2139"/>
      <c r="AQ133" s="2139"/>
      <c r="AR133" s="2139"/>
      <c r="AS133" s="2139"/>
      <c r="AT133" s="2139"/>
      <c r="AU133" s="2139"/>
      <c r="AV133" s="2139"/>
      <c r="AW133" s="2139"/>
      <c r="AX133" s="2139"/>
      <c r="AY133" s="2139"/>
      <c r="AZ133" s="2139"/>
      <c r="BA133" s="2139"/>
      <c r="BB133" s="2139"/>
      <c r="BC133" s="2139"/>
      <c r="BD133" s="2140"/>
      <c r="BE133" s="1194"/>
    </row>
    <row r="134" spans="1:57" ht="15.75" customHeight="1">
      <c r="A134" s="1190"/>
      <c r="B134" s="2214"/>
      <c r="C134" s="2215"/>
      <c r="D134" s="2215"/>
      <c r="E134" s="2215"/>
      <c r="F134" s="2215"/>
      <c r="G134" s="2215"/>
      <c r="H134" s="2215"/>
      <c r="I134" s="2216" t="s">
        <v>2348</v>
      </c>
      <c r="J134" s="2216"/>
      <c r="K134" s="2216"/>
      <c r="L134" s="2216"/>
      <c r="M134" s="2216"/>
      <c r="N134" s="2216"/>
      <c r="O134" s="2216"/>
      <c r="P134" s="2216" t="s">
        <v>2347</v>
      </c>
      <c r="Q134" s="2216"/>
      <c r="R134" s="2216"/>
      <c r="S134" s="2216"/>
      <c r="T134" s="2216"/>
      <c r="U134" s="2217"/>
      <c r="V134" s="1190"/>
      <c r="W134" s="1190"/>
      <c r="X134" s="2138"/>
      <c r="Y134" s="2139"/>
      <c r="Z134" s="2139"/>
      <c r="AA134" s="2139"/>
      <c r="AB134" s="2139"/>
      <c r="AC134" s="2139"/>
      <c r="AD134" s="2139"/>
      <c r="AE134" s="2139"/>
      <c r="AF134" s="2139"/>
      <c r="AG134" s="2139"/>
      <c r="AH134" s="2139"/>
      <c r="AI134" s="2139"/>
      <c r="AJ134" s="2139"/>
      <c r="AK134" s="2139"/>
      <c r="AL134" s="2139"/>
      <c r="AM134" s="2139"/>
      <c r="AN134" s="2139"/>
      <c r="AO134" s="2139"/>
      <c r="AP134" s="2139"/>
      <c r="AQ134" s="2139"/>
      <c r="AR134" s="2139"/>
      <c r="AS134" s="2139"/>
      <c r="AT134" s="2139"/>
      <c r="AU134" s="2139"/>
      <c r="AV134" s="2139"/>
      <c r="AW134" s="2139"/>
      <c r="AX134" s="2139"/>
      <c r="AY134" s="2139"/>
      <c r="AZ134" s="2139"/>
      <c r="BA134" s="2139"/>
      <c r="BB134" s="2139"/>
      <c r="BC134" s="2139"/>
      <c r="BD134" s="2140"/>
      <c r="BE134" s="1194"/>
    </row>
    <row r="135" spans="1:57" ht="15.75" customHeight="1">
      <c r="A135" s="1190"/>
      <c r="B135" s="2214"/>
      <c r="C135" s="2215"/>
      <c r="D135" s="2215"/>
      <c r="E135" s="2215"/>
      <c r="F135" s="2215"/>
      <c r="G135" s="2215"/>
      <c r="H135" s="2215"/>
      <c r="I135" s="2216"/>
      <c r="J135" s="2216"/>
      <c r="K135" s="2216"/>
      <c r="L135" s="2216"/>
      <c r="M135" s="2216"/>
      <c r="N135" s="2216"/>
      <c r="O135" s="2216"/>
      <c r="P135" s="2216"/>
      <c r="Q135" s="2216"/>
      <c r="R135" s="2216"/>
      <c r="S135" s="2216"/>
      <c r="T135" s="2216"/>
      <c r="U135" s="2217"/>
      <c r="V135" s="1190"/>
      <c r="W135" s="1190"/>
      <c r="X135" s="2138"/>
      <c r="Y135" s="2139"/>
      <c r="Z135" s="2139"/>
      <c r="AA135" s="2139"/>
      <c r="AB135" s="2139"/>
      <c r="AC135" s="2139"/>
      <c r="AD135" s="2139"/>
      <c r="AE135" s="2139"/>
      <c r="AF135" s="2139"/>
      <c r="AG135" s="2139"/>
      <c r="AH135" s="2139"/>
      <c r="AI135" s="2139"/>
      <c r="AJ135" s="2139"/>
      <c r="AK135" s="2139"/>
      <c r="AL135" s="2139"/>
      <c r="AM135" s="2139"/>
      <c r="AN135" s="2139"/>
      <c r="AO135" s="2139"/>
      <c r="AP135" s="2139"/>
      <c r="AQ135" s="2139"/>
      <c r="AR135" s="2139"/>
      <c r="AS135" s="2139"/>
      <c r="AT135" s="2139"/>
      <c r="AU135" s="2139"/>
      <c r="AV135" s="2139"/>
      <c r="AW135" s="2139"/>
      <c r="AX135" s="2139"/>
      <c r="AY135" s="2139"/>
      <c r="AZ135" s="2139"/>
      <c r="BA135" s="2139"/>
      <c r="BB135" s="2139"/>
      <c r="BC135" s="2139"/>
      <c r="BD135" s="2140"/>
      <c r="BE135" s="1194"/>
    </row>
    <row r="136" spans="1:57" ht="15.75" customHeight="1">
      <c r="A136" s="1190"/>
      <c r="B136" s="2172" t="s">
        <v>2346</v>
      </c>
      <c r="C136" s="2173"/>
      <c r="D136" s="2173"/>
      <c r="E136" s="2173"/>
      <c r="F136" s="2173"/>
      <c r="G136" s="2173"/>
      <c r="H136" s="2173"/>
      <c r="I136" s="2149">
        <v>0</v>
      </c>
      <c r="J136" s="2149"/>
      <c r="K136" s="2149"/>
      <c r="L136" s="2149"/>
      <c r="M136" s="2149"/>
      <c r="N136" s="2149"/>
      <c r="O136" s="2149"/>
      <c r="P136" s="2149">
        <v>0</v>
      </c>
      <c r="Q136" s="2149"/>
      <c r="R136" s="2149"/>
      <c r="S136" s="2149"/>
      <c r="T136" s="2149"/>
      <c r="U136" s="2150"/>
      <c r="V136" s="1190"/>
      <c r="W136" s="1190"/>
      <c r="X136" s="2138"/>
      <c r="Y136" s="2139"/>
      <c r="Z136" s="2139"/>
      <c r="AA136" s="2139"/>
      <c r="AB136" s="2139"/>
      <c r="AC136" s="2139"/>
      <c r="AD136" s="2139"/>
      <c r="AE136" s="2139"/>
      <c r="AF136" s="2139"/>
      <c r="AG136" s="2139"/>
      <c r="AH136" s="2139"/>
      <c r="AI136" s="2139"/>
      <c r="AJ136" s="2139"/>
      <c r="AK136" s="2139"/>
      <c r="AL136" s="2139"/>
      <c r="AM136" s="2139"/>
      <c r="AN136" s="2139"/>
      <c r="AO136" s="2139"/>
      <c r="AP136" s="2139"/>
      <c r="AQ136" s="2139"/>
      <c r="AR136" s="2139"/>
      <c r="AS136" s="2139"/>
      <c r="AT136" s="2139"/>
      <c r="AU136" s="2139"/>
      <c r="AV136" s="2139"/>
      <c r="AW136" s="2139"/>
      <c r="AX136" s="2139"/>
      <c r="AY136" s="2139"/>
      <c r="AZ136" s="2139"/>
      <c r="BA136" s="2139"/>
      <c r="BB136" s="2139"/>
      <c r="BC136" s="2139"/>
      <c r="BD136" s="2140"/>
      <c r="BE136" s="1194"/>
    </row>
    <row r="137" spans="1:57" ht="15.75" customHeight="1" thickBot="1">
      <c r="A137" s="1190"/>
      <c r="B137" s="2174" t="s">
        <v>2345</v>
      </c>
      <c r="C137" s="2175"/>
      <c r="D137" s="2175"/>
      <c r="E137" s="2175"/>
      <c r="F137" s="2175"/>
      <c r="G137" s="2175"/>
      <c r="H137" s="2175"/>
      <c r="I137" s="2164">
        <v>0</v>
      </c>
      <c r="J137" s="2164"/>
      <c r="K137" s="2164"/>
      <c r="L137" s="2164"/>
      <c r="M137" s="2164"/>
      <c r="N137" s="2164"/>
      <c r="O137" s="2164"/>
      <c r="P137" s="2164">
        <v>0</v>
      </c>
      <c r="Q137" s="2164"/>
      <c r="R137" s="2164"/>
      <c r="S137" s="2164"/>
      <c r="T137" s="2164"/>
      <c r="U137" s="2165"/>
      <c r="V137" s="1190"/>
      <c r="W137" s="1190"/>
      <c r="X137" s="2141"/>
      <c r="Y137" s="2142"/>
      <c r="Z137" s="2142"/>
      <c r="AA137" s="2142"/>
      <c r="AB137" s="2142"/>
      <c r="AC137" s="2142"/>
      <c r="AD137" s="2142"/>
      <c r="AE137" s="2142"/>
      <c r="AF137" s="2142"/>
      <c r="AG137" s="2142"/>
      <c r="AH137" s="2142"/>
      <c r="AI137" s="2142"/>
      <c r="AJ137" s="2142"/>
      <c r="AK137" s="2142"/>
      <c r="AL137" s="2142"/>
      <c r="AM137" s="2142"/>
      <c r="AN137" s="2142"/>
      <c r="AO137" s="2142"/>
      <c r="AP137" s="2142"/>
      <c r="AQ137" s="2142"/>
      <c r="AR137" s="2142"/>
      <c r="AS137" s="2142"/>
      <c r="AT137" s="2142"/>
      <c r="AU137" s="2142"/>
      <c r="AV137" s="2142"/>
      <c r="AW137" s="2142"/>
      <c r="AX137" s="2142"/>
      <c r="AY137" s="2142"/>
      <c r="AZ137" s="2142"/>
      <c r="BA137" s="2142"/>
      <c r="BB137" s="2142"/>
      <c r="BC137" s="2142"/>
      <c r="BD137" s="214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212" t="s">
        <v>2359</v>
      </c>
      <c r="C139" s="2213"/>
      <c r="D139" s="2213"/>
      <c r="E139" s="2213"/>
      <c r="F139" s="2213"/>
      <c r="G139" s="2213"/>
      <c r="H139" s="2213"/>
      <c r="I139" s="2213"/>
      <c r="J139" s="2213"/>
      <c r="K139" s="2213"/>
      <c r="L139" s="2213"/>
      <c r="M139" s="2213"/>
      <c r="N139" s="2213"/>
      <c r="O139" s="2213"/>
      <c r="P139" s="2213"/>
      <c r="Q139" s="2213"/>
      <c r="R139" s="2213"/>
      <c r="S139" s="2213"/>
      <c r="T139" s="2213"/>
      <c r="U139" s="2213"/>
      <c r="V139" s="2213"/>
      <c r="W139" s="2213"/>
      <c r="X139" s="2213"/>
      <c r="Y139" s="2213"/>
      <c r="Z139" s="2213"/>
      <c r="AA139" s="2213"/>
      <c r="AB139" s="2213"/>
      <c r="AC139" s="2213"/>
      <c r="AD139" s="2213"/>
      <c r="AE139" s="2213"/>
      <c r="AF139" s="2213"/>
      <c r="AG139" s="2213"/>
      <c r="AH139" s="2097" t="s">
        <v>546</v>
      </c>
      <c r="AI139" s="2097"/>
      <c r="AJ139" s="2097"/>
      <c r="AK139" s="2097"/>
      <c r="AL139" s="2097"/>
      <c r="AM139" s="2097"/>
      <c r="AN139" s="2097"/>
      <c r="AO139" s="2097"/>
      <c r="AP139" s="2097"/>
      <c r="AQ139" s="2097"/>
      <c r="AR139" s="2097"/>
      <c r="AS139" s="2097"/>
      <c r="AT139" s="2097"/>
      <c r="AU139" s="2097"/>
      <c r="AV139" s="2097"/>
      <c r="AW139" s="2097"/>
      <c r="AX139" s="2098"/>
      <c r="AY139" s="1190"/>
      <c r="AZ139" s="1190"/>
      <c r="BA139" s="1190"/>
      <c r="BB139" s="1190"/>
      <c r="BC139" s="1190"/>
      <c r="BD139" s="1190"/>
      <c r="BE139" s="1194"/>
    </row>
    <row r="140" spans="1:57" ht="15.75" customHeight="1" thickBot="1">
      <c r="A140" s="1190"/>
      <c r="B140" s="2199" t="s">
        <v>2358</v>
      </c>
      <c r="C140" s="2200"/>
      <c r="D140" s="2200"/>
      <c r="E140" s="2200"/>
      <c r="F140" s="2200"/>
      <c r="G140" s="2200"/>
      <c r="H140" s="2200"/>
      <c r="I140" s="2200"/>
      <c r="J140" s="2200"/>
      <c r="K140" s="2200"/>
      <c r="L140" s="2200"/>
      <c r="M140" s="2200"/>
      <c r="N140" s="2200"/>
      <c r="O140" s="2200"/>
      <c r="P140" s="2200"/>
      <c r="Q140" s="2200"/>
      <c r="R140" s="2200"/>
      <c r="S140" s="2200"/>
      <c r="T140" s="2200"/>
      <c r="U140" s="2200"/>
      <c r="V140" s="2200"/>
      <c r="W140" s="2200"/>
      <c r="X140" s="2200"/>
      <c r="Y140" s="2200"/>
      <c r="Z140" s="2200"/>
      <c r="AA140" s="2200"/>
      <c r="AB140" s="2200"/>
      <c r="AC140" s="2200"/>
      <c r="AD140" s="2200"/>
      <c r="AE140" s="2200"/>
      <c r="AF140" s="2200"/>
      <c r="AG140" s="2201"/>
      <c r="AH140" s="2166"/>
      <c r="AI140" s="2167"/>
      <c r="AJ140" s="2167"/>
      <c r="AK140" s="2167"/>
      <c r="AL140" s="2167"/>
      <c r="AM140" s="2167"/>
      <c r="AN140" s="2167"/>
      <c r="AO140" s="2167"/>
      <c r="AP140" s="2167"/>
      <c r="AQ140" s="2167"/>
      <c r="AR140" s="2167"/>
      <c r="AS140" s="2167"/>
      <c r="AT140" s="2167"/>
      <c r="AU140" s="2167"/>
      <c r="AV140" s="2167"/>
      <c r="AW140" s="2167"/>
      <c r="AX140" s="2168"/>
      <c r="AY140" s="1190"/>
      <c r="AZ140" s="1190"/>
      <c r="BA140" s="1190"/>
      <c r="BB140" s="1190"/>
      <c r="BC140" s="1190"/>
      <c r="BD140" s="1190"/>
      <c r="BE140" s="1194"/>
    </row>
    <row r="141" spans="1:57" ht="15.75" customHeight="1">
      <c r="A141" s="1190"/>
      <c r="B141" s="2199" t="s">
        <v>2357</v>
      </c>
      <c r="C141" s="2200"/>
      <c r="D141" s="2200"/>
      <c r="E141" s="2200"/>
      <c r="F141" s="2200"/>
      <c r="G141" s="2200"/>
      <c r="H141" s="2200"/>
      <c r="I141" s="2200"/>
      <c r="J141" s="2200"/>
      <c r="K141" s="2200"/>
      <c r="L141" s="2200"/>
      <c r="M141" s="2200"/>
      <c r="N141" s="2200"/>
      <c r="O141" s="2200"/>
      <c r="P141" s="2200"/>
      <c r="Q141" s="2200"/>
      <c r="R141" s="2200"/>
      <c r="S141" s="2200"/>
      <c r="T141" s="2200"/>
      <c r="U141" s="2200"/>
      <c r="V141" s="2200"/>
      <c r="W141" s="2200"/>
      <c r="X141" s="2200"/>
      <c r="Y141" s="2200"/>
      <c r="Z141" s="2200"/>
      <c r="AA141" s="2200"/>
      <c r="AB141" s="2200"/>
      <c r="AC141" s="2200"/>
      <c r="AD141" s="2200"/>
      <c r="AE141" s="2200"/>
      <c r="AF141" s="2200"/>
      <c r="AG141" s="2201"/>
      <c r="AH141" s="2097" t="s">
        <v>546</v>
      </c>
      <c r="AI141" s="2097"/>
      <c r="AJ141" s="2097"/>
      <c r="AK141" s="2097"/>
      <c r="AL141" s="2097"/>
      <c r="AM141" s="2097"/>
      <c r="AN141" s="2097"/>
      <c r="AO141" s="2097"/>
      <c r="AP141" s="2097"/>
      <c r="AQ141" s="2097"/>
      <c r="AR141" s="2097"/>
      <c r="AS141" s="2097"/>
      <c r="AT141" s="2097"/>
      <c r="AU141" s="2097"/>
      <c r="AV141" s="2097"/>
      <c r="AW141" s="2097"/>
      <c r="AX141" s="2098"/>
      <c r="AY141" s="1190"/>
      <c r="AZ141" s="1190"/>
      <c r="BA141" s="1190"/>
      <c r="BB141" s="1190"/>
      <c r="BC141" s="1190"/>
      <c r="BD141" s="1190"/>
      <c r="BE141" s="1194"/>
    </row>
    <row r="142" spans="1:57" ht="15.75" customHeight="1">
      <c r="A142" s="1190"/>
      <c r="B142" s="2202" t="s">
        <v>2356</v>
      </c>
      <c r="C142" s="2203"/>
      <c r="D142" s="2203"/>
      <c r="E142" s="2203"/>
      <c r="F142" s="2203"/>
      <c r="G142" s="2203"/>
      <c r="H142" s="2203"/>
      <c r="I142" s="2203"/>
      <c r="J142" s="2203"/>
      <c r="K142" s="2203"/>
      <c r="L142" s="2203"/>
      <c r="M142" s="2203"/>
      <c r="N142" s="2203"/>
      <c r="O142" s="2203"/>
      <c r="P142" s="2203"/>
      <c r="Q142" s="2203"/>
      <c r="R142" s="2204" t="s">
        <v>2355</v>
      </c>
      <c r="S142" s="2204"/>
      <c r="T142" s="2204"/>
      <c r="U142" s="2204"/>
      <c r="V142" s="2204"/>
      <c r="W142" s="2204"/>
      <c r="X142" s="2204"/>
      <c r="Y142" s="2204"/>
      <c r="Z142" s="2204"/>
      <c r="AA142" s="2204"/>
      <c r="AB142" s="2204"/>
      <c r="AC142" s="2204"/>
      <c r="AD142" s="2204"/>
      <c r="AE142" s="2204"/>
      <c r="AF142" s="2204"/>
      <c r="AG142" s="2204"/>
      <c r="AH142" s="2204"/>
      <c r="AI142" s="2204"/>
      <c r="AJ142" s="2204"/>
      <c r="AK142" s="2204"/>
      <c r="AL142" s="2204"/>
      <c r="AM142" s="2204"/>
      <c r="AN142" s="2204"/>
      <c r="AO142" s="2204"/>
      <c r="AP142" s="2204"/>
      <c r="AQ142" s="2204"/>
      <c r="AR142" s="2204"/>
      <c r="AS142" s="2204"/>
      <c r="AT142" s="2204"/>
      <c r="AU142" s="2204"/>
      <c r="AV142" s="2204"/>
      <c r="AW142" s="2204"/>
      <c r="AX142" s="2205"/>
      <c r="AY142" s="1190"/>
      <c r="AZ142" s="1190"/>
      <c r="BA142" s="1190"/>
      <c r="BB142" s="1190"/>
      <c r="BC142" s="1190" t="s">
        <v>250</v>
      </c>
      <c r="BD142" s="1190"/>
      <c r="BE142" s="1194"/>
    </row>
    <row r="143" spans="1:57" ht="15.75" customHeight="1">
      <c r="A143" s="1190"/>
      <c r="B143" s="2206" t="s">
        <v>2354</v>
      </c>
      <c r="C143" s="2207"/>
      <c r="D143" s="2207"/>
      <c r="E143" s="2207"/>
      <c r="F143" s="2207"/>
      <c r="G143" s="2207"/>
      <c r="H143" s="2207"/>
      <c r="I143" s="2207"/>
      <c r="J143" s="2207"/>
      <c r="K143" s="2207"/>
      <c r="L143" s="2207"/>
      <c r="M143" s="2207"/>
      <c r="N143" s="2207"/>
      <c r="O143" s="2207"/>
      <c r="P143" s="2207"/>
      <c r="Q143" s="2207"/>
      <c r="R143" s="2207"/>
      <c r="S143" s="2207"/>
      <c r="T143" s="2207"/>
      <c r="U143" s="2207"/>
      <c r="V143" s="2207"/>
      <c r="W143" s="2207"/>
      <c r="X143" s="2207"/>
      <c r="Y143" s="2207"/>
      <c r="Z143" s="2207"/>
      <c r="AA143" s="2207"/>
      <c r="AB143" s="2207"/>
      <c r="AC143" s="2207"/>
      <c r="AD143" s="2207"/>
      <c r="AE143" s="2207"/>
      <c r="AF143" s="2207"/>
      <c r="AG143" s="2207"/>
      <c r="AH143" s="2207"/>
      <c r="AI143" s="2207"/>
      <c r="AJ143" s="2207"/>
      <c r="AK143" s="2207"/>
      <c r="AL143" s="2207"/>
      <c r="AM143" s="2207"/>
      <c r="AN143" s="2207"/>
      <c r="AO143" s="2207"/>
      <c r="AP143" s="2207"/>
      <c r="AQ143" s="2207"/>
      <c r="AR143" s="2207"/>
      <c r="AS143" s="2207"/>
      <c r="AT143" s="2207"/>
      <c r="AU143" s="2207"/>
      <c r="AV143" s="2207"/>
      <c r="AW143" s="2207"/>
      <c r="AX143" s="2208"/>
      <c r="AY143" s="1190"/>
      <c r="AZ143" s="1190"/>
      <c r="BA143" s="1190"/>
      <c r="BB143" s="1190"/>
      <c r="BC143" s="1190"/>
      <c r="BD143" s="1190"/>
      <c r="BE143" s="1194"/>
    </row>
    <row r="144" spans="1:57" ht="15.75" customHeight="1">
      <c r="A144" s="1190"/>
      <c r="B144" s="2206"/>
      <c r="C144" s="2207"/>
      <c r="D144" s="2207"/>
      <c r="E144" s="2207"/>
      <c r="F144" s="2207"/>
      <c r="G144" s="2207"/>
      <c r="H144" s="2207"/>
      <c r="I144" s="2207"/>
      <c r="J144" s="2207"/>
      <c r="K144" s="2207"/>
      <c r="L144" s="2207"/>
      <c r="M144" s="2207"/>
      <c r="N144" s="2207"/>
      <c r="O144" s="2207"/>
      <c r="P144" s="2207"/>
      <c r="Q144" s="2207"/>
      <c r="R144" s="2207"/>
      <c r="S144" s="2207"/>
      <c r="T144" s="2207"/>
      <c r="U144" s="2207"/>
      <c r="V144" s="2207"/>
      <c r="W144" s="2207"/>
      <c r="X144" s="2207"/>
      <c r="Y144" s="2207"/>
      <c r="Z144" s="2207"/>
      <c r="AA144" s="2207"/>
      <c r="AB144" s="2207"/>
      <c r="AC144" s="2207"/>
      <c r="AD144" s="2207"/>
      <c r="AE144" s="2207"/>
      <c r="AF144" s="2207"/>
      <c r="AG144" s="2207"/>
      <c r="AH144" s="2207"/>
      <c r="AI144" s="2207"/>
      <c r="AJ144" s="2207"/>
      <c r="AK144" s="2207"/>
      <c r="AL144" s="2207"/>
      <c r="AM144" s="2207"/>
      <c r="AN144" s="2207"/>
      <c r="AO144" s="2207"/>
      <c r="AP144" s="2207"/>
      <c r="AQ144" s="2207"/>
      <c r="AR144" s="2207"/>
      <c r="AS144" s="2207"/>
      <c r="AT144" s="2207"/>
      <c r="AU144" s="2207"/>
      <c r="AV144" s="2207"/>
      <c r="AW144" s="2207"/>
      <c r="AX144" s="2208"/>
      <c r="AY144" s="1190"/>
      <c r="AZ144" s="1190"/>
      <c r="BA144" s="1190"/>
      <c r="BB144" s="1190"/>
      <c r="BC144" s="1190"/>
      <c r="BD144" s="1190"/>
      <c r="BE144" s="1194"/>
    </row>
    <row r="145" spans="1:57" ht="15.75" customHeight="1">
      <c r="A145" s="1190"/>
      <c r="B145" s="2206"/>
      <c r="C145" s="2207"/>
      <c r="D145" s="2207"/>
      <c r="E145" s="2207"/>
      <c r="F145" s="2207"/>
      <c r="G145" s="2207"/>
      <c r="H145" s="2207"/>
      <c r="I145" s="2207"/>
      <c r="J145" s="2207"/>
      <c r="K145" s="2207"/>
      <c r="L145" s="2207"/>
      <c r="M145" s="2207"/>
      <c r="N145" s="2207"/>
      <c r="O145" s="2207"/>
      <c r="P145" s="2207"/>
      <c r="Q145" s="2207"/>
      <c r="R145" s="2207"/>
      <c r="S145" s="2207"/>
      <c r="T145" s="2207"/>
      <c r="U145" s="2207"/>
      <c r="V145" s="2207"/>
      <c r="W145" s="2207"/>
      <c r="X145" s="2207"/>
      <c r="Y145" s="2207"/>
      <c r="Z145" s="2207"/>
      <c r="AA145" s="2207"/>
      <c r="AB145" s="2207"/>
      <c r="AC145" s="2207"/>
      <c r="AD145" s="2207"/>
      <c r="AE145" s="2207"/>
      <c r="AF145" s="2207"/>
      <c r="AG145" s="2207"/>
      <c r="AH145" s="2207"/>
      <c r="AI145" s="2207"/>
      <c r="AJ145" s="2207"/>
      <c r="AK145" s="2207"/>
      <c r="AL145" s="2207"/>
      <c r="AM145" s="2207"/>
      <c r="AN145" s="2207"/>
      <c r="AO145" s="2207"/>
      <c r="AP145" s="2207"/>
      <c r="AQ145" s="2207"/>
      <c r="AR145" s="2207"/>
      <c r="AS145" s="2207"/>
      <c r="AT145" s="2207"/>
      <c r="AU145" s="2207"/>
      <c r="AV145" s="2207"/>
      <c r="AW145" s="2207"/>
      <c r="AX145" s="2208"/>
      <c r="AY145" s="1190"/>
      <c r="AZ145" s="1190"/>
      <c r="BA145" s="1190"/>
      <c r="BB145" s="1190"/>
      <c r="BC145" s="1190"/>
      <c r="BD145" s="1190"/>
      <c r="BE145" s="1194"/>
    </row>
    <row r="146" spans="1:57" ht="15.75" customHeight="1">
      <c r="A146" s="1190"/>
      <c r="B146" s="2206"/>
      <c r="C146" s="2207"/>
      <c r="D146" s="2207"/>
      <c r="E146" s="2207"/>
      <c r="F146" s="2207"/>
      <c r="G146" s="2207"/>
      <c r="H146" s="2207"/>
      <c r="I146" s="2207"/>
      <c r="J146" s="2207"/>
      <c r="K146" s="2207"/>
      <c r="L146" s="2207"/>
      <c r="M146" s="2207"/>
      <c r="N146" s="2207"/>
      <c r="O146" s="2207"/>
      <c r="P146" s="2207"/>
      <c r="Q146" s="2207"/>
      <c r="R146" s="2207"/>
      <c r="S146" s="2207"/>
      <c r="T146" s="2207"/>
      <c r="U146" s="2207"/>
      <c r="V146" s="2207"/>
      <c r="W146" s="2207"/>
      <c r="X146" s="2207"/>
      <c r="Y146" s="2207"/>
      <c r="Z146" s="2207"/>
      <c r="AA146" s="2207"/>
      <c r="AB146" s="2207"/>
      <c r="AC146" s="2207"/>
      <c r="AD146" s="2207"/>
      <c r="AE146" s="2207"/>
      <c r="AF146" s="2207"/>
      <c r="AG146" s="2207"/>
      <c r="AH146" s="2207"/>
      <c r="AI146" s="2207"/>
      <c r="AJ146" s="2207"/>
      <c r="AK146" s="2207"/>
      <c r="AL146" s="2207"/>
      <c r="AM146" s="2207"/>
      <c r="AN146" s="2207"/>
      <c r="AO146" s="2207"/>
      <c r="AP146" s="2207"/>
      <c r="AQ146" s="2207"/>
      <c r="AR146" s="2207"/>
      <c r="AS146" s="2207"/>
      <c r="AT146" s="2207"/>
      <c r="AU146" s="2207"/>
      <c r="AV146" s="2207"/>
      <c r="AW146" s="2207"/>
      <c r="AX146" s="2208"/>
      <c r="AY146" s="1190"/>
      <c r="AZ146" s="1190"/>
      <c r="BA146" s="1190"/>
      <c r="BB146" s="1190"/>
      <c r="BC146" s="1190"/>
      <c r="BD146" s="1190"/>
      <c r="BE146" s="1194"/>
    </row>
    <row r="147" spans="1:57" ht="15.75" customHeight="1">
      <c r="A147" s="1190"/>
      <c r="B147" s="2206"/>
      <c r="C147" s="2207"/>
      <c r="D147" s="2207"/>
      <c r="E147" s="2207"/>
      <c r="F147" s="2207"/>
      <c r="G147" s="2207"/>
      <c r="H147" s="2207"/>
      <c r="I147" s="2207"/>
      <c r="J147" s="2207"/>
      <c r="K147" s="2207"/>
      <c r="L147" s="2207"/>
      <c r="M147" s="2207"/>
      <c r="N147" s="2207"/>
      <c r="O147" s="2207"/>
      <c r="P147" s="2207"/>
      <c r="Q147" s="2207"/>
      <c r="R147" s="2207"/>
      <c r="S147" s="2207"/>
      <c r="T147" s="2207"/>
      <c r="U147" s="2207"/>
      <c r="V147" s="2207"/>
      <c r="W147" s="2207"/>
      <c r="X147" s="2207"/>
      <c r="Y147" s="2207"/>
      <c r="Z147" s="2207"/>
      <c r="AA147" s="2207"/>
      <c r="AB147" s="2207"/>
      <c r="AC147" s="2207"/>
      <c r="AD147" s="2207"/>
      <c r="AE147" s="2207"/>
      <c r="AF147" s="2207"/>
      <c r="AG147" s="2207"/>
      <c r="AH147" s="2207"/>
      <c r="AI147" s="2207"/>
      <c r="AJ147" s="2207"/>
      <c r="AK147" s="2207"/>
      <c r="AL147" s="2207"/>
      <c r="AM147" s="2207"/>
      <c r="AN147" s="2207"/>
      <c r="AO147" s="2207"/>
      <c r="AP147" s="2207"/>
      <c r="AQ147" s="2207"/>
      <c r="AR147" s="2207"/>
      <c r="AS147" s="2207"/>
      <c r="AT147" s="2207"/>
      <c r="AU147" s="2207"/>
      <c r="AV147" s="2207"/>
      <c r="AW147" s="2207"/>
      <c r="AX147" s="2208"/>
      <c r="AY147" s="1190"/>
      <c r="AZ147" s="1190"/>
      <c r="BA147" s="1190"/>
      <c r="BB147" s="1190"/>
      <c r="BC147" s="1190"/>
      <c r="BD147" s="1190"/>
      <c r="BE147" s="1194"/>
    </row>
    <row r="148" spans="1:57" ht="15.75" customHeight="1">
      <c r="A148" s="1190"/>
      <c r="B148" s="2206"/>
      <c r="C148" s="2207"/>
      <c r="D148" s="2207"/>
      <c r="E148" s="2207"/>
      <c r="F148" s="2207"/>
      <c r="G148" s="2207"/>
      <c r="H148" s="2207"/>
      <c r="I148" s="2207"/>
      <c r="J148" s="2207"/>
      <c r="K148" s="2207"/>
      <c r="L148" s="2207"/>
      <c r="M148" s="2207"/>
      <c r="N148" s="2207"/>
      <c r="O148" s="2207"/>
      <c r="P148" s="2207"/>
      <c r="Q148" s="2207"/>
      <c r="R148" s="2207"/>
      <c r="S148" s="2207"/>
      <c r="T148" s="2207"/>
      <c r="U148" s="2207"/>
      <c r="V148" s="2207"/>
      <c r="W148" s="2207"/>
      <c r="X148" s="2207"/>
      <c r="Y148" s="2207"/>
      <c r="Z148" s="2207"/>
      <c r="AA148" s="2207"/>
      <c r="AB148" s="2207"/>
      <c r="AC148" s="2207"/>
      <c r="AD148" s="2207"/>
      <c r="AE148" s="2207"/>
      <c r="AF148" s="2207"/>
      <c r="AG148" s="2207"/>
      <c r="AH148" s="2207"/>
      <c r="AI148" s="2207"/>
      <c r="AJ148" s="2207"/>
      <c r="AK148" s="2207"/>
      <c r="AL148" s="2207"/>
      <c r="AM148" s="2207"/>
      <c r="AN148" s="2207"/>
      <c r="AO148" s="2207"/>
      <c r="AP148" s="2207"/>
      <c r="AQ148" s="2207"/>
      <c r="AR148" s="2207"/>
      <c r="AS148" s="2207"/>
      <c r="AT148" s="2207"/>
      <c r="AU148" s="2207"/>
      <c r="AV148" s="2207"/>
      <c r="AW148" s="2207"/>
      <c r="AX148" s="2208"/>
      <c r="AY148" s="1190"/>
      <c r="AZ148" s="1190"/>
      <c r="BA148" s="1190"/>
      <c r="BB148" s="1190"/>
      <c r="BC148" s="1190"/>
      <c r="BD148" s="1190"/>
      <c r="BE148" s="1194"/>
    </row>
    <row r="149" spans="1:57" ht="15.75" customHeight="1">
      <c r="A149" s="1190"/>
      <c r="B149" s="2206"/>
      <c r="C149" s="2207"/>
      <c r="D149" s="2207"/>
      <c r="E149" s="2207"/>
      <c r="F149" s="2207"/>
      <c r="G149" s="2207"/>
      <c r="H149" s="2207"/>
      <c r="I149" s="2207"/>
      <c r="J149" s="2207"/>
      <c r="K149" s="2207"/>
      <c r="L149" s="2207"/>
      <c r="M149" s="2207"/>
      <c r="N149" s="2207"/>
      <c r="O149" s="2207"/>
      <c r="P149" s="2207"/>
      <c r="Q149" s="2207"/>
      <c r="R149" s="2207"/>
      <c r="S149" s="2207"/>
      <c r="T149" s="2207"/>
      <c r="U149" s="2207"/>
      <c r="V149" s="2207"/>
      <c r="W149" s="2207"/>
      <c r="X149" s="2207"/>
      <c r="Y149" s="2207"/>
      <c r="Z149" s="2207"/>
      <c r="AA149" s="2207"/>
      <c r="AB149" s="2207"/>
      <c r="AC149" s="2207"/>
      <c r="AD149" s="2207"/>
      <c r="AE149" s="2207"/>
      <c r="AF149" s="2207"/>
      <c r="AG149" s="2207"/>
      <c r="AH149" s="2207"/>
      <c r="AI149" s="2207"/>
      <c r="AJ149" s="2207"/>
      <c r="AK149" s="2207"/>
      <c r="AL149" s="2207"/>
      <c r="AM149" s="2207"/>
      <c r="AN149" s="2207"/>
      <c r="AO149" s="2207"/>
      <c r="AP149" s="2207"/>
      <c r="AQ149" s="2207"/>
      <c r="AR149" s="2207"/>
      <c r="AS149" s="2207"/>
      <c r="AT149" s="2207"/>
      <c r="AU149" s="2207"/>
      <c r="AV149" s="2207"/>
      <c r="AW149" s="2207"/>
      <c r="AX149" s="2208"/>
      <c r="AY149" s="1190"/>
      <c r="AZ149" s="1190"/>
      <c r="BA149" s="1190"/>
      <c r="BB149" s="1190"/>
      <c r="BC149" s="1190"/>
      <c r="BD149" s="1190"/>
      <c r="BE149" s="1194"/>
    </row>
    <row r="150" spans="1:57" ht="15.75" customHeight="1">
      <c r="A150" s="1190"/>
      <c r="B150" s="2206"/>
      <c r="C150" s="2207"/>
      <c r="D150" s="2207"/>
      <c r="E150" s="2207"/>
      <c r="F150" s="2207"/>
      <c r="G150" s="2207"/>
      <c r="H150" s="2207"/>
      <c r="I150" s="2207"/>
      <c r="J150" s="2207"/>
      <c r="K150" s="2207"/>
      <c r="L150" s="2207"/>
      <c r="M150" s="2207"/>
      <c r="N150" s="2207"/>
      <c r="O150" s="2207"/>
      <c r="P150" s="2207"/>
      <c r="Q150" s="2207"/>
      <c r="R150" s="2207"/>
      <c r="S150" s="2207"/>
      <c r="T150" s="2207"/>
      <c r="U150" s="2207"/>
      <c r="V150" s="2207"/>
      <c r="W150" s="2207"/>
      <c r="X150" s="2207"/>
      <c r="Y150" s="2207"/>
      <c r="Z150" s="2207"/>
      <c r="AA150" s="2207"/>
      <c r="AB150" s="2207"/>
      <c r="AC150" s="2207"/>
      <c r="AD150" s="2207"/>
      <c r="AE150" s="2207"/>
      <c r="AF150" s="2207"/>
      <c r="AG150" s="2207"/>
      <c r="AH150" s="2207"/>
      <c r="AI150" s="2207"/>
      <c r="AJ150" s="2207"/>
      <c r="AK150" s="2207"/>
      <c r="AL150" s="2207"/>
      <c r="AM150" s="2207"/>
      <c r="AN150" s="2207"/>
      <c r="AO150" s="2207"/>
      <c r="AP150" s="2207"/>
      <c r="AQ150" s="2207"/>
      <c r="AR150" s="2207"/>
      <c r="AS150" s="2207"/>
      <c r="AT150" s="2207"/>
      <c r="AU150" s="2207"/>
      <c r="AV150" s="2207"/>
      <c r="AW150" s="2207"/>
      <c r="AX150" s="2208"/>
      <c r="AY150" s="1190"/>
      <c r="AZ150" s="1190"/>
      <c r="BA150" s="1190"/>
      <c r="BB150" s="1190"/>
      <c r="BC150" s="1190"/>
      <c r="BD150" s="1190"/>
      <c r="BE150" s="1194"/>
    </row>
    <row r="151" spans="1:57" ht="15.75" customHeight="1">
      <c r="A151" s="1190"/>
      <c r="B151" s="2206"/>
      <c r="C151" s="2207"/>
      <c r="D151" s="2207"/>
      <c r="E151" s="2207"/>
      <c r="F151" s="2207"/>
      <c r="G151" s="2207"/>
      <c r="H151" s="2207"/>
      <c r="I151" s="2207"/>
      <c r="J151" s="2207"/>
      <c r="K151" s="2207"/>
      <c r="L151" s="2207"/>
      <c r="M151" s="2207"/>
      <c r="N151" s="2207"/>
      <c r="O151" s="2207"/>
      <c r="P151" s="2207"/>
      <c r="Q151" s="2207"/>
      <c r="R151" s="2207"/>
      <c r="S151" s="2207"/>
      <c r="T151" s="2207"/>
      <c r="U151" s="2207"/>
      <c r="V151" s="2207"/>
      <c r="W151" s="2207"/>
      <c r="X151" s="2207"/>
      <c r="Y151" s="2207"/>
      <c r="Z151" s="2207"/>
      <c r="AA151" s="2207"/>
      <c r="AB151" s="2207"/>
      <c r="AC151" s="2207"/>
      <c r="AD151" s="2207"/>
      <c r="AE151" s="2207"/>
      <c r="AF151" s="2207"/>
      <c r="AG151" s="2207"/>
      <c r="AH151" s="2207"/>
      <c r="AI151" s="2207"/>
      <c r="AJ151" s="2207"/>
      <c r="AK151" s="2207"/>
      <c r="AL151" s="2207"/>
      <c r="AM151" s="2207"/>
      <c r="AN151" s="2207"/>
      <c r="AO151" s="2207"/>
      <c r="AP151" s="2207"/>
      <c r="AQ151" s="2207"/>
      <c r="AR151" s="2207"/>
      <c r="AS151" s="2207"/>
      <c r="AT151" s="2207"/>
      <c r="AU151" s="2207"/>
      <c r="AV151" s="2207"/>
      <c r="AW151" s="2207"/>
      <c r="AX151" s="2208"/>
      <c r="AY151" s="1190"/>
      <c r="AZ151" s="1190"/>
      <c r="BA151" s="1190"/>
      <c r="BB151" s="1190"/>
      <c r="BC151" s="1190"/>
      <c r="BD151" s="1190"/>
      <c r="BE151" s="1194"/>
    </row>
    <row r="152" spans="1:57" ht="15.75" customHeight="1" thickBot="1">
      <c r="A152" s="1190"/>
      <c r="B152" s="2209"/>
      <c r="C152" s="2210"/>
      <c r="D152" s="2210"/>
      <c r="E152" s="2210"/>
      <c r="F152" s="2210"/>
      <c r="G152" s="2210"/>
      <c r="H152" s="2210"/>
      <c r="I152" s="2210"/>
      <c r="J152" s="2210"/>
      <c r="K152" s="2210"/>
      <c r="L152" s="2210"/>
      <c r="M152" s="2210"/>
      <c r="N152" s="2210"/>
      <c r="O152" s="2210"/>
      <c r="P152" s="2210"/>
      <c r="Q152" s="2210"/>
      <c r="R152" s="2210"/>
      <c r="S152" s="2210"/>
      <c r="T152" s="2210"/>
      <c r="U152" s="2210"/>
      <c r="V152" s="2210"/>
      <c r="W152" s="2210"/>
      <c r="X152" s="2210"/>
      <c r="Y152" s="2210"/>
      <c r="Z152" s="2210"/>
      <c r="AA152" s="2210"/>
      <c r="AB152" s="2210"/>
      <c r="AC152" s="2210"/>
      <c r="AD152" s="2210"/>
      <c r="AE152" s="2210"/>
      <c r="AF152" s="2210"/>
      <c r="AG152" s="2210"/>
      <c r="AH152" s="2210"/>
      <c r="AI152" s="2210"/>
      <c r="AJ152" s="2210"/>
      <c r="AK152" s="2210"/>
      <c r="AL152" s="2210"/>
      <c r="AM152" s="2210"/>
      <c r="AN152" s="2210"/>
      <c r="AO152" s="2210"/>
      <c r="AP152" s="2210"/>
      <c r="AQ152" s="2210"/>
      <c r="AR152" s="2210"/>
      <c r="AS152" s="2210"/>
      <c r="AT152" s="2210"/>
      <c r="AU152" s="2210"/>
      <c r="AV152" s="2210"/>
      <c r="AW152" s="2210"/>
      <c r="AX152" s="221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2351</v>
      </c>
      <c r="C156" s="2070"/>
      <c r="D156" s="2070"/>
      <c r="E156" s="2070"/>
      <c r="F156" s="2070"/>
      <c r="G156" s="2070"/>
      <c r="H156" s="2070"/>
      <c r="I156" s="2070"/>
      <c r="J156" s="2070"/>
      <c r="K156" s="2070"/>
      <c r="L156" s="2070"/>
      <c r="M156" s="2070"/>
      <c r="N156" s="2070"/>
      <c r="O156" s="2070"/>
      <c r="P156" s="2070"/>
      <c r="Q156" s="2070"/>
      <c r="R156" s="2070"/>
      <c r="S156" s="2070"/>
      <c r="T156" s="2070"/>
      <c r="U156" s="2071"/>
      <c r="V156" s="1190"/>
      <c r="W156" s="1192"/>
      <c r="X156" s="2069" t="s">
        <v>2350</v>
      </c>
      <c r="Y156" s="2070"/>
      <c r="Z156" s="2070"/>
      <c r="AA156" s="2070"/>
      <c r="AB156" s="2070"/>
      <c r="AC156" s="2070"/>
      <c r="AD156" s="2070"/>
      <c r="AE156" s="2070"/>
      <c r="AF156" s="2070"/>
      <c r="AG156" s="2070"/>
      <c r="AH156" s="2070"/>
      <c r="AI156" s="2070"/>
      <c r="AJ156" s="2070"/>
      <c r="AK156" s="2070"/>
      <c r="AL156" s="2070"/>
      <c r="AM156" s="2070"/>
      <c r="AN156" s="2070"/>
      <c r="AO156" s="2070"/>
      <c r="AP156" s="2070"/>
      <c r="AQ156" s="2071"/>
      <c r="AR156" s="1190"/>
      <c r="AS156" s="1190"/>
      <c r="AT156" s="1190"/>
      <c r="AU156" s="1190"/>
      <c r="AV156" s="1190"/>
      <c r="AW156" s="1190"/>
      <c r="AX156" s="1190"/>
      <c r="AY156" s="1190"/>
      <c r="AZ156" s="1190"/>
      <c r="BA156" s="1190"/>
      <c r="BB156" s="1190"/>
      <c r="BC156" s="1190"/>
      <c r="BD156" s="1190"/>
      <c r="BE156" s="1194"/>
    </row>
    <row r="157" spans="1:57" ht="15.75" customHeight="1">
      <c r="A157" s="1190"/>
      <c r="B157" s="2214"/>
      <c r="C157" s="2215"/>
      <c r="D157" s="2215"/>
      <c r="E157" s="2215"/>
      <c r="F157" s="2215"/>
      <c r="G157" s="2215"/>
      <c r="H157" s="2215"/>
      <c r="I157" s="2216" t="s">
        <v>2348</v>
      </c>
      <c r="J157" s="2216"/>
      <c r="K157" s="2216"/>
      <c r="L157" s="2216"/>
      <c r="M157" s="2216"/>
      <c r="N157" s="2216"/>
      <c r="O157" s="2216"/>
      <c r="P157" s="2216" t="s">
        <v>2349</v>
      </c>
      <c r="Q157" s="2216"/>
      <c r="R157" s="2216"/>
      <c r="S157" s="2216"/>
      <c r="T157" s="2216"/>
      <c r="U157" s="2217"/>
      <c r="V157" s="1190"/>
      <c r="W157" s="1190"/>
      <c r="X157" s="2214"/>
      <c r="Y157" s="2215"/>
      <c r="Z157" s="2215"/>
      <c r="AA157" s="2215"/>
      <c r="AB157" s="2215"/>
      <c r="AC157" s="2215"/>
      <c r="AD157" s="2215"/>
      <c r="AE157" s="2216" t="s">
        <v>2348</v>
      </c>
      <c r="AF157" s="2216"/>
      <c r="AG157" s="2216"/>
      <c r="AH157" s="2216"/>
      <c r="AI157" s="2216"/>
      <c r="AJ157" s="2216"/>
      <c r="AK157" s="2216"/>
      <c r="AL157" s="2216" t="s">
        <v>2347</v>
      </c>
      <c r="AM157" s="2216"/>
      <c r="AN157" s="2216"/>
      <c r="AO157" s="2216"/>
      <c r="AP157" s="2216"/>
      <c r="AQ157" s="2217"/>
      <c r="AR157" s="1190"/>
      <c r="AS157" s="1190"/>
      <c r="AT157" s="1190"/>
      <c r="AU157" s="1190"/>
      <c r="AV157" s="1190"/>
      <c r="AW157" s="1190"/>
      <c r="AX157" s="1190"/>
      <c r="AY157" s="1190"/>
      <c r="AZ157" s="1190"/>
      <c r="BA157" s="1190"/>
      <c r="BB157" s="1190"/>
      <c r="BC157" s="1190"/>
      <c r="BD157" s="1190"/>
      <c r="BE157" s="1194"/>
    </row>
    <row r="158" spans="1:57" ht="15.75" customHeight="1">
      <c r="A158" s="1190"/>
      <c r="B158" s="2214"/>
      <c r="C158" s="2215"/>
      <c r="D158" s="2215"/>
      <c r="E158" s="2215"/>
      <c r="F158" s="2215"/>
      <c r="G158" s="2215"/>
      <c r="H158" s="2215"/>
      <c r="I158" s="2216"/>
      <c r="J158" s="2216"/>
      <c r="K158" s="2216"/>
      <c r="L158" s="2216"/>
      <c r="M158" s="2216"/>
      <c r="N158" s="2216"/>
      <c r="O158" s="2216"/>
      <c r="P158" s="2216"/>
      <c r="Q158" s="2216"/>
      <c r="R158" s="2216"/>
      <c r="S158" s="2216"/>
      <c r="T158" s="2216"/>
      <c r="U158" s="2217"/>
      <c r="V158" s="1190"/>
      <c r="W158" s="1190"/>
      <c r="X158" s="2214"/>
      <c r="Y158" s="2215"/>
      <c r="Z158" s="2215"/>
      <c r="AA158" s="2215"/>
      <c r="AB158" s="2215"/>
      <c r="AC158" s="2215"/>
      <c r="AD158" s="2215"/>
      <c r="AE158" s="2216"/>
      <c r="AF158" s="2216"/>
      <c r="AG158" s="2216"/>
      <c r="AH158" s="2216"/>
      <c r="AI158" s="2216"/>
      <c r="AJ158" s="2216"/>
      <c r="AK158" s="2216"/>
      <c r="AL158" s="2216"/>
      <c r="AM158" s="2216"/>
      <c r="AN158" s="2216"/>
      <c r="AO158" s="2216"/>
      <c r="AP158" s="2216"/>
      <c r="AQ158" s="221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72" t="s">
        <v>2346</v>
      </c>
      <c r="C159" s="2173"/>
      <c r="D159" s="2173"/>
      <c r="E159" s="2173"/>
      <c r="F159" s="2173"/>
      <c r="G159" s="2173"/>
      <c r="H159" s="2173"/>
      <c r="I159" s="2149">
        <v>0</v>
      </c>
      <c r="J159" s="2149"/>
      <c r="K159" s="2149"/>
      <c r="L159" s="2149"/>
      <c r="M159" s="2149"/>
      <c r="N159" s="2149"/>
      <c r="O159" s="2149"/>
      <c r="P159" s="2149">
        <v>0</v>
      </c>
      <c r="Q159" s="2149"/>
      <c r="R159" s="2149"/>
      <c r="S159" s="2149"/>
      <c r="T159" s="2149"/>
      <c r="U159" s="2150"/>
      <c r="V159" s="1190"/>
      <c r="W159" s="1190"/>
      <c r="X159" s="2174" t="s">
        <v>2346</v>
      </c>
      <c r="Y159" s="2175"/>
      <c r="Z159" s="2175"/>
      <c r="AA159" s="2175"/>
      <c r="AB159" s="2175"/>
      <c r="AC159" s="2175"/>
      <c r="AD159" s="2175"/>
      <c r="AE159" s="2164">
        <v>0</v>
      </c>
      <c r="AF159" s="2164"/>
      <c r="AG159" s="2164"/>
      <c r="AH159" s="2164"/>
      <c r="AI159" s="2164"/>
      <c r="AJ159" s="2164"/>
      <c r="AK159" s="2164"/>
      <c r="AL159" s="2164">
        <v>0</v>
      </c>
      <c r="AM159" s="2164"/>
      <c r="AN159" s="2164"/>
      <c r="AO159" s="2164"/>
      <c r="AP159" s="2164"/>
      <c r="AQ159" s="216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74" t="s">
        <v>2345</v>
      </c>
      <c r="C160" s="2175"/>
      <c r="D160" s="2175"/>
      <c r="E160" s="2175"/>
      <c r="F160" s="2175"/>
      <c r="G160" s="2175"/>
      <c r="H160" s="2175"/>
      <c r="I160" s="2164">
        <v>0</v>
      </c>
      <c r="J160" s="2164"/>
      <c r="K160" s="2164"/>
      <c r="L160" s="2164"/>
      <c r="M160" s="2164"/>
      <c r="N160" s="2164"/>
      <c r="O160" s="2164"/>
      <c r="P160" s="2164">
        <v>0</v>
      </c>
      <c r="Q160" s="2164"/>
      <c r="R160" s="2164"/>
      <c r="S160" s="2164"/>
      <c r="T160" s="2164"/>
      <c r="U160" s="216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2344</v>
      </c>
      <c r="D162" s="2070"/>
      <c r="E162" s="2070"/>
      <c r="F162" s="2070"/>
      <c r="G162" s="2070"/>
      <c r="H162" s="2070"/>
      <c r="I162" s="2070"/>
      <c r="J162" s="2070"/>
      <c r="K162" s="2070"/>
      <c r="L162" s="2070"/>
      <c r="M162" s="2070"/>
      <c r="N162" s="2070"/>
      <c r="O162" s="2070"/>
      <c r="P162" s="2070"/>
      <c r="Q162" s="2070"/>
      <c r="R162" s="2070"/>
      <c r="S162" s="2070"/>
      <c r="T162" s="2070"/>
      <c r="U162" s="2070"/>
      <c r="V162" s="2070"/>
      <c r="W162" s="2070"/>
      <c r="X162" s="2070"/>
      <c r="Y162" s="2070"/>
      <c r="Z162" s="2070"/>
      <c r="AA162" s="2070"/>
      <c r="AB162" s="2070"/>
      <c r="AC162" s="2070"/>
      <c r="AD162" s="2070"/>
      <c r="AE162" s="2070"/>
      <c r="AF162" s="2070"/>
      <c r="AG162" s="207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214" t="s">
        <v>2329</v>
      </c>
      <c r="D163" s="2215"/>
      <c r="E163" s="2215"/>
      <c r="F163" s="2215"/>
      <c r="G163" s="2215"/>
      <c r="H163" s="2215"/>
      <c r="I163" s="2215"/>
      <c r="J163" s="2215"/>
      <c r="K163" s="2215"/>
      <c r="L163" s="2215"/>
      <c r="M163" s="2215"/>
      <c r="N163" s="2215"/>
      <c r="O163" s="2215"/>
      <c r="P163" s="2215"/>
      <c r="Q163" s="2215" t="s">
        <v>2343</v>
      </c>
      <c r="R163" s="2215"/>
      <c r="S163" s="2215"/>
      <c r="T163" s="2160" t="s">
        <v>2342</v>
      </c>
      <c r="U163" s="2160"/>
      <c r="V163" s="2160"/>
      <c r="W163" s="2160"/>
      <c r="X163" s="2160"/>
      <c r="Y163" s="2160"/>
      <c r="Z163" s="2160"/>
      <c r="AA163" s="2160"/>
      <c r="AB163" s="2215" t="s">
        <v>2341</v>
      </c>
      <c r="AC163" s="2215"/>
      <c r="AD163" s="2215"/>
      <c r="AE163" s="2215"/>
      <c r="AF163" s="2215"/>
      <c r="AG163" s="222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218" t="s">
        <v>2340</v>
      </c>
      <c r="D164" s="2219"/>
      <c r="E164" s="2219"/>
      <c r="F164" s="2219"/>
      <c r="G164" s="2219"/>
      <c r="H164" s="2219"/>
      <c r="I164" s="2219"/>
      <c r="J164" s="2219"/>
      <c r="K164" s="2219"/>
      <c r="L164" s="2219"/>
      <c r="M164" s="2219"/>
      <c r="N164" s="2219"/>
      <c r="O164" s="2219"/>
      <c r="P164" s="2219"/>
      <c r="Q164" s="2220">
        <v>55</v>
      </c>
      <c r="R164" s="2220"/>
      <c r="S164" s="2220"/>
      <c r="T164" s="2221"/>
      <c r="U164" s="2221"/>
      <c r="V164" s="2221"/>
      <c r="W164" s="2221"/>
      <c r="X164" s="2221"/>
      <c r="Y164" s="2221"/>
      <c r="Z164" s="2221"/>
      <c r="AA164" s="222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218" t="s">
        <v>2339</v>
      </c>
      <c r="D165" s="2219"/>
      <c r="E165" s="2219"/>
      <c r="F165" s="2219"/>
      <c r="G165" s="2219"/>
      <c r="H165" s="2219"/>
      <c r="I165" s="2219"/>
      <c r="J165" s="2219"/>
      <c r="K165" s="2219"/>
      <c r="L165" s="2219"/>
      <c r="M165" s="2219"/>
      <c r="N165" s="2219"/>
      <c r="O165" s="2219"/>
      <c r="P165" s="2219"/>
      <c r="Q165" s="2220">
        <v>55</v>
      </c>
      <c r="R165" s="2220"/>
      <c r="S165" s="2220"/>
      <c r="T165" s="2222"/>
      <c r="U165" s="2222"/>
      <c r="V165" s="2222"/>
      <c r="W165" s="2222"/>
      <c r="X165" s="2222"/>
      <c r="Y165" s="2222"/>
      <c r="Z165" s="2222"/>
      <c r="AA165" s="222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218" t="s">
        <v>2338</v>
      </c>
      <c r="D166" s="2219"/>
      <c r="E166" s="2219"/>
      <c r="F166" s="2219"/>
      <c r="G166" s="2219"/>
      <c r="H166" s="2219"/>
      <c r="I166" s="2219"/>
      <c r="J166" s="2219"/>
      <c r="K166" s="2219"/>
      <c r="L166" s="2219"/>
      <c r="M166" s="2219"/>
      <c r="N166" s="2219"/>
      <c r="O166" s="2219"/>
      <c r="P166" s="2219"/>
      <c r="Q166" s="2220">
        <v>55</v>
      </c>
      <c r="R166" s="2220"/>
      <c r="S166" s="2220"/>
      <c r="T166" s="2221"/>
      <c r="U166" s="2221"/>
      <c r="V166" s="2221"/>
      <c r="W166" s="2221"/>
      <c r="X166" s="2221"/>
      <c r="Y166" s="2221"/>
      <c r="Z166" s="2221"/>
      <c r="AA166" s="222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218" t="s">
        <v>2337</v>
      </c>
      <c r="D167" s="2219"/>
      <c r="E167" s="2219"/>
      <c r="F167" s="2219"/>
      <c r="G167" s="2219"/>
      <c r="H167" s="2219"/>
      <c r="I167" s="2219"/>
      <c r="J167" s="2219"/>
      <c r="K167" s="2219"/>
      <c r="L167" s="2219"/>
      <c r="M167" s="2219"/>
      <c r="N167" s="2219"/>
      <c r="O167" s="2219"/>
      <c r="P167" s="2219"/>
      <c r="Q167" s="2220">
        <v>55</v>
      </c>
      <c r="R167" s="2220"/>
      <c r="S167" s="2220"/>
      <c r="T167" s="2221"/>
      <c r="U167" s="2221"/>
      <c r="V167" s="2221"/>
      <c r="W167" s="2221"/>
      <c r="X167" s="2221"/>
      <c r="Y167" s="2221"/>
      <c r="Z167" s="2221"/>
      <c r="AA167" s="2221"/>
      <c r="AB167" s="2224">
        <v>0</v>
      </c>
      <c r="AC167" s="2224"/>
      <c r="AD167" s="2224"/>
      <c r="AE167" s="2224"/>
      <c r="AF167" s="2224"/>
      <c r="AG167" s="222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218" t="s">
        <v>170</v>
      </c>
      <c r="D168" s="2219"/>
      <c r="E168" s="2219"/>
      <c r="F168" s="2226" t="s">
        <v>2318</v>
      </c>
      <c r="G168" s="2226"/>
      <c r="H168" s="2226"/>
      <c r="I168" s="2226"/>
      <c r="J168" s="2226"/>
      <c r="K168" s="2226"/>
      <c r="L168" s="2226"/>
      <c r="M168" s="2226"/>
      <c r="N168" s="2226"/>
      <c r="O168" s="2226"/>
      <c r="P168" s="2226"/>
      <c r="Q168" s="2220">
        <v>55</v>
      </c>
      <c r="R168" s="2220"/>
      <c r="S168" s="2220"/>
      <c r="T168" s="2222"/>
      <c r="U168" s="2222"/>
      <c r="V168" s="2222"/>
      <c r="W168" s="2222"/>
      <c r="X168" s="2222"/>
      <c r="Y168" s="2222"/>
      <c r="Z168" s="2222"/>
      <c r="AA168" s="2222"/>
      <c r="AB168" s="2224">
        <v>0</v>
      </c>
      <c r="AC168" s="2224"/>
      <c r="AD168" s="2224"/>
      <c r="AE168" s="2224"/>
      <c r="AF168" s="2224"/>
      <c r="AG168" s="222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218" t="s">
        <v>170</v>
      </c>
      <c r="D169" s="2219"/>
      <c r="E169" s="2219"/>
      <c r="F169" s="2226" t="s">
        <v>2318</v>
      </c>
      <c r="G169" s="2226"/>
      <c r="H169" s="2226"/>
      <c r="I169" s="2226"/>
      <c r="J169" s="2226"/>
      <c r="K169" s="2226"/>
      <c r="L169" s="2226"/>
      <c r="M169" s="2226"/>
      <c r="N169" s="2226"/>
      <c r="O169" s="2226"/>
      <c r="P169" s="2226"/>
      <c r="Q169" s="2220">
        <v>55</v>
      </c>
      <c r="R169" s="2220"/>
      <c r="S169" s="2220"/>
      <c r="T169" s="2222"/>
      <c r="U169" s="2222"/>
      <c r="V169" s="2222"/>
      <c r="W169" s="2222"/>
      <c r="X169" s="2222"/>
      <c r="Y169" s="2222"/>
      <c r="Z169" s="2222"/>
      <c r="AA169" s="2222"/>
      <c r="AB169" s="2224">
        <v>0</v>
      </c>
      <c r="AC169" s="2224"/>
      <c r="AD169" s="2224"/>
      <c r="AE169" s="2224"/>
      <c r="AF169" s="2224"/>
      <c r="AG169" s="2225"/>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227" t="s">
        <v>170</v>
      </c>
      <c r="D170" s="2228"/>
      <c r="E170" s="2228"/>
      <c r="F170" s="2229" t="s">
        <v>2318</v>
      </c>
      <c r="G170" s="2229"/>
      <c r="H170" s="2229"/>
      <c r="I170" s="2229"/>
      <c r="J170" s="2229"/>
      <c r="K170" s="2229"/>
      <c r="L170" s="2229"/>
      <c r="M170" s="2229"/>
      <c r="N170" s="2229"/>
      <c r="O170" s="2229"/>
      <c r="P170" s="2229"/>
      <c r="Q170" s="2230">
        <v>55</v>
      </c>
      <c r="R170" s="2230"/>
      <c r="S170" s="2230"/>
      <c r="T170" s="2231"/>
      <c r="U170" s="2231"/>
      <c r="V170" s="2231"/>
      <c r="W170" s="2231"/>
      <c r="X170" s="2231"/>
      <c r="Y170" s="2231"/>
      <c r="Z170" s="2231"/>
      <c r="AA170" s="2231"/>
      <c r="AB170" s="2232">
        <v>0</v>
      </c>
      <c r="AC170" s="2232"/>
      <c r="AD170" s="2232"/>
      <c r="AE170" s="2232"/>
      <c r="AF170" s="2232"/>
      <c r="AG170" s="223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118" t="s">
        <v>2336</v>
      </c>
      <c r="D172" s="2119"/>
      <c r="E172" s="2119"/>
      <c r="F172" s="2119"/>
      <c r="G172" s="2119"/>
      <c r="H172" s="2119"/>
      <c r="I172" s="2119"/>
      <c r="J172" s="2119"/>
      <c r="K172" s="2119"/>
      <c r="L172" s="2119"/>
      <c r="M172" s="2119"/>
      <c r="N172" s="2169"/>
      <c r="O172" s="1190"/>
      <c r="P172" s="2234" t="s">
        <v>2335</v>
      </c>
      <c r="Q172" s="2235"/>
      <c r="R172" s="2235"/>
      <c r="S172" s="2235"/>
      <c r="T172" s="2235"/>
      <c r="U172" s="2235"/>
      <c r="V172" s="2235"/>
      <c r="W172" s="2235"/>
      <c r="X172" s="2235"/>
      <c r="Y172" s="2235"/>
      <c r="Z172" s="2235"/>
      <c r="AA172" s="2235"/>
      <c r="AB172" s="2235"/>
      <c r="AC172" s="2235"/>
      <c r="AD172" s="2235"/>
      <c r="AE172" s="2235"/>
      <c r="AF172" s="2235"/>
      <c r="AG172" s="2235"/>
      <c r="AH172" s="2235"/>
      <c r="AI172" s="2235"/>
      <c r="AJ172" s="2235"/>
      <c r="AK172" s="2235"/>
      <c r="AL172" s="2235"/>
      <c r="AM172" s="2235"/>
      <c r="AN172" s="2235"/>
      <c r="AO172" s="22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214" t="s">
        <v>2334</v>
      </c>
      <c r="D173" s="2215"/>
      <c r="E173" s="2215"/>
      <c r="F173" s="2215"/>
      <c r="G173" s="2215"/>
      <c r="H173" s="2215"/>
      <c r="I173" s="2215" t="s">
        <v>2333</v>
      </c>
      <c r="J173" s="2215"/>
      <c r="K173" s="2215"/>
      <c r="L173" s="2215"/>
      <c r="M173" s="2215"/>
      <c r="N173" s="2223"/>
      <c r="O173" s="1190"/>
      <c r="P173" s="2138" t="s">
        <v>2332</v>
      </c>
      <c r="Q173" s="2139"/>
      <c r="R173" s="2139"/>
      <c r="S173" s="2139"/>
      <c r="T173" s="2139"/>
      <c r="U173" s="2139"/>
      <c r="V173" s="2139"/>
      <c r="W173" s="2139"/>
      <c r="X173" s="2139"/>
      <c r="Y173" s="2139"/>
      <c r="Z173" s="2139"/>
      <c r="AA173" s="2139"/>
      <c r="AB173" s="2139"/>
      <c r="AC173" s="2139"/>
      <c r="AD173" s="2139"/>
      <c r="AE173" s="2139"/>
      <c r="AF173" s="2139"/>
      <c r="AG173" s="2139"/>
      <c r="AH173" s="2139"/>
      <c r="AI173" s="2139"/>
      <c r="AJ173" s="2139"/>
      <c r="AK173" s="2139"/>
      <c r="AL173" s="2139"/>
      <c r="AM173" s="2139"/>
      <c r="AN173" s="2139"/>
      <c r="AO173" s="214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144"/>
      <c r="D174" s="2076"/>
      <c r="E174" s="2076"/>
      <c r="F174" s="2076"/>
      <c r="G174" s="2076"/>
      <c r="H174" s="2076"/>
      <c r="I174" s="2221"/>
      <c r="J174" s="2221"/>
      <c r="K174" s="2221"/>
      <c r="L174" s="2221"/>
      <c r="M174" s="2221"/>
      <c r="N174" s="2237"/>
      <c r="O174" s="1190"/>
      <c r="P174" s="2138"/>
      <c r="Q174" s="2139"/>
      <c r="R174" s="2139"/>
      <c r="S174" s="2139"/>
      <c r="T174" s="2139"/>
      <c r="U174" s="2139"/>
      <c r="V174" s="2139"/>
      <c r="W174" s="2139"/>
      <c r="X174" s="2139"/>
      <c r="Y174" s="2139"/>
      <c r="Z174" s="2139"/>
      <c r="AA174" s="2139"/>
      <c r="AB174" s="2139"/>
      <c r="AC174" s="2139"/>
      <c r="AD174" s="2139"/>
      <c r="AE174" s="2139"/>
      <c r="AF174" s="2139"/>
      <c r="AG174" s="2139"/>
      <c r="AH174" s="2139"/>
      <c r="AI174" s="2139"/>
      <c r="AJ174" s="2139"/>
      <c r="AK174" s="2139"/>
      <c r="AL174" s="2139"/>
      <c r="AM174" s="2139"/>
      <c r="AN174" s="2139"/>
      <c r="AO174" s="214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144"/>
      <c r="D175" s="2076"/>
      <c r="E175" s="2076"/>
      <c r="F175" s="2076"/>
      <c r="G175" s="2076"/>
      <c r="H175" s="2076"/>
      <c r="I175" s="2221"/>
      <c r="J175" s="2221"/>
      <c r="K175" s="2221"/>
      <c r="L175" s="2221"/>
      <c r="M175" s="2221"/>
      <c r="N175" s="2237"/>
      <c r="O175" s="1190"/>
      <c r="P175" s="2138"/>
      <c r="Q175" s="2139"/>
      <c r="R175" s="2139"/>
      <c r="S175" s="2139"/>
      <c r="T175" s="2139"/>
      <c r="U175" s="2139"/>
      <c r="V175" s="2139"/>
      <c r="W175" s="2139"/>
      <c r="X175" s="2139"/>
      <c r="Y175" s="2139"/>
      <c r="Z175" s="2139"/>
      <c r="AA175" s="2139"/>
      <c r="AB175" s="2139"/>
      <c r="AC175" s="2139"/>
      <c r="AD175" s="2139"/>
      <c r="AE175" s="2139"/>
      <c r="AF175" s="2139"/>
      <c r="AG175" s="2139"/>
      <c r="AH175" s="2139"/>
      <c r="AI175" s="2139"/>
      <c r="AJ175" s="2139"/>
      <c r="AK175" s="2139"/>
      <c r="AL175" s="2139"/>
      <c r="AM175" s="2139"/>
      <c r="AN175" s="2139"/>
      <c r="AO175" s="214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144"/>
      <c r="D176" s="2076"/>
      <c r="E176" s="2076"/>
      <c r="F176" s="2076"/>
      <c r="G176" s="2076"/>
      <c r="H176" s="2076"/>
      <c r="I176" s="2221"/>
      <c r="J176" s="2221"/>
      <c r="K176" s="2221"/>
      <c r="L176" s="2221"/>
      <c r="M176" s="2221"/>
      <c r="N176" s="2237"/>
      <c r="O176" s="1190"/>
      <c r="P176" s="2138"/>
      <c r="Q176" s="2139"/>
      <c r="R176" s="2139"/>
      <c r="S176" s="2139"/>
      <c r="T176" s="2139"/>
      <c r="U176" s="2139"/>
      <c r="V176" s="2139"/>
      <c r="W176" s="2139"/>
      <c r="X176" s="2139"/>
      <c r="Y176" s="2139"/>
      <c r="Z176" s="2139"/>
      <c r="AA176" s="2139"/>
      <c r="AB176" s="2139"/>
      <c r="AC176" s="2139"/>
      <c r="AD176" s="2139"/>
      <c r="AE176" s="2139"/>
      <c r="AF176" s="2139"/>
      <c r="AG176" s="2139"/>
      <c r="AH176" s="2139"/>
      <c r="AI176" s="2139"/>
      <c r="AJ176" s="2139"/>
      <c r="AK176" s="2139"/>
      <c r="AL176" s="2139"/>
      <c r="AM176" s="2139"/>
      <c r="AN176" s="2139"/>
      <c r="AO176" s="214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144"/>
      <c r="D177" s="2076"/>
      <c r="E177" s="2076"/>
      <c r="F177" s="2076"/>
      <c r="G177" s="2076"/>
      <c r="H177" s="2076"/>
      <c r="I177" s="2221"/>
      <c r="J177" s="2221"/>
      <c r="K177" s="2221"/>
      <c r="L177" s="2221"/>
      <c r="M177" s="2221"/>
      <c r="N177" s="2237"/>
      <c r="O177" s="1190"/>
      <c r="P177" s="2138"/>
      <c r="Q177" s="2139"/>
      <c r="R177" s="2139"/>
      <c r="S177" s="2139"/>
      <c r="T177" s="2139"/>
      <c r="U177" s="2139"/>
      <c r="V177" s="2139"/>
      <c r="W177" s="2139"/>
      <c r="X177" s="2139"/>
      <c r="Y177" s="2139"/>
      <c r="Z177" s="2139"/>
      <c r="AA177" s="2139"/>
      <c r="AB177" s="2139"/>
      <c r="AC177" s="2139"/>
      <c r="AD177" s="2139"/>
      <c r="AE177" s="2139"/>
      <c r="AF177" s="2139"/>
      <c r="AG177" s="2139"/>
      <c r="AH177" s="2139"/>
      <c r="AI177" s="2139"/>
      <c r="AJ177" s="2139"/>
      <c r="AK177" s="2139"/>
      <c r="AL177" s="2139"/>
      <c r="AM177" s="2139"/>
      <c r="AN177" s="2139"/>
      <c r="AO177" s="214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144"/>
      <c r="D178" s="2076"/>
      <c r="E178" s="2076"/>
      <c r="F178" s="2076"/>
      <c r="G178" s="2076"/>
      <c r="H178" s="2076"/>
      <c r="I178" s="2221"/>
      <c r="J178" s="2221"/>
      <c r="K178" s="2221"/>
      <c r="L178" s="2221"/>
      <c r="M178" s="2221"/>
      <c r="N178" s="2237"/>
      <c r="O178" s="1190"/>
      <c r="P178" s="2138"/>
      <c r="Q178" s="2139"/>
      <c r="R178" s="2139"/>
      <c r="S178" s="2139"/>
      <c r="T178" s="2139"/>
      <c r="U178" s="2139"/>
      <c r="V178" s="2139"/>
      <c r="W178" s="2139"/>
      <c r="X178" s="2139"/>
      <c r="Y178" s="2139"/>
      <c r="Z178" s="2139"/>
      <c r="AA178" s="2139"/>
      <c r="AB178" s="2139"/>
      <c r="AC178" s="2139"/>
      <c r="AD178" s="2139"/>
      <c r="AE178" s="2139"/>
      <c r="AF178" s="2139"/>
      <c r="AG178" s="2139"/>
      <c r="AH178" s="2139"/>
      <c r="AI178" s="2139"/>
      <c r="AJ178" s="2139"/>
      <c r="AK178" s="2139"/>
      <c r="AL178" s="2139"/>
      <c r="AM178" s="2139"/>
      <c r="AN178" s="2139"/>
      <c r="AO178" s="214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144"/>
      <c r="D179" s="2076"/>
      <c r="E179" s="2076"/>
      <c r="F179" s="2076"/>
      <c r="G179" s="2076"/>
      <c r="H179" s="2076"/>
      <c r="I179" s="2221"/>
      <c r="J179" s="2221"/>
      <c r="K179" s="2221"/>
      <c r="L179" s="2221"/>
      <c r="M179" s="2221"/>
      <c r="N179" s="2237"/>
      <c r="O179" s="1190"/>
      <c r="P179" s="2138"/>
      <c r="Q179" s="2139"/>
      <c r="R179" s="2139"/>
      <c r="S179" s="2139"/>
      <c r="T179" s="2139"/>
      <c r="U179" s="2139"/>
      <c r="V179" s="2139"/>
      <c r="W179" s="2139"/>
      <c r="X179" s="2139"/>
      <c r="Y179" s="2139"/>
      <c r="Z179" s="2139"/>
      <c r="AA179" s="2139"/>
      <c r="AB179" s="2139"/>
      <c r="AC179" s="2139"/>
      <c r="AD179" s="2139"/>
      <c r="AE179" s="2139"/>
      <c r="AF179" s="2139"/>
      <c r="AG179" s="2139"/>
      <c r="AH179" s="2139"/>
      <c r="AI179" s="2139"/>
      <c r="AJ179" s="2139"/>
      <c r="AK179" s="2139"/>
      <c r="AL179" s="2139"/>
      <c r="AM179" s="2139"/>
      <c r="AN179" s="2139"/>
      <c r="AO179" s="214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238"/>
      <c r="D180" s="2239"/>
      <c r="E180" s="2239"/>
      <c r="F180" s="2239"/>
      <c r="G180" s="2239"/>
      <c r="H180" s="2239"/>
      <c r="I180" s="2240"/>
      <c r="J180" s="2240"/>
      <c r="K180" s="2240"/>
      <c r="L180" s="2240"/>
      <c r="M180" s="2240"/>
      <c r="N180" s="2241"/>
      <c r="O180" s="1190"/>
      <c r="P180" s="2141"/>
      <c r="Q180" s="2142"/>
      <c r="R180" s="2142"/>
      <c r="S180" s="2142"/>
      <c r="T180" s="2142"/>
      <c r="U180" s="2142"/>
      <c r="V180" s="2142"/>
      <c r="W180" s="2142"/>
      <c r="X180" s="2142"/>
      <c r="Y180" s="2142"/>
      <c r="Z180" s="2142"/>
      <c r="AA180" s="2142"/>
      <c r="AB180" s="2142"/>
      <c r="AC180" s="2142"/>
      <c r="AD180" s="2142"/>
      <c r="AE180" s="2142"/>
      <c r="AF180" s="2142"/>
      <c r="AG180" s="2142"/>
      <c r="AH180" s="2142"/>
      <c r="AI180" s="2142"/>
      <c r="AJ180" s="2142"/>
      <c r="AK180" s="2142"/>
      <c r="AL180" s="2142"/>
      <c r="AM180" s="2142"/>
      <c r="AN180" s="2142"/>
      <c r="AO180" s="214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245" t="s">
        <v>2331</v>
      </c>
      <c r="D182" s="2246"/>
      <c r="E182" s="2246"/>
      <c r="F182" s="2246"/>
      <c r="G182" s="2246"/>
      <c r="H182" s="2246"/>
      <c r="I182" s="2246"/>
      <c r="J182" s="2246"/>
      <c r="K182" s="2246"/>
      <c r="L182" s="2246"/>
      <c r="M182" s="2246"/>
      <c r="N182" s="2246"/>
      <c r="O182" s="2246"/>
      <c r="P182" s="2246"/>
      <c r="Q182" s="2246"/>
      <c r="R182" s="2246"/>
      <c r="S182" s="2246"/>
      <c r="T182" s="2246"/>
      <c r="U182" s="2246"/>
      <c r="V182" s="2246"/>
      <c r="W182" s="2246"/>
      <c r="X182" s="2246"/>
      <c r="Y182" s="2246"/>
      <c r="Z182" s="2246"/>
      <c r="AA182" s="2246"/>
      <c r="AB182" s="2246"/>
      <c r="AC182" s="2246"/>
      <c r="AD182" s="2246"/>
      <c r="AE182" s="2247"/>
      <c r="AF182" s="1190"/>
      <c r="AG182" s="1190"/>
      <c r="AH182" s="2255"/>
      <c r="AI182" s="2255"/>
      <c r="AJ182" s="2255"/>
      <c r="AK182" s="2255"/>
      <c r="AL182" s="2255"/>
      <c r="AM182" s="2255"/>
      <c r="AN182" s="2255"/>
      <c r="AO182" s="2255"/>
      <c r="AP182" s="2255"/>
      <c r="AQ182" s="2255"/>
      <c r="AR182" s="2255"/>
      <c r="AS182" s="2255"/>
      <c r="AT182" s="2255"/>
      <c r="AU182" s="2255"/>
      <c r="AV182" s="2255"/>
      <c r="AW182" s="2255"/>
      <c r="AX182" s="2255"/>
      <c r="AY182" s="2255"/>
      <c r="AZ182" s="2255"/>
      <c r="BA182" s="2255"/>
      <c r="BB182" s="2255"/>
      <c r="BC182" s="2255"/>
      <c r="BD182" s="2255"/>
      <c r="BE182" s="2255"/>
    </row>
    <row r="183" spans="1:57" ht="15.75" customHeight="1" thickBot="1">
      <c r="A183" s="1190"/>
      <c r="B183" s="1190"/>
      <c r="C183" s="2248"/>
      <c r="D183" s="2249"/>
      <c r="E183" s="2249"/>
      <c r="F183" s="2249"/>
      <c r="G183" s="2249"/>
      <c r="H183" s="2249"/>
      <c r="I183" s="2249"/>
      <c r="J183" s="2249"/>
      <c r="K183" s="2249"/>
      <c r="L183" s="2249"/>
      <c r="M183" s="2249"/>
      <c r="N183" s="2249"/>
      <c r="O183" s="2249"/>
      <c r="P183" s="2249"/>
      <c r="Q183" s="2249"/>
      <c r="R183" s="2249"/>
      <c r="S183" s="2249"/>
      <c r="T183" s="2249"/>
      <c r="U183" s="2249"/>
      <c r="V183" s="2249"/>
      <c r="W183" s="2249"/>
      <c r="X183" s="2249"/>
      <c r="Y183" s="2249"/>
      <c r="Z183" s="2249"/>
      <c r="AA183" s="2249"/>
      <c r="AB183" s="2249"/>
      <c r="AC183" s="2249"/>
      <c r="AD183" s="2249"/>
      <c r="AE183" s="2250"/>
      <c r="AF183" s="1190"/>
      <c r="AG183" s="1190"/>
      <c r="AH183" s="2255"/>
      <c r="AI183" s="2255"/>
      <c r="AJ183" s="2255"/>
      <c r="AK183" s="2255"/>
      <c r="AL183" s="2255"/>
      <c r="AM183" s="2255"/>
      <c r="AN183" s="2255"/>
      <c r="AO183" s="2255"/>
      <c r="AP183" s="2255"/>
      <c r="AQ183" s="2255"/>
      <c r="AR183" s="2255"/>
      <c r="AS183" s="2255"/>
      <c r="AT183" s="2255"/>
      <c r="AU183" s="2255"/>
      <c r="AV183" s="2255"/>
      <c r="AW183" s="2255"/>
      <c r="AX183" s="2255"/>
      <c r="AY183" s="2255"/>
      <c r="AZ183" s="2255"/>
      <c r="BA183" s="2255"/>
      <c r="BB183" s="2255"/>
      <c r="BC183" s="2255"/>
      <c r="BD183" s="2255"/>
      <c r="BE183" s="2255"/>
    </row>
    <row r="184" spans="1:57" ht="15.75" customHeight="1">
      <c r="A184" s="1190"/>
      <c r="B184" s="1190"/>
      <c r="C184" s="2118" t="s">
        <v>2329</v>
      </c>
      <c r="D184" s="2119"/>
      <c r="E184" s="2119"/>
      <c r="F184" s="2119"/>
      <c r="G184" s="2119"/>
      <c r="H184" s="2119"/>
      <c r="I184" s="2119"/>
      <c r="J184" s="2119"/>
      <c r="K184" s="2119"/>
      <c r="L184" s="2119"/>
      <c r="M184" s="2119"/>
      <c r="N184" s="2119" t="s">
        <v>2330</v>
      </c>
      <c r="O184" s="2119"/>
      <c r="P184" s="2119"/>
      <c r="Q184" s="2119"/>
      <c r="R184" s="2119"/>
      <c r="S184" s="2119"/>
      <c r="T184" s="2119"/>
      <c r="U184" s="2070" t="s">
        <v>2329</v>
      </c>
      <c r="V184" s="2070"/>
      <c r="W184" s="2070"/>
      <c r="X184" s="2070"/>
      <c r="Y184" s="2070"/>
      <c r="Z184" s="2070"/>
      <c r="AA184" s="2070"/>
      <c r="AB184" s="2070"/>
      <c r="AC184" s="2070"/>
      <c r="AD184" s="2070"/>
      <c r="AE184" s="2071"/>
      <c r="AF184" s="1190"/>
      <c r="AG184" s="1190"/>
      <c r="AH184" s="2255"/>
      <c r="AI184" s="2255"/>
      <c r="AJ184" s="2255"/>
      <c r="AK184" s="2255"/>
      <c r="AL184" s="2255"/>
      <c r="AM184" s="2255"/>
      <c r="AN184" s="2255"/>
      <c r="AO184" s="2255"/>
      <c r="AP184" s="2255"/>
      <c r="AQ184" s="2255"/>
      <c r="AR184" s="2255"/>
      <c r="AS184" s="2255"/>
      <c r="AT184" s="2255"/>
      <c r="AU184" s="2255"/>
      <c r="AV184" s="2255"/>
      <c r="AW184" s="2255"/>
      <c r="AX184" s="2255"/>
      <c r="AY184" s="2255"/>
      <c r="AZ184" s="2255"/>
      <c r="BA184" s="2255"/>
      <c r="BB184" s="2255"/>
      <c r="BC184" s="2255"/>
      <c r="BD184" s="2255"/>
      <c r="BE184" s="2255"/>
    </row>
    <row r="185" spans="1:57" ht="15.75" customHeight="1">
      <c r="A185" s="1190"/>
      <c r="B185" s="1190"/>
      <c r="C185" s="2242" t="s">
        <v>2328</v>
      </c>
      <c r="D185" s="2243"/>
      <c r="E185" s="2243"/>
      <c r="F185" s="2243"/>
      <c r="G185" s="2243"/>
      <c r="H185" s="2243"/>
      <c r="I185" s="2243"/>
      <c r="J185" s="2243"/>
      <c r="K185" s="2243"/>
      <c r="L185" s="2243"/>
      <c r="M185" s="2243"/>
      <c r="N185" s="2244">
        <f>'Sources and Uses Budget'!B105</f>
        <v>64808294</v>
      </c>
      <c r="O185" s="2244"/>
      <c r="P185" s="2244"/>
      <c r="Q185" s="2244"/>
      <c r="R185" s="2244"/>
      <c r="S185" s="2244"/>
      <c r="T185" s="2244"/>
      <c r="U185" s="2256"/>
      <c r="V185" s="2256"/>
      <c r="W185" s="2256"/>
      <c r="X185" s="2256"/>
      <c r="Y185" s="2256"/>
      <c r="Z185" s="2256"/>
      <c r="AA185" s="2256"/>
      <c r="AB185" s="2256"/>
      <c r="AC185" s="2256"/>
      <c r="AD185" s="2256"/>
      <c r="AE185" s="2257"/>
      <c r="AF185" s="1190"/>
      <c r="AG185" s="1190"/>
      <c r="AH185" s="2255"/>
      <c r="AI185" s="2255"/>
      <c r="AJ185" s="2255"/>
      <c r="AK185" s="2255"/>
      <c r="AL185" s="2255"/>
      <c r="AM185" s="2255"/>
      <c r="AN185" s="2255"/>
      <c r="AO185" s="2255"/>
      <c r="AP185" s="2255"/>
      <c r="AQ185" s="2255"/>
      <c r="AR185" s="2255"/>
      <c r="AS185" s="2255"/>
      <c r="AT185" s="2255"/>
      <c r="AU185" s="2255"/>
      <c r="AV185" s="2255"/>
      <c r="AW185" s="2255"/>
      <c r="AX185" s="2255"/>
      <c r="AY185" s="2255"/>
      <c r="AZ185" s="2255"/>
      <c r="BA185" s="2255"/>
      <c r="BB185" s="2255"/>
      <c r="BC185" s="2255"/>
      <c r="BD185" s="2255"/>
      <c r="BE185" s="2255"/>
    </row>
    <row r="186" spans="1:57" ht="15.75" customHeight="1">
      <c r="A186" s="1190"/>
      <c r="B186" s="1190"/>
      <c r="C186" s="2242" t="s">
        <v>2327</v>
      </c>
      <c r="D186" s="2243"/>
      <c r="E186" s="2243"/>
      <c r="F186" s="2243"/>
      <c r="G186" s="2243"/>
      <c r="H186" s="2243"/>
      <c r="I186" s="2243"/>
      <c r="J186" s="2243"/>
      <c r="K186" s="2243"/>
      <c r="L186" s="2243"/>
      <c r="M186" s="2243"/>
      <c r="N186" s="2244">
        <f>N185/J29</f>
        <v>432055.29333333333</v>
      </c>
      <c r="O186" s="2244"/>
      <c r="P186" s="2244"/>
      <c r="Q186" s="2244"/>
      <c r="R186" s="2244"/>
      <c r="S186" s="2244"/>
      <c r="T186" s="2244"/>
      <c r="U186" s="1228"/>
      <c r="V186" s="1228"/>
      <c r="W186" s="1228"/>
      <c r="X186" s="1228"/>
      <c r="Y186" s="1228"/>
      <c r="Z186" s="1228"/>
      <c r="AA186" s="1228"/>
      <c r="AB186" s="1228"/>
      <c r="AC186" s="1228"/>
      <c r="AD186" s="1228"/>
      <c r="AE186" s="1229"/>
      <c r="AF186" s="1190"/>
      <c r="AG186" s="1190"/>
      <c r="AH186" s="2255"/>
      <c r="AI186" s="2255"/>
      <c r="AJ186" s="2255"/>
      <c r="AK186" s="2255"/>
      <c r="AL186" s="2255"/>
      <c r="AM186" s="2255"/>
      <c r="AN186" s="2255"/>
      <c r="AO186" s="2255"/>
      <c r="AP186" s="2255"/>
      <c r="AQ186" s="2255"/>
      <c r="AR186" s="2255"/>
      <c r="AS186" s="2255"/>
      <c r="AT186" s="2255"/>
      <c r="AU186" s="2255"/>
      <c r="AV186" s="2255"/>
      <c r="AW186" s="2255"/>
      <c r="AX186" s="2255"/>
      <c r="AY186" s="2255"/>
      <c r="AZ186" s="2255"/>
      <c r="BA186" s="2255"/>
      <c r="BB186" s="2255"/>
      <c r="BC186" s="2255"/>
      <c r="BD186" s="2255"/>
      <c r="BE186" s="2255"/>
    </row>
    <row r="187" spans="1:57" ht="15.75" customHeight="1">
      <c r="A187" s="1190"/>
      <c r="B187" s="1190"/>
      <c r="C187" s="2258" t="s">
        <v>2326</v>
      </c>
      <c r="D187" s="2259"/>
      <c r="E187" s="2259"/>
      <c r="F187" s="2259"/>
      <c r="G187" s="2259"/>
      <c r="H187" s="2259"/>
      <c r="I187" s="2259"/>
      <c r="J187" s="2259"/>
      <c r="K187" s="2259"/>
      <c r="L187" s="2259"/>
      <c r="M187" s="2259"/>
      <c r="N187" s="2112">
        <v>0</v>
      </c>
      <c r="O187" s="2112"/>
      <c r="P187" s="2112"/>
      <c r="Q187" s="2112"/>
      <c r="R187" s="2112"/>
      <c r="S187" s="2112"/>
      <c r="T187" s="2112"/>
      <c r="U187" s="2088"/>
      <c r="V187" s="2088"/>
      <c r="W187" s="2088"/>
      <c r="X187" s="2088"/>
      <c r="Y187" s="2088"/>
      <c r="Z187" s="2088"/>
      <c r="AA187" s="2088"/>
      <c r="AB187" s="2088"/>
      <c r="AC187" s="2088"/>
      <c r="AD187" s="2088"/>
      <c r="AE187" s="2089"/>
      <c r="AF187" s="1190"/>
      <c r="AG187" s="1190"/>
      <c r="AH187" s="2255"/>
      <c r="AI187" s="2255"/>
      <c r="AJ187" s="2255"/>
      <c r="AK187" s="2255"/>
      <c r="AL187" s="2255"/>
      <c r="AM187" s="2255"/>
      <c r="AN187" s="2255"/>
      <c r="AO187" s="2255"/>
      <c r="AP187" s="2255"/>
      <c r="AQ187" s="2255"/>
      <c r="AR187" s="2255"/>
      <c r="AS187" s="2255"/>
      <c r="AT187" s="2255"/>
      <c r="AU187" s="2255"/>
      <c r="AV187" s="2255"/>
      <c r="AW187" s="2255"/>
      <c r="AX187" s="2255"/>
      <c r="AY187" s="2255"/>
      <c r="AZ187" s="2255"/>
      <c r="BA187" s="2255"/>
      <c r="BB187" s="2255"/>
      <c r="BC187" s="2255"/>
      <c r="BD187" s="2255"/>
      <c r="BE187" s="2255"/>
    </row>
    <row r="188" spans="1:57" ht="15.75" customHeight="1" thickBot="1">
      <c r="A188" s="1190"/>
      <c r="B188" s="1190"/>
      <c r="C188" s="2242" t="s">
        <v>2325</v>
      </c>
      <c r="D188" s="2243"/>
      <c r="E188" s="2243"/>
      <c r="F188" s="2243"/>
      <c r="G188" s="2243"/>
      <c r="H188" s="2243"/>
      <c r="I188" s="2243"/>
      <c r="J188" s="2243"/>
      <c r="K188" s="2243"/>
      <c r="L188" s="2243"/>
      <c r="M188" s="2243"/>
      <c r="N188" s="2260">
        <f>SUM('Sources and Uses Budget'!B85:B86)</f>
        <v>2350000</v>
      </c>
      <c r="O188" s="2260"/>
      <c r="P188" s="2260"/>
      <c r="Q188" s="2260"/>
      <c r="R188" s="2260"/>
      <c r="S188" s="2260"/>
      <c r="T188" s="2260"/>
      <c r="U188" s="2088"/>
      <c r="V188" s="2088"/>
      <c r="W188" s="2088"/>
      <c r="X188" s="2088"/>
      <c r="Y188" s="2088"/>
      <c r="Z188" s="2088"/>
      <c r="AA188" s="2088"/>
      <c r="AB188" s="2088"/>
      <c r="AC188" s="2088"/>
      <c r="AD188" s="2088"/>
      <c r="AE188" s="2089"/>
      <c r="AF188" s="1190"/>
      <c r="AG188" s="1190"/>
      <c r="AH188" s="2255"/>
      <c r="AI188" s="2255"/>
      <c r="AJ188" s="2255"/>
      <c r="AK188" s="2255"/>
      <c r="AL188" s="2255"/>
      <c r="AM188" s="2255"/>
      <c r="AN188" s="2255"/>
      <c r="AO188" s="2255"/>
      <c r="AP188" s="2255"/>
      <c r="AQ188" s="2255"/>
      <c r="AR188" s="2255"/>
      <c r="AS188" s="2255"/>
      <c r="AT188" s="2255"/>
      <c r="AU188" s="2255"/>
      <c r="AV188" s="2255"/>
      <c r="AW188" s="2255"/>
      <c r="AX188" s="2255"/>
      <c r="AY188" s="2255"/>
      <c r="AZ188" s="2255"/>
      <c r="BA188" s="2255"/>
      <c r="BB188" s="2255"/>
      <c r="BC188" s="2255"/>
      <c r="BD188" s="2255"/>
      <c r="BE188" s="2255"/>
    </row>
    <row r="189" spans="1:57" ht="15.75" customHeight="1" thickBot="1">
      <c r="A189" s="1190"/>
      <c r="B189" s="1190"/>
      <c r="C189" s="2242" t="s">
        <v>2324</v>
      </c>
      <c r="D189" s="2243"/>
      <c r="E189" s="2243"/>
      <c r="F189" s="2243"/>
      <c r="G189" s="2243"/>
      <c r="H189" s="2243"/>
      <c r="I189" s="2243"/>
      <c r="J189" s="2243"/>
      <c r="K189" s="2243"/>
      <c r="L189" s="2243"/>
      <c r="M189" s="2243"/>
      <c r="N189" s="2260">
        <f>'Sources and Uses Budget'!B8</f>
        <v>1300000</v>
      </c>
      <c r="O189" s="2260"/>
      <c r="P189" s="2260"/>
      <c r="Q189" s="2260"/>
      <c r="R189" s="2260"/>
      <c r="S189" s="2260"/>
      <c r="T189" s="2260"/>
      <c r="U189" s="2088"/>
      <c r="V189" s="2088"/>
      <c r="W189" s="2088"/>
      <c r="X189" s="2088"/>
      <c r="Y189" s="2088"/>
      <c r="Z189" s="2088"/>
      <c r="AA189" s="2088"/>
      <c r="AB189" s="2088"/>
      <c r="AC189" s="2088"/>
      <c r="AD189" s="2088"/>
      <c r="AE189" s="2089"/>
      <c r="AF189" s="1190"/>
      <c r="AG189" s="1190"/>
      <c r="AH189" s="2264" t="s">
        <v>2322</v>
      </c>
      <c r="AI189" s="2265"/>
      <c r="AJ189" s="2265"/>
      <c r="AK189" s="2265"/>
      <c r="AL189" s="2265"/>
      <c r="AM189" s="2265"/>
      <c r="AN189" s="2265"/>
      <c r="AO189" s="2265"/>
      <c r="AP189" s="2265"/>
      <c r="AQ189" s="2265"/>
      <c r="AR189" s="2265"/>
      <c r="AS189" s="2265"/>
      <c r="AT189" s="2265"/>
      <c r="AU189" s="2265"/>
      <c r="AV189" s="2265"/>
      <c r="AW189" s="2265"/>
      <c r="AX189" s="2265"/>
      <c r="AY189" s="2265"/>
      <c r="AZ189" s="2265"/>
      <c r="BA189" s="2265"/>
      <c r="BB189" s="2265"/>
      <c r="BC189" s="2265"/>
      <c r="BD189" s="2265"/>
      <c r="BE189" s="2266"/>
    </row>
    <row r="190" spans="1:57" ht="15.75" customHeight="1">
      <c r="A190" s="1190"/>
      <c r="B190" s="1190"/>
      <c r="C190" s="2242" t="s">
        <v>2323</v>
      </c>
      <c r="D190" s="2243"/>
      <c r="E190" s="2243"/>
      <c r="F190" s="2243"/>
      <c r="G190" s="2243"/>
      <c r="H190" s="2243"/>
      <c r="I190" s="2243"/>
      <c r="J190" s="2243"/>
      <c r="K190" s="2243"/>
      <c r="L190" s="2243"/>
      <c r="M190" s="2243"/>
      <c r="N190" s="2251">
        <v>0</v>
      </c>
      <c r="O190" s="2251"/>
      <c r="P190" s="2251"/>
      <c r="Q190" s="2251"/>
      <c r="R190" s="2251"/>
      <c r="S190" s="2251"/>
      <c r="T190" s="2251"/>
      <c r="U190" s="2088"/>
      <c r="V190" s="2088"/>
      <c r="W190" s="2088"/>
      <c r="X190" s="2088"/>
      <c r="Y190" s="2088"/>
      <c r="Z190" s="2088"/>
      <c r="AA190" s="2088"/>
      <c r="AB190" s="2088"/>
      <c r="AC190" s="2088"/>
      <c r="AD190" s="2088"/>
      <c r="AE190" s="2089"/>
      <c r="AF190" s="1190"/>
      <c r="AG190" s="1190"/>
      <c r="AH190" s="2267" t="s">
        <v>2322</v>
      </c>
      <c r="AI190" s="2268"/>
      <c r="AJ190" s="2268"/>
      <c r="AK190" s="2268"/>
      <c r="AL190" s="2268"/>
      <c r="AM190" s="2268"/>
      <c r="AN190" s="2268"/>
      <c r="AO190" s="2268"/>
      <c r="AP190" s="2268"/>
      <c r="AQ190" s="2268"/>
      <c r="AR190" s="2268"/>
      <c r="AS190" s="2268"/>
      <c r="AT190" s="2268"/>
      <c r="AU190" s="2269">
        <v>0</v>
      </c>
      <c r="AV190" s="2269"/>
      <c r="AW190" s="2269"/>
      <c r="AX190" s="2269"/>
      <c r="AY190" s="2269"/>
      <c r="AZ190" s="2269"/>
      <c r="BA190" s="2269"/>
      <c r="BB190" s="2269"/>
      <c r="BC190" s="2270"/>
      <c r="BD190" s="2271"/>
      <c r="BE190" s="2272"/>
    </row>
    <row r="191" spans="1:57" ht="15.75" customHeight="1">
      <c r="A191" s="1190"/>
      <c r="B191" s="1190"/>
      <c r="C191" s="2242" t="s">
        <v>2321</v>
      </c>
      <c r="D191" s="2243"/>
      <c r="E191" s="2243"/>
      <c r="F191" s="2243"/>
      <c r="G191" s="2243"/>
      <c r="H191" s="2243"/>
      <c r="I191" s="2243"/>
      <c r="J191" s="2243"/>
      <c r="K191" s="2243"/>
      <c r="L191" s="2243"/>
      <c r="M191" s="2243"/>
      <c r="N191" s="2251">
        <v>0</v>
      </c>
      <c r="O191" s="2251"/>
      <c r="P191" s="2251"/>
      <c r="Q191" s="2251"/>
      <c r="R191" s="2251"/>
      <c r="S191" s="2251"/>
      <c r="T191" s="2251"/>
      <c r="U191" s="2088"/>
      <c r="V191" s="2088"/>
      <c r="W191" s="2088"/>
      <c r="X191" s="2088"/>
      <c r="Y191" s="2088"/>
      <c r="Z191" s="2088"/>
      <c r="AA191" s="2088"/>
      <c r="AB191" s="2088"/>
      <c r="AC191" s="2088"/>
      <c r="AD191" s="2088"/>
      <c r="AE191" s="2089"/>
      <c r="AF191" s="1190"/>
      <c r="AG191" s="1190"/>
      <c r="AH191" s="2252" t="s">
        <v>2320</v>
      </c>
      <c r="AI191" s="2253"/>
      <c r="AJ191" s="2253"/>
      <c r="AK191" s="2253"/>
      <c r="AL191" s="2253"/>
      <c r="AM191" s="2253"/>
      <c r="AN191" s="2253"/>
      <c r="AO191" s="2253"/>
      <c r="AP191" s="2253"/>
      <c r="AQ191" s="2253"/>
      <c r="AR191" s="2253"/>
      <c r="AS191" s="2253"/>
      <c r="AT191" s="2253"/>
      <c r="AU191" s="2254"/>
      <c r="AV191" s="2254"/>
      <c r="AW191" s="2254"/>
      <c r="AX191" s="2254"/>
      <c r="AY191" s="2254"/>
      <c r="AZ191" s="2254"/>
      <c r="BA191" s="2254"/>
      <c r="BB191" s="2254"/>
      <c r="BC191" s="2261"/>
      <c r="BD191" s="2262"/>
      <c r="BE191" s="2263"/>
    </row>
    <row r="192" spans="1:57" ht="15.75" customHeight="1">
      <c r="A192" s="1190"/>
      <c r="B192" s="1190"/>
      <c r="C192" s="2277" t="s">
        <v>300</v>
      </c>
      <c r="D192" s="2220"/>
      <c r="E192" s="2273" t="s">
        <v>2318</v>
      </c>
      <c r="F192" s="2273"/>
      <c r="G192" s="2273"/>
      <c r="H192" s="2273"/>
      <c r="I192" s="2273"/>
      <c r="J192" s="2273"/>
      <c r="K192" s="2273"/>
      <c r="L192" s="2273"/>
      <c r="M192" s="2273"/>
      <c r="N192" s="2251">
        <v>0</v>
      </c>
      <c r="O192" s="2251"/>
      <c r="P192" s="2251"/>
      <c r="Q192" s="2251"/>
      <c r="R192" s="2251"/>
      <c r="S192" s="2251"/>
      <c r="T192" s="2251"/>
      <c r="U192" s="2088"/>
      <c r="V192" s="2088"/>
      <c r="W192" s="2088"/>
      <c r="X192" s="2088"/>
      <c r="Y192" s="2088"/>
      <c r="Z192" s="2088"/>
      <c r="AA192" s="2088"/>
      <c r="AB192" s="2088"/>
      <c r="AC192" s="2088"/>
      <c r="AD192" s="2088"/>
      <c r="AE192" s="2089"/>
      <c r="AF192" s="1190"/>
      <c r="AG192" s="1190"/>
      <c r="AH192" s="2278" t="s">
        <v>2319</v>
      </c>
      <c r="AI192" s="2279"/>
      <c r="AJ192" s="2279"/>
      <c r="AK192" s="2279"/>
      <c r="AL192" s="2279"/>
      <c r="AM192" s="2279"/>
      <c r="AN192" s="2279"/>
      <c r="AO192" s="2279"/>
      <c r="AP192" s="2279"/>
      <c r="AQ192" s="2279"/>
      <c r="AR192" s="2279"/>
      <c r="AS192" s="2279"/>
      <c r="AT192" s="2279"/>
      <c r="AU192" s="2280">
        <f>SUM(AU190:BB191)</f>
        <v>0</v>
      </c>
      <c r="AV192" s="2280"/>
      <c r="AW192" s="2280"/>
      <c r="AX192" s="2280"/>
      <c r="AY192" s="2280"/>
      <c r="AZ192" s="2280"/>
      <c r="BA192" s="2280"/>
      <c r="BB192" s="2280"/>
      <c r="BC192" s="2261"/>
      <c r="BD192" s="2262"/>
      <c r="BE192" s="2263"/>
    </row>
    <row r="193" spans="1:57" ht="15.75" customHeight="1" thickBot="1">
      <c r="A193" s="1190"/>
      <c r="B193" s="1190"/>
      <c r="C193" s="2144" t="s">
        <v>300</v>
      </c>
      <c r="D193" s="2076"/>
      <c r="E193" s="2273" t="s">
        <v>2318</v>
      </c>
      <c r="F193" s="2273"/>
      <c r="G193" s="2273"/>
      <c r="H193" s="2273"/>
      <c r="I193" s="2273"/>
      <c r="J193" s="2273"/>
      <c r="K193" s="2273"/>
      <c r="L193" s="2273"/>
      <c r="M193" s="2273"/>
      <c r="N193" s="2251">
        <v>0</v>
      </c>
      <c r="O193" s="2251"/>
      <c r="P193" s="2251"/>
      <c r="Q193" s="2251"/>
      <c r="R193" s="2251"/>
      <c r="S193" s="2251"/>
      <c r="T193" s="2251"/>
      <c r="U193" s="2088"/>
      <c r="V193" s="2088"/>
      <c r="W193" s="2088"/>
      <c r="X193" s="2088"/>
      <c r="Y193" s="2088"/>
      <c r="Z193" s="2088"/>
      <c r="AA193" s="2088"/>
      <c r="AB193" s="2088"/>
      <c r="AC193" s="2088"/>
      <c r="AD193" s="2088"/>
      <c r="AE193" s="20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74"/>
      <c r="BD193" s="2275"/>
      <c r="BE193" s="2276"/>
    </row>
    <row r="194" spans="1:57" ht="15.75" customHeight="1" thickBot="1">
      <c r="A194" s="1190"/>
      <c r="B194" s="1190"/>
      <c r="C194" s="2298" t="s">
        <v>300</v>
      </c>
      <c r="D194" s="2299"/>
      <c r="E194" s="2300" t="s">
        <v>2318</v>
      </c>
      <c r="F194" s="2300"/>
      <c r="G194" s="2300"/>
      <c r="H194" s="2300"/>
      <c r="I194" s="2300"/>
      <c r="J194" s="2300"/>
      <c r="K194" s="2300"/>
      <c r="L194" s="2300"/>
      <c r="M194" s="2301"/>
      <c r="N194" s="2302">
        <v>0</v>
      </c>
      <c r="O194" s="2302"/>
      <c r="P194" s="2302"/>
      <c r="Q194" s="2302"/>
      <c r="R194" s="2302"/>
      <c r="S194" s="2302"/>
      <c r="T194" s="2303"/>
      <c r="U194" s="2304"/>
      <c r="V194" s="2305"/>
      <c r="W194" s="2305"/>
      <c r="X194" s="2305"/>
      <c r="Y194" s="2305"/>
      <c r="Z194" s="2305"/>
      <c r="AA194" s="2305"/>
      <c r="AB194" s="2305"/>
      <c r="AC194" s="2305"/>
      <c r="AD194" s="2305"/>
      <c r="AE194" s="2306"/>
      <c r="AF194" s="1190"/>
      <c r="AG194" s="1190"/>
      <c r="AH194" s="2307" t="s">
        <v>2317</v>
      </c>
      <c r="AI194" s="2308"/>
      <c r="AJ194" s="2308"/>
      <c r="AK194" s="2308"/>
      <c r="AL194" s="2308"/>
      <c r="AM194" s="2308"/>
      <c r="AN194" s="2308"/>
      <c r="AO194" s="2308"/>
      <c r="AP194" s="2308"/>
      <c r="AQ194" s="2308"/>
      <c r="AR194" s="2308"/>
      <c r="AS194" s="2308"/>
      <c r="AT194" s="2308"/>
      <c r="AU194" s="2309"/>
      <c r="AV194" s="2309"/>
      <c r="AW194" s="2309"/>
      <c r="AX194" s="2309"/>
      <c r="AY194" s="2309"/>
      <c r="AZ194" s="2309"/>
      <c r="BA194" s="2309"/>
      <c r="BB194" s="2309"/>
      <c r="BC194" s="1171"/>
      <c r="BD194" s="1171"/>
      <c r="BE194" s="1232"/>
    </row>
    <row r="195" spans="1:57" ht="15.75" customHeight="1">
      <c r="A195" s="1190"/>
      <c r="B195" s="1190"/>
      <c r="C195" s="2281" t="s">
        <v>2316</v>
      </c>
      <c r="D195" s="2282"/>
      <c r="E195" s="2282"/>
      <c r="F195" s="2282"/>
      <c r="G195" s="2282"/>
      <c r="H195" s="2282"/>
      <c r="I195" s="2282"/>
      <c r="J195" s="2282"/>
      <c r="K195" s="2282"/>
      <c r="L195" s="2282"/>
      <c r="M195" s="2282"/>
      <c r="N195" s="2283">
        <f>SUM(N187:T194)</f>
        <v>3650000</v>
      </c>
      <c r="O195" s="2283"/>
      <c r="P195" s="2283"/>
      <c r="Q195" s="2283"/>
      <c r="R195" s="2283"/>
      <c r="S195" s="2283"/>
      <c r="T195" s="2284"/>
      <c r="U195" s="1190"/>
      <c r="V195" s="1190"/>
      <c r="W195" s="1190"/>
      <c r="X195" s="1190"/>
      <c r="Y195" s="1190"/>
      <c r="Z195" s="1190"/>
      <c r="AA195" s="1190"/>
      <c r="AB195" s="1190"/>
      <c r="AC195" s="1190"/>
      <c r="AD195" s="1190"/>
      <c r="AE195" s="1190"/>
      <c r="AF195" s="1190"/>
      <c r="AG195" s="1190"/>
      <c r="AH195" s="2285" t="s">
        <v>2315</v>
      </c>
      <c r="AI195" s="2286"/>
      <c r="AJ195" s="2286"/>
      <c r="AK195" s="2286"/>
      <c r="AL195" s="2286"/>
      <c r="AM195" s="2286"/>
      <c r="AN195" s="2286"/>
      <c r="AO195" s="2286"/>
      <c r="AP195" s="2286"/>
      <c r="AQ195" s="2286"/>
      <c r="AR195" s="2286"/>
      <c r="AS195" s="2286"/>
      <c r="AT195" s="2286"/>
      <c r="AU195" s="2286"/>
      <c r="AV195" s="2286"/>
      <c r="AW195" s="2286"/>
      <c r="AX195" s="2286"/>
      <c r="AY195" s="2286"/>
      <c r="AZ195" s="2286"/>
      <c r="BA195" s="2286"/>
      <c r="BB195" s="2286"/>
      <c r="BC195" s="2286"/>
      <c r="BD195" s="2286"/>
      <c r="BE195" s="2287"/>
    </row>
    <row r="196" spans="1:57" ht="15.75" customHeight="1" thickBot="1">
      <c r="A196" s="1190"/>
      <c r="B196" s="1190"/>
      <c r="C196" s="2291" t="s">
        <v>2314</v>
      </c>
      <c r="D196" s="2292"/>
      <c r="E196" s="2292"/>
      <c r="F196" s="2292"/>
      <c r="G196" s="2292"/>
      <c r="H196" s="2292"/>
      <c r="I196" s="2292"/>
      <c r="J196" s="2292"/>
      <c r="K196" s="2292"/>
      <c r="L196" s="2292"/>
      <c r="M196" s="2292"/>
      <c r="N196" s="2293">
        <f>(N185-N195)/J29</f>
        <v>407721.96</v>
      </c>
      <c r="O196" s="2294"/>
      <c r="P196" s="2294"/>
      <c r="Q196" s="2294"/>
      <c r="R196" s="2294"/>
      <c r="S196" s="2294"/>
      <c r="T196" s="2295"/>
      <c r="U196" s="1195"/>
      <c r="V196" s="1190"/>
      <c r="W196" s="1190"/>
      <c r="X196" s="1190"/>
      <c r="Y196" s="1190"/>
      <c r="Z196" s="1190"/>
      <c r="AA196" s="1190"/>
      <c r="AB196" s="1190"/>
      <c r="AC196" s="1190"/>
      <c r="AD196" s="1190"/>
      <c r="AE196" s="1190"/>
      <c r="AF196" s="1190"/>
      <c r="AG196" s="1190"/>
      <c r="AH196" s="2288"/>
      <c r="AI196" s="2289"/>
      <c r="AJ196" s="2289"/>
      <c r="AK196" s="2289"/>
      <c r="AL196" s="2289"/>
      <c r="AM196" s="2289"/>
      <c r="AN196" s="2289"/>
      <c r="AO196" s="2289"/>
      <c r="AP196" s="2289"/>
      <c r="AQ196" s="2289"/>
      <c r="AR196" s="2289"/>
      <c r="AS196" s="2289"/>
      <c r="AT196" s="2289"/>
      <c r="AU196" s="2289"/>
      <c r="AV196" s="2289"/>
      <c r="AW196" s="2289"/>
      <c r="AX196" s="2289"/>
      <c r="AY196" s="2289"/>
      <c r="AZ196" s="2289"/>
      <c r="BA196" s="2289"/>
      <c r="BB196" s="2289"/>
      <c r="BC196" s="2289"/>
      <c r="BD196" s="2289"/>
      <c r="BE196" s="229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96"/>
      <c r="AI197" s="2296"/>
      <c r="AJ197" s="2296"/>
      <c r="AK197" s="2296"/>
      <c r="AL197" s="2296"/>
      <c r="AM197" s="2296"/>
      <c r="AN197" s="2296"/>
      <c r="AO197" s="2296"/>
      <c r="AP197" s="2296"/>
      <c r="AQ197" s="2296"/>
      <c r="AR197" s="2296"/>
      <c r="AS197" s="2297"/>
      <c r="AT197" s="2297"/>
      <c r="AU197" s="2297"/>
      <c r="AV197" s="2297"/>
      <c r="AW197" s="2297"/>
      <c r="AX197" s="2297"/>
      <c r="AY197" s="2297"/>
      <c r="AZ197" s="2297"/>
      <c r="BA197" s="2297"/>
      <c r="BB197" s="2297"/>
      <c r="BC197" s="2297"/>
      <c r="BD197" s="229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315" t="s">
        <v>2313</v>
      </c>
      <c r="D199" s="2316"/>
      <c r="E199" s="2316"/>
      <c r="F199" s="2316"/>
      <c r="G199" s="2316"/>
      <c r="H199" s="2316"/>
      <c r="I199" s="2316"/>
      <c r="J199" s="2316"/>
      <c r="K199" s="2316"/>
      <c r="L199" s="2316"/>
      <c r="M199" s="2316"/>
      <c r="N199" s="2316"/>
      <c r="O199" s="2316"/>
      <c r="P199" s="2316"/>
      <c r="Q199" s="2316"/>
      <c r="R199" s="2316"/>
      <c r="S199" s="2316"/>
      <c r="T199" s="2316"/>
      <c r="U199" s="2316"/>
      <c r="V199" s="2316"/>
      <c r="W199" s="2316"/>
      <c r="X199" s="2316"/>
      <c r="Y199" s="2316"/>
      <c r="Z199" s="2316"/>
      <c r="AA199" s="2316"/>
      <c r="AB199" s="2316"/>
      <c r="AC199" s="2316"/>
      <c r="AD199" s="2316"/>
      <c r="AE199" s="231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318" t="s">
        <v>2312</v>
      </c>
      <c r="D200" s="2318"/>
      <c r="E200" s="2318"/>
      <c r="F200" s="2318"/>
      <c r="G200" s="2318"/>
      <c r="H200" s="2318"/>
      <c r="I200" s="2318"/>
      <c r="J200" s="2318"/>
      <c r="K200" s="2318"/>
      <c r="L200" s="2318"/>
      <c r="M200" s="2318"/>
      <c r="N200" s="2318"/>
      <c r="O200" s="2319" t="s">
        <v>2311</v>
      </c>
      <c r="P200" s="2319"/>
      <c r="Q200" s="2319"/>
      <c r="R200" s="2319"/>
      <c r="S200" s="2319"/>
      <c r="T200" s="2319"/>
      <c r="U200" s="2319"/>
      <c r="V200" s="2319"/>
      <c r="W200" s="2319"/>
      <c r="X200" s="2319" t="s">
        <v>2310</v>
      </c>
      <c r="Y200" s="2319"/>
      <c r="Z200" s="2319"/>
      <c r="AA200" s="2319"/>
      <c r="AB200" s="2319"/>
      <c r="AC200" s="2319"/>
      <c r="AD200" s="2319"/>
      <c r="AE200" s="231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310" t="s">
        <v>2309</v>
      </c>
      <c r="D201" s="2310"/>
      <c r="E201" s="2310"/>
      <c r="F201" s="2310"/>
      <c r="G201" s="2310"/>
      <c r="H201" s="2310"/>
      <c r="I201" s="2310"/>
      <c r="J201" s="2310"/>
      <c r="K201" s="2310"/>
      <c r="L201" s="2310"/>
      <c r="M201" s="2310"/>
      <c r="N201" s="2310"/>
      <c r="O201" s="2311" t="s">
        <v>2308</v>
      </c>
      <c r="P201" s="2311"/>
      <c r="Q201" s="2311"/>
      <c r="R201" s="2311"/>
      <c r="S201" s="2311"/>
      <c r="T201" s="2311"/>
      <c r="U201" s="2311"/>
      <c r="V201" s="2311"/>
      <c r="W201" s="2311"/>
      <c r="X201" s="2312">
        <v>0.03</v>
      </c>
      <c r="Y201" s="2312"/>
      <c r="Z201" s="2312"/>
      <c r="AA201" s="2312"/>
      <c r="AB201" s="2312"/>
      <c r="AC201" s="2312"/>
      <c r="AD201" s="2312"/>
      <c r="AE201" s="231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310" t="s">
        <v>855</v>
      </c>
      <c r="D202" s="2310"/>
      <c r="E202" s="2310"/>
      <c r="F202" s="2310"/>
      <c r="G202" s="2310"/>
      <c r="H202" s="2310"/>
      <c r="I202" s="2310"/>
      <c r="J202" s="2310"/>
      <c r="K202" s="2310"/>
      <c r="L202" s="2310"/>
      <c r="M202" s="2310"/>
      <c r="N202" s="2310"/>
      <c r="O202" s="2311" t="s">
        <v>2308</v>
      </c>
      <c r="P202" s="2311"/>
      <c r="Q202" s="2311"/>
      <c r="R202" s="2311"/>
      <c r="S202" s="2311"/>
      <c r="T202" s="2311"/>
      <c r="U202" s="2311"/>
      <c r="V202" s="2311"/>
      <c r="W202" s="2311"/>
      <c r="X202" s="2312">
        <v>0.03</v>
      </c>
      <c r="Y202" s="2312"/>
      <c r="Z202" s="2312"/>
      <c r="AA202" s="2312"/>
      <c r="AB202" s="2312"/>
      <c r="AC202" s="2312"/>
      <c r="AD202" s="2312"/>
      <c r="AE202" s="231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310" t="s">
        <v>2307</v>
      </c>
      <c r="D203" s="2310"/>
      <c r="E203" s="2310"/>
      <c r="F203" s="2310"/>
      <c r="G203" s="2310"/>
      <c r="H203" s="2310"/>
      <c r="I203" s="2310"/>
      <c r="J203" s="2310"/>
      <c r="K203" s="2310"/>
      <c r="L203" s="2310"/>
      <c r="M203" s="2310"/>
      <c r="N203" s="2310"/>
      <c r="O203" s="2313">
        <f>SUM(O201:W202)</f>
        <v>0</v>
      </c>
      <c r="P203" s="2314"/>
      <c r="Q203" s="2314"/>
      <c r="R203" s="2314"/>
      <c r="S203" s="2314"/>
      <c r="T203" s="2314"/>
      <c r="U203" s="2314"/>
      <c r="V203" s="2314"/>
      <c r="W203" s="2314"/>
      <c r="X203" s="2314" t="s">
        <v>2306</v>
      </c>
      <c r="Y203" s="2314"/>
      <c r="Z203" s="2314"/>
      <c r="AA203" s="2314"/>
      <c r="AB203" s="2314"/>
      <c r="AC203" s="2314"/>
      <c r="AD203" s="2314"/>
      <c r="AE203" s="231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320" t="s">
        <v>2305</v>
      </c>
      <c r="D204" s="2320"/>
      <c r="E204" s="2320"/>
      <c r="F204" s="2320"/>
      <c r="G204" s="2320"/>
      <c r="H204" s="2320"/>
      <c r="I204" s="2320"/>
      <c r="J204" s="2320"/>
      <c r="K204" s="2320"/>
      <c r="L204" s="2320"/>
      <c r="M204" s="2320"/>
      <c r="N204" s="2320"/>
      <c r="O204" s="2320"/>
      <c r="P204" s="2320"/>
      <c r="Q204" s="2320"/>
      <c r="R204" s="2320"/>
      <c r="S204" s="2320"/>
      <c r="T204" s="2320"/>
      <c r="U204" s="2320"/>
      <c r="V204" s="2320"/>
      <c r="W204" s="2320"/>
      <c r="X204" s="2320"/>
      <c r="Y204" s="2320"/>
      <c r="Z204" s="2320"/>
      <c r="AA204" s="2320"/>
      <c r="AB204" s="2320"/>
      <c r="AC204" s="2320"/>
      <c r="AD204" s="2320"/>
      <c r="AE204" s="23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321" t="s">
        <v>2304</v>
      </c>
      <c r="D206" s="2322"/>
      <c r="E206" s="2322"/>
      <c r="F206" s="2322"/>
      <c r="G206" s="2322"/>
      <c r="H206" s="2322"/>
      <c r="I206" s="2322"/>
      <c r="J206" s="2322"/>
      <c r="K206" s="2322"/>
      <c r="L206" s="2322"/>
      <c r="M206" s="2322"/>
      <c r="N206" s="2322"/>
      <c r="O206" s="2322"/>
      <c r="P206" s="2322"/>
      <c r="Q206" s="2322"/>
      <c r="R206" s="2322"/>
      <c r="S206" s="2322"/>
      <c r="T206" s="2322"/>
      <c r="U206" s="2322"/>
      <c r="V206" s="2322"/>
      <c r="W206" s="2322"/>
      <c r="X206" s="2322"/>
      <c r="Y206" s="2322"/>
      <c r="Z206" s="2322"/>
      <c r="AA206" s="2322"/>
      <c r="AB206" s="2322"/>
      <c r="AC206" s="2322"/>
      <c r="AD206" s="2322"/>
      <c r="AE206" s="2322"/>
      <c r="AF206" s="2322"/>
      <c r="AG206" s="2322"/>
      <c r="AH206" s="2322"/>
      <c r="AI206" s="2322"/>
      <c r="AJ206" s="2322"/>
      <c r="AK206" s="23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324" t="s">
        <v>2303</v>
      </c>
      <c r="D207" s="2325"/>
      <c r="E207" s="2325"/>
      <c r="F207" s="2326"/>
      <c r="G207" s="2330" t="s">
        <v>2302</v>
      </c>
      <c r="H207" s="2325"/>
      <c r="I207" s="2325"/>
      <c r="J207" s="2325"/>
      <c r="K207" s="2325"/>
      <c r="L207" s="2325"/>
      <c r="M207" s="2325"/>
      <c r="N207" s="2325"/>
      <c r="O207" s="2326"/>
      <c r="P207" s="2332" t="s">
        <v>2301</v>
      </c>
      <c r="Q207" s="2333"/>
      <c r="R207" s="2333"/>
      <c r="S207" s="2333"/>
      <c r="T207" s="2334"/>
      <c r="U207" s="2338" t="s">
        <v>2300</v>
      </c>
      <c r="V207" s="2339"/>
      <c r="W207" s="2339"/>
      <c r="X207" s="2340"/>
      <c r="Y207" s="2338" t="s">
        <v>2299</v>
      </c>
      <c r="Z207" s="2339"/>
      <c r="AA207" s="2339"/>
      <c r="AB207" s="2340"/>
      <c r="AC207" s="2338" t="s">
        <v>2298</v>
      </c>
      <c r="AD207" s="2339"/>
      <c r="AE207" s="2339"/>
      <c r="AF207" s="2340"/>
      <c r="AG207" s="2330" t="s">
        <v>2297</v>
      </c>
      <c r="AH207" s="2325"/>
      <c r="AI207" s="2325"/>
      <c r="AJ207" s="2325"/>
      <c r="AK207" s="23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327"/>
      <c r="D208" s="2328"/>
      <c r="E208" s="2328"/>
      <c r="F208" s="2329"/>
      <c r="G208" s="2331"/>
      <c r="H208" s="2328"/>
      <c r="I208" s="2328"/>
      <c r="J208" s="2328"/>
      <c r="K208" s="2328"/>
      <c r="L208" s="2328"/>
      <c r="M208" s="2328"/>
      <c r="N208" s="2328"/>
      <c r="O208" s="2329"/>
      <c r="P208" s="2335"/>
      <c r="Q208" s="2336"/>
      <c r="R208" s="2336"/>
      <c r="S208" s="2336"/>
      <c r="T208" s="2337"/>
      <c r="U208" s="2341"/>
      <c r="V208" s="2342"/>
      <c r="W208" s="2342"/>
      <c r="X208" s="2343"/>
      <c r="Y208" s="2341"/>
      <c r="Z208" s="2342"/>
      <c r="AA208" s="2342"/>
      <c r="AB208" s="2343"/>
      <c r="AC208" s="2341"/>
      <c r="AD208" s="2342"/>
      <c r="AE208" s="2342"/>
      <c r="AF208" s="2343"/>
      <c r="AG208" s="2331"/>
      <c r="AH208" s="2328"/>
      <c r="AI208" s="2328"/>
      <c r="AJ208" s="2328"/>
      <c r="AK208" s="23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49">
        <v>1</v>
      </c>
      <c r="D209" s="2350"/>
      <c r="E209" s="2350"/>
      <c r="F209" s="2350"/>
      <c r="G209" s="2351" t="s">
        <v>1886</v>
      </c>
      <c r="H209" s="2351"/>
      <c r="I209" s="2351"/>
      <c r="J209" s="2351"/>
      <c r="K209" s="2351"/>
      <c r="L209" s="2351"/>
      <c r="M209" s="2351"/>
      <c r="N209" s="2351"/>
      <c r="O209" s="2351"/>
      <c r="P209" s="2352"/>
      <c r="Q209" s="2355"/>
      <c r="R209" s="2355"/>
      <c r="S209" s="2355"/>
      <c r="T209" s="2355"/>
      <c r="U209" s="2353" t="s">
        <v>1886</v>
      </c>
      <c r="V209" s="2353"/>
      <c r="W209" s="2353"/>
      <c r="X209" s="2353"/>
      <c r="Y209" s="2353" t="s">
        <v>1886</v>
      </c>
      <c r="Z209" s="2353"/>
      <c r="AA209" s="2353"/>
      <c r="AB209" s="2353"/>
      <c r="AC209" s="2354" t="s">
        <v>1886</v>
      </c>
      <c r="AD209" s="2354"/>
      <c r="AE209" s="2354"/>
      <c r="AF209" s="2354"/>
      <c r="AG209" s="2346"/>
      <c r="AH209" s="2347"/>
      <c r="AI209" s="2347"/>
      <c r="AJ209" s="2347"/>
      <c r="AK209" s="234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49">
        <v>2</v>
      </c>
      <c r="D210" s="2350"/>
      <c r="E210" s="2350"/>
      <c r="F210" s="2350"/>
      <c r="G210" s="2351" t="s">
        <v>1886</v>
      </c>
      <c r="H210" s="2351"/>
      <c r="I210" s="2351"/>
      <c r="J210" s="2351"/>
      <c r="K210" s="2351"/>
      <c r="L210" s="2351"/>
      <c r="M210" s="2351"/>
      <c r="N210" s="2351"/>
      <c r="O210" s="2351"/>
      <c r="P210" s="2352"/>
      <c r="Q210" s="2352"/>
      <c r="R210" s="2352"/>
      <c r="S210" s="2352"/>
      <c r="T210" s="2352"/>
      <c r="U210" s="2353" t="s">
        <v>1886</v>
      </c>
      <c r="V210" s="2353"/>
      <c r="W210" s="2353"/>
      <c r="X210" s="2353"/>
      <c r="Y210" s="2353" t="s">
        <v>1886</v>
      </c>
      <c r="Z210" s="2353"/>
      <c r="AA210" s="2353"/>
      <c r="AB210" s="2353"/>
      <c r="AC210" s="2354" t="s">
        <v>1886</v>
      </c>
      <c r="AD210" s="2354"/>
      <c r="AE210" s="2354"/>
      <c r="AF210" s="2354"/>
      <c r="AG210" s="2346"/>
      <c r="AH210" s="2347"/>
      <c r="AI210" s="2347"/>
      <c r="AJ210" s="2347"/>
      <c r="AK210" s="234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49">
        <v>3</v>
      </c>
      <c r="D211" s="2350"/>
      <c r="E211" s="2350"/>
      <c r="F211" s="2350"/>
      <c r="G211" s="2351" t="s">
        <v>1886</v>
      </c>
      <c r="H211" s="2351"/>
      <c r="I211" s="2351"/>
      <c r="J211" s="2351"/>
      <c r="K211" s="2351"/>
      <c r="L211" s="2351"/>
      <c r="M211" s="2351"/>
      <c r="N211" s="2351"/>
      <c r="O211" s="2351"/>
      <c r="P211" s="2352"/>
      <c r="Q211" s="2352"/>
      <c r="R211" s="2352"/>
      <c r="S211" s="2352"/>
      <c r="T211" s="2352"/>
      <c r="U211" s="2353" t="s">
        <v>1886</v>
      </c>
      <c r="V211" s="2353"/>
      <c r="W211" s="2353"/>
      <c r="X211" s="2353"/>
      <c r="Y211" s="2353" t="s">
        <v>1886</v>
      </c>
      <c r="Z211" s="2353"/>
      <c r="AA211" s="2353"/>
      <c r="AB211" s="2353"/>
      <c r="AC211" s="2354" t="s">
        <v>1886</v>
      </c>
      <c r="AD211" s="2354"/>
      <c r="AE211" s="2354"/>
      <c r="AF211" s="2354"/>
      <c r="AG211" s="2346"/>
      <c r="AH211" s="2347"/>
      <c r="AI211" s="2347"/>
      <c r="AJ211" s="2347"/>
      <c r="AK211" s="234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49">
        <v>4</v>
      </c>
      <c r="D212" s="2350"/>
      <c r="E212" s="2350"/>
      <c r="F212" s="2350"/>
      <c r="G212" s="2351" t="s">
        <v>1886</v>
      </c>
      <c r="H212" s="2351"/>
      <c r="I212" s="2351"/>
      <c r="J212" s="2351"/>
      <c r="K212" s="2351"/>
      <c r="L212" s="2351"/>
      <c r="M212" s="2351"/>
      <c r="N212" s="2351"/>
      <c r="O212" s="2351"/>
      <c r="P212" s="2352"/>
      <c r="Q212" s="2352"/>
      <c r="R212" s="2352"/>
      <c r="S212" s="2352"/>
      <c r="T212" s="2352"/>
      <c r="U212" s="2353" t="s">
        <v>1886</v>
      </c>
      <c r="V212" s="2353"/>
      <c r="W212" s="2353"/>
      <c r="X212" s="2353"/>
      <c r="Y212" s="2353" t="s">
        <v>1886</v>
      </c>
      <c r="Z212" s="2353"/>
      <c r="AA212" s="2353"/>
      <c r="AB212" s="2353"/>
      <c r="AC212" s="2354" t="s">
        <v>1886</v>
      </c>
      <c r="AD212" s="2354"/>
      <c r="AE212" s="2354"/>
      <c r="AF212" s="2354"/>
      <c r="AG212" s="2346"/>
      <c r="AH212" s="2347"/>
      <c r="AI212" s="2347"/>
      <c r="AJ212" s="2347"/>
      <c r="AK212" s="234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49">
        <v>5</v>
      </c>
      <c r="D213" s="2350"/>
      <c r="E213" s="2350"/>
      <c r="F213" s="2350"/>
      <c r="G213" s="2351" t="s">
        <v>1886</v>
      </c>
      <c r="H213" s="2351"/>
      <c r="I213" s="2351"/>
      <c r="J213" s="2351"/>
      <c r="K213" s="2351"/>
      <c r="L213" s="2351"/>
      <c r="M213" s="2351"/>
      <c r="N213" s="2351"/>
      <c r="O213" s="2351"/>
      <c r="P213" s="2352"/>
      <c r="Q213" s="2352"/>
      <c r="R213" s="2352"/>
      <c r="S213" s="2352"/>
      <c r="T213" s="2352"/>
      <c r="U213" s="2353" t="s">
        <v>1886</v>
      </c>
      <c r="V213" s="2353"/>
      <c r="W213" s="2353"/>
      <c r="X213" s="2353"/>
      <c r="Y213" s="2353" t="s">
        <v>1886</v>
      </c>
      <c r="Z213" s="2353"/>
      <c r="AA213" s="2353"/>
      <c r="AB213" s="2353"/>
      <c r="AC213" s="2354" t="s">
        <v>1886</v>
      </c>
      <c r="AD213" s="2354"/>
      <c r="AE213" s="2354"/>
      <c r="AF213" s="2354"/>
      <c r="AG213" s="2346"/>
      <c r="AH213" s="2347"/>
      <c r="AI213" s="2347"/>
      <c r="AJ213" s="2347"/>
      <c r="AK213" s="234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49">
        <v>6</v>
      </c>
      <c r="D214" s="2350"/>
      <c r="E214" s="2350"/>
      <c r="F214" s="2350"/>
      <c r="G214" s="2351" t="s">
        <v>1886</v>
      </c>
      <c r="H214" s="2351"/>
      <c r="I214" s="2351"/>
      <c r="J214" s="2351"/>
      <c r="K214" s="2351"/>
      <c r="L214" s="2351"/>
      <c r="M214" s="2351"/>
      <c r="N214" s="2351"/>
      <c r="O214" s="2351"/>
      <c r="P214" s="2352"/>
      <c r="Q214" s="2352"/>
      <c r="R214" s="2352"/>
      <c r="S214" s="2352"/>
      <c r="T214" s="2352"/>
      <c r="U214" s="2353"/>
      <c r="V214" s="2353"/>
      <c r="W214" s="2353"/>
      <c r="X214" s="2353"/>
      <c r="Y214" s="2353"/>
      <c r="Z214" s="2353"/>
      <c r="AA214" s="2353"/>
      <c r="AB214" s="2353"/>
      <c r="AC214" s="2354" t="s">
        <v>1886</v>
      </c>
      <c r="AD214" s="2354"/>
      <c r="AE214" s="2354"/>
      <c r="AF214" s="2354"/>
      <c r="AG214" s="2346"/>
      <c r="AH214" s="2347"/>
      <c r="AI214" s="2347"/>
      <c r="AJ214" s="2347"/>
      <c r="AK214" s="234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49">
        <v>7</v>
      </c>
      <c r="D215" s="2350"/>
      <c r="E215" s="2350"/>
      <c r="F215" s="2350"/>
      <c r="G215" s="2351"/>
      <c r="H215" s="2351"/>
      <c r="I215" s="2351"/>
      <c r="J215" s="2351"/>
      <c r="K215" s="2351"/>
      <c r="L215" s="2351"/>
      <c r="M215" s="2351"/>
      <c r="N215" s="2351"/>
      <c r="O215" s="2351"/>
      <c r="P215" s="2352"/>
      <c r="Q215" s="2352"/>
      <c r="R215" s="2352"/>
      <c r="S215" s="2352"/>
      <c r="T215" s="2352"/>
      <c r="U215" s="2353"/>
      <c r="V215" s="2353"/>
      <c r="W215" s="2353"/>
      <c r="X215" s="2353"/>
      <c r="Y215" s="2353"/>
      <c r="Z215" s="2353"/>
      <c r="AA215" s="2353"/>
      <c r="AB215" s="2353"/>
      <c r="AC215" s="2354" t="s">
        <v>1886</v>
      </c>
      <c r="AD215" s="2354"/>
      <c r="AE215" s="2354"/>
      <c r="AF215" s="2354"/>
      <c r="AG215" s="2346"/>
      <c r="AH215" s="2347"/>
      <c r="AI215" s="2347"/>
      <c r="AJ215" s="2347"/>
      <c r="AK215" s="234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68" t="s">
        <v>2296</v>
      </c>
      <c r="D216" s="2369"/>
      <c r="E216" s="2369"/>
      <c r="F216" s="2369"/>
      <c r="G216" s="2369"/>
      <c r="H216" s="2369"/>
      <c r="I216" s="2369"/>
      <c r="J216" s="2369"/>
      <c r="K216" s="2369"/>
      <c r="L216" s="2369"/>
      <c r="M216" s="2369"/>
      <c r="N216" s="2369"/>
      <c r="O216" s="2369"/>
      <c r="P216" s="2370"/>
      <c r="Q216" s="2370"/>
      <c r="R216" s="2370"/>
      <c r="S216" s="2370"/>
      <c r="T216" s="2370"/>
      <c r="U216" s="2371">
        <f>-SUM(U209:U215)</f>
        <v>0</v>
      </c>
      <c r="V216" s="2371"/>
      <c r="W216" s="2371"/>
      <c r="X216" s="2371"/>
      <c r="Y216" s="2371">
        <f>-SUM(Y209:Y215)</f>
        <v>0</v>
      </c>
      <c r="Z216" s="2371"/>
      <c r="AA216" s="2371"/>
      <c r="AB216" s="2371"/>
      <c r="AC216" s="2372">
        <f>-SUM(AC209:AC215)</f>
        <v>0</v>
      </c>
      <c r="AD216" s="2372"/>
      <c r="AE216" s="2372"/>
      <c r="AF216" s="2372"/>
      <c r="AG216" s="2373"/>
      <c r="AH216" s="2374"/>
      <c r="AI216" s="2374"/>
      <c r="AJ216" s="2374"/>
      <c r="AK216" s="237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56" t="s">
        <v>2294</v>
      </c>
      <c r="C221" s="2357"/>
      <c r="D221" s="2357"/>
      <c r="E221" s="2357"/>
      <c r="F221" s="2357"/>
      <c r="G221" s="2357"/>
      <c r="H221" s="2357"/>
      <c r="I221" s="2357"/>
      <c r="J221" s="2357"/>
      <c r="K221" s="2357"/>
      <c r="L221" s="2357"/>
      <c r="M221" s="2357"/>
      <c r="N221" s="2357"/>
      <c r="O221" s="2357"/>
      <c r="P221" s="2357"/>
      <c r="Q221" s="2357"/>
      <c r="R221" s="2357"/>
      <c r="S221" s="2357"/>
      <c r="T221" s="2357"/>
      <c r="U221" s="2357"/>
      <c r="V221" s="2357"/>
      <c r="W221" s="2357"/>
      <c r="X221" s="2357"/>
      <c r="Y221" s="2357"/>
      <c r="Z221" s="2357"/>
      <c r="AA221" s="2357"/>
      <c r="AB221" s="2357"/>
      <c r="AC221" s="2357"/>
      <c r="AD221" s="2357"/>
      <c r="AE221" s="2357"/>
      <c r="AF221" s="2357"/>
      <c r="AG221" s="2357"/>
      <c r="AH221" s="2357"/>
      <c r="AI221" s="2357"/>
      <c r="AJ221" s="2357"/>
      <c r="AK221" s="2357"/>
      <c r="AL221" s="2357"/>
      <c r="AM221" s="2357"/>
      <c r="AN221" s="2357"/>
      <c r="AO221" s="2357"/>
      <c r="AP221" s="2357"/>
      <c r="AQ221" s="2357"/>
      <c r="AR221" s="2357"/>
      <c r="AS221" s="2357"/>
      <c r="AT221" s="2357"/>
      <c r="AU221" s="2357"/>
      <c r="AV221" s="2357"/>
      <c r="AW221" s="2357"/>
      <c r="AX221" s="2357"/>
      <c r="AY221" s="2357"/>
      <c r="AZ221" s="2357"/>
      <c r="BA221" s="2357"/>
      <c r="BB221" s="2357"/>
      <c r="BC221" s="2357"/>
      <c r="BD221" s="2358"/>
      <c r="BE221" s="1194"/>
    </row>
    <row r="222" spans="1:57" ht="15.75" customHeight="1">
      <c r="A222" s="1190"/>
      <c r="B222" s="2359"/>
      <c r="C222" s="2360"/>
      <c r="D222" s="2360"/>
      <c r="E222" s="2360"/>
      <c r="F222" s="2360"/>
      <c r="G222" s="2360"/>
      <c r="H222" s="2360"/>
      <c r="I222" s="2360"/>
      <c r="J222" s="2360"/>
      <c r="K222" s="2360"/>
      <c r="L222" s="2360"/>
      <c r="M222" s="2360"/>
      <c r="N222" s="2360"/>
      <c r="O222" s="2360"/>
      <c r="P222" s="2360"/>
      <c r="Q222" s="2360"/>
      <c r="R222" s="2360"/>
      <c r="S222" s="2360"/>
      <c r="T222" s="2360"/>
      <c r="U222" s="2360"/>
      <c r="V222" s="2360"/>
      <c r="W222" s="2360"/>
      <c r="X222" s="2360"/>
      <c r="Y222" s="2360"/>
      <c r="Z222" s="2360"/>
      <c r="AA222" s="2360"/>
      <c r="AB222" s="2360"/>
      <c r="AC222" s="2360"/>
      <c r="AD222" s="2360"/>
      <c r="AE222" s="2360"/>
      <c r="AF222" s="2360"/>
      <c r="AG222" s="2360"/>
      <c r="AH222" s="2360"/>
      <c r="AI222" s="2360"/>
      <c r="AJ222" s="2360"/>
      <c r="AK222" s="2360"/>
      <c r="AL222" s="2360"/>
      <c r="AM222" s="2360"/>
      <c r="AN222" s="2360"/>
      <c r="AO222" s="2360"/>
      <c r="AP222" s="2360"/>
      <c r="AQ222" s="2360"/>
      <c r="AR222" s="2360"/>
      <c r="AS222" s="2360"/>
      <c r="AT222" s="2360"/>
      <c r="AU222" s="2360"/>
      <c r="AV222" s="2360"/>
      <c r="AW222" s="2360"/>
      <c r="AX222" s="2360"/>
      <c r="AY222" s="2360"/>
      <c r="AZ222" s="2360"/>
      <c r="BA222" s="2360"/>
      <c r="BB222" s="2360"/>
      <c r="BC222" s="2360"/>
      <c r="BD222" s="2361"/>
      <c r="BE222" s="1194"/>
    </row>
    <row r="223" spans="1:57" ht="15.75" customHeight="1">
      <c r="A223" s="1190"/>
      <c r="B223" s="2362" t="s">
        <v>2293</v>
      </c>
      <c r="C223" s="2363"/>
      <c r="D223" s="2363"/>
      <c r="E223" s="2363"/>
      <c r="F223" s="2363"/>
      <c r="G223" s="2363"/>
      <c r="H223" s="2363"/>
      <c r="I223" s="2363"/>
      <c r="J223" s="2363"/>
      <c r="K223" s="2363"/>
      <c r="L223" s="2363"/>
      <c r="M223" s="2363"/>
      <c r="N223" s="2363"/>
      <c r="O223" s="2363"/>
      <c r="P223" s="2363"/>
      <c r="Q223" s="2363"/>
      <c r="R223" s="2363"/>
      <c r="S223" s="2363"/>
      <c r="T223" s="2363"/>
      <c r="U223" s="2363"/>
      <c r="V223" s="2363"/>
      <c r="W223" s="2363"/>
      <c r="X223" s="2363"/>
      <c r="Y223" s="2363"/>
      <c r="Z223" s="2363"/>
      <c r="AA223" s="2363"/>
      <c r="AB223" s="2363"/>
      <c r="AC223" s="2363"/>
      <c r="AD223" s="2363"/>
      <c r="AE223" s="2363"/>
      <c r="AF223" s="2363"/>
      <c r="AG223" s="2363"/>
      <c r="AH223" s="2363"/>
      <c r="AI223" s="2363"/>
      <c r="AJ223" s="2363"/>
      <c r="AK223" s="2363"/>
      <c r="AL223" s="2363"/>
      <c r="AM223" s="2363"/>
      <c r="AN223" s="2363"/>
      <c r="AO223" s="2363"/>
      <c r="AP223" s="2363"/>
      <c r="AQ223" s="2363"/>
      <c r="AR223" s="2363"/>
      <c r="AS223" s="2363"/>
      <c r="AT223" s="2363"/>
      <c r="AU223" s="2363"/>
      <c r="AV223" s="2363"/>
      <c r="AW223" s="2363"/>
      <c r="AX223" s="2363"/>
      <c r="AY223" s="2363"/>
      <c r="AZ223" s="2363"/>
      <c r="BA223" s="2363"/>
      <c r="BB223" s="2363"/>
      <c r="BC223" s="2363"/>
      <c r="BD223" s="2364"/>
      <c r="BE223" s="1194"/>
    </row>
    <row r="224" spans="1:57" ht="15.75" customHeight="1">
      <c r="A224" s="1190"/>
      <c r="B224" s="2362" t="s">
        <v>2292</v>
      </c>
      <c r="C224" s="2363"/>
      <c r="D224" s="2363"/>
      <c r="E224" s="2363"/>
      <c r="F224" s="2363"/>
      <c r="G224" s="2363"/>
      <c r="H224" s="2363"/>
      <c r="I224" s="2363"/>
      <c r="J224" s="2363"/>
      <c r="K224" s="2363"/>
      <c r="L224" s="2363"/>
      <c r="M224" s="2363"/>
      <c r="N224" s="2363"/>
      <c r="O224" s="2363"/>
      <c r="P224" s="2363"/>
      <c r="Q224" s="2363"/>
      <c r="R224" s="2363"/>
      <c r="S224" s="2363"/>
      <c r="T224" s="2363"/>
      <c r="U224" s="2363"/>
      <c r="V224" s="2363"/>
      <c r="W224" s="2363"/>
      <c r="X224" s="2363"/>
      <c r="Y224" s="2363"/>
      <c r="Z224" s="2363"/>
      <c r="AA224" s="2363"/>
      <c r="AB224" s="2363"/>
      <c r="AC224" s="2363"/>
      <c r="AD224" s="2363"/>
      <c r="AE224" s="2363"/>
      <c r="AF224" s="2363"/>
      <c r="AG224" s="2363"/>
      <c r="AH224" s="2363"/>
      <c r="AI224" s="2363"/>
      <c r="AJ224" s="2363"/>
      <c r="AK224" s="2363"/>
      <c r="AL224" s="2363"/>
      <c r="AM224" s="2363"/>
      <c r="AN224" s="2363"/>
      <c r="AO224" s="2363"/>
      <c r="AP224" s="2363"/>
      <c r="AQ224" s="2363"/>
      <c r="AR224" s="2363"/>
      <c r="AS224" s="2363"/>
      <c r="AT224" s="2363"/>
      <c r="AU224" s="2363"/>
      <c r="AV224" s="2363"/>
      <c r="AW224" s="2363"/>
      <c r="AX224" s="2363"/>
      <c r="AY224" s="2363"/>
      <c r="AZ224" s="2363"/>
      <c r="BA224" s="2363"/>
      <c r="BB224" s="2363"/>
      <c r="BC224" s="2363"/>
      <c r="BD224" s="236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65" t="s">
        <v>2291</v>
      </c>
      <c r="C226" s="2255"/>
      <c r="D226" s="2255"/>
      <c r="E226" s="2255"/>
      <c r="F226" s="2255"/>
      <c r="G226" s="2255"/>
      <c r="H226" s="2255"/>
      <c r="I226" s="2255"/>
      <c r="J226" s="2255"/>
      <c r="K226" s="2255"/>
      <c r="L226" s="2255"/>
      <c r="M226" s="2255"/>
      <c r="N226" s="2255"/>
      <c r="O226" s="2255"/>
      <c r="P226" s="2255"/>
      <c r="Q226" s="2255"/>
      <c r="R226" s="2255"/>
      <c r="S226" s="2255"/>
      <c r="T226" s="2255"/>
      <c r="U226" s="2255"/>
      <c r="V226" s="2255"/>
      <c r="W226" s="2255"/>
      <c r="X226" s="2255"/>
      <c r="Y226" s="2255"/>
      <c r="Z226" s="2255"/>
      <c r="AA226" s="2255"/>
      <c r="AB226" s="2255"/>
      <c r="AC226" s="2255"/>
      <c r="AD226" s="2255"/>
      <c r="AE226" s="2255"/>
      <c r="AF226" s="2255"/>
      <c r="AG226" s="2255"/>
      <c r="AH226" s="2255"/>
      <c r="AI226" s="2255"/>
      <c r="AJ226" s="2255"/>
      <c r="AK226" s="2255"/>
      <c r="AL226" s="2255"/>
      <c r="AM226" s="2255"/>
      <c r="AN226" s="2255"/>
      <c r="AO226" s="2255"/>
      <c r="AP226" s="2255"/>
      <c r="AQ226" s="2255"/>
      <c r="AR226" s="2255"/>
      <c r="AS226" s="2255"/>
      <c r="AT226" s="2255"/>
      <c r="AU226" s="2255"/>
      <c r="AV226" s="2255"/>
      <c r="AW226" s="2255"/>
      <c r="AX226" s="2255"/>
      <c r="AY226" s="2255"/>
      <c r="AZ226" s="2255"/>
      <c r="BA226" s="2255"/>
      <c r="BB226" s="2255"/>
      <c r="BC226" s="2255"/>
      <c r="BD226" s="236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67" t="s">
        <v>2289</v>
      </c>
      <c r="I230" s="2367"/>
      <c r="J230" s="2367"/>
      <c r="K230" s="2367"/>
      <c r="L230" s="2367"/>
      <c r="M230" s="2367"/>
      <c r="N230" s="2367"/>
      <c r="O230" s="2367"/>
      <c r="P230" s="2367"/>
      <c r="Q230" s="2367"/>
      <c r="R230" s="2367"/>
      <c r="S230" s="2367"/>
      <c r="T230" s="2367"/>
      <c r="U230" s="2367"/>
      <c r="V230" s="2367"/>
      <c r="W230" s="2367"/>
      <c r="X230" s="2367"/>
      <c r="Y230" s="2367"/>
      <c r="Z230" s="2367"/>
      <c r="AA230" s="2367"/>
      <c r="AB230" s="2367"/>
      <c r="AC230" s="2367"/>
      <c r="AD230" s="2367"/>
      <c r="AE230" s="2367"/>
      <c r="AF230" s="2367"/>
      <c r="AG230" s="2367"/>
      <c r="AH230" s="2367"/>
      <c r="AI230" s="2367"/>
      <c r="AJ230" s="2367"/>
      <c r="AK230" s="2367"/>
      <c r="AL230" s="2367"/>
      <c r="AM230" s="2367"/>
      <c r="AN230" s="2367"/>
      <c r="AO230" s="2367"/>
      <c r="AP230" s="2367"/>
      <c r="AQ230" s="2367"/>
      <c r="AR230" s="2367"/>
      <c r="AS230" s="2367"/>
      <c r="AT230" s="2367"/>
      <c r="AU230" s="2367"/>
      <c r="AV230" s="2367"/>
      <c r="AW230" s="2367"/>
      <c r="AX230" s="2367"/>
      <c r="AY230" s="236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85" t="s">
        <v>2288</v>
      </c>
      <c r="I232" s="2385"/>
      <c r="J232" s="2385"/>
      <c r="K232" s="2385"/>
      <c r="L232" s="2385"/>
      <c r="M232" s="2385"/>
      <c r="N232" s="2385"/>
      <c r="O232" s="2385"/>
      <c r="P232" s="2385"/>
      <c r="Q232" s="2385"/>
      <c r="R232" s="2385"/>
      <c r="S232" s="2385"/>
      <c r="T232" s="2385"/>
      <c r="U232" s="2385"/>
      <c r="V232" s="2385"/>
      <c r="W232" s="2385"/>
      <c r="X232" s="2385"/>
      <c r="Y232" s="2385"/>
      <c r="Z232" s="2385"/>
      <c r="AA232" s="2385"/>
      <c r="AB232" s="2385"/>
      <c r="AC232" s="2385"/>
      <c r="AD232" s="2385"/>
      <c r="AE232" s="2385"/>
      <c r="AF232" s="2385"/>
      <c r="AG232" s="2385"/>
      <c r="AH232" s="2385"/>
      <c r="AI232" s="2385"/>
      <c r="AJ232" s="2385"/>
      <c r="AK232" s="2385"/>
      <c r="AL232" s="2385"/>
      <c r="AM232" s="2385"/>
      <c r="AN232" s="2385"/>
      <c r="AO232" s="2385"/>
      <c r="AP232" s="2385"/>
      <c r="AQ232" s="2385"/>
      <c r="AR232" s="2385"/>
      <c r="AS232" s="2385"/>
      <c r="AT232" s="2385"/>
      <c r="AU232" s="2385"/>
      <c r="AV232" s="2385"/>
      <c r="AW232" s="2385"/>
      <c r="AX232" s="2385"/>
      <c r="AY232" s="2385"/>
      <c r="AZ232" s="2385"/>
      <c r="BA232" s="1190"/>
      <c r="BB232" s="1190"/>
      <c r="BC232" s="1190"/>
      <c r="BD232" s="1194"/>
      <c r="BE232" s="1194"/>
    </row>
    <row r="233" spans="1:57" ht="15.75" customHeight="1">
      <c r="A233" s="1190"/>
      <c r="B233" s="1189"/>
      <c r="C233" s="1190"/>
      <c r="D233" s="1190"/>
      <c r="E233" s="1190"/>
      <c r="F233" s="1190"/>
      <c r="G233" s="1190"/>
      <c r="H233" s="2385"/>
      <c r="I233" s="2385"/>
      <c r="J233" s="2385"/>
      <c r="K233" s="2385"/>
      <c r="L233" s="2385"/>
      <c r="M233" s="2385"/>
      <c r="N233" s="2385"/>
      <c r="O233" s="2385"/>
      <c r="P233" s="2385"/>
      <c r="Q233" s="2385"/>
      <c r="R233" s="2385"/>
      <c r="S233" s="2385"/>
      <c r="T233" s="2385"/>
      <c r="U233" s="2385"/>
      <c r="V233" s="2385"/>
      <c r="W233" s="2385"/>
      <c r="X233" s="2385"/>
      <c r="Y233" s="2385"/>
      <c r="Z233" s="2385"/>
      <c r="AA233" s="2385"/>
      <c r="AB233" s="2385"/>
      <c r="AC233" s="2385"/>
      <c r="AD233" s="2385"/>
      <c r="AE233" s="2385"/>
      <c r="AF233" s="2385"/>
      <c r="AG233" s="2385"/>
      <c r="AH233" s="2385"/>
      <c r="AI233" s="2385"/>
      <c r="AJ233" s="2385"/>
      <c r="AK233" s="2385"/>
      <c r="AL233" s="2385"/>
      <c r="AM233" s="2385"/>
      <c r="AN233" s="2385"/>
      <c r="AO233" s="2385"/>
      <c r="AP233" s="2385"/>
      <c r="AQ233" s="2385"/>
      <c r="AR233" s="2385"/>
      <c r="AS233" s="2385"/>
      <c r="AT233" s="2385"/>
      <c r="AU233" s="2385"/>
      <c r="AV233" s="2385"/>
      <c r="AW233" s="2385"/>
      <c r="AX233" s="2385"/>
      <c r="AY233" s="2385"/>
      <c r="AZ233" s="2385"/>
      <c r="BA233" s="1190"/>
      <c r="BB233" s="1190"/>
      <c r="BC233" s="1190"/>
      <c r="BD233" s="1194"/>
      <c r="BE233" s="1194"/>
    </row>
    <row r="234" spans="1:57" ht="15.75" customHeight="1">
      <c r="A234" s="1190"/>
      <c r="B234" s="1189"/>
      <c r="C234" s="1190"/>
      <c r="D234" s="1190"/>
      <c r="E234" s="1190"/>
      <c r="F234" s="1190"/>
      <c r="G234" s="1190"/>
      <c r="H234" s="2385"/>
      <c r="I234" s="2385"/>
      <c r="J234" s="2385"/>
      <c r="K234" s="2385"/>
      <c r="L234" s="2385"/>
      <c r="M234" s="2385"/>
      <c r="N234" s="2385"/>
      <c r="O234" s="2385"/>
      <c r="P234" s="2385"/>
      <c r="Q234" s="2385"/>
      <c r="R234" s="2385"/>
      <c r="S234" s="2385"/>
      <c r="T234" s="2385"/>
      <c r="U234" s="2385"/>
      <c r="V234" s="2385"/>
      <c r="W234" s="2385"/>
      <c r="X234" s="2385"/>
      <c r="Y234" s="2385"/>
      <c r="Z234" s="2385"/>
      <c r="AA234" s="2385"/>
      <c r="AB234" s="2385"/>
      <c r="AC234" s="2385"/>
      <c r="AD234" s="2385"/>
      <c r="AE234" s="2385"/>
      <c r="AF234" s="2385"/>
      <c r="AG234" s="2385"/>
      <c r="AH234" s="2385"/>
      <c r="AI234" s="2385"/>
      <c r="AJ234" s="2385"/>
      <c r="AK234" s="2385"/>
      <c r="AL234" s="2385"/>
      <c r="AM234" s="2385"/>
      <c r="AN234" s="2385"/>
      <c r="AO234" s="2385"/>
      <c r="AP234" s="2385"/>
      <c r="AQ234" s="2385"/>
      <c r="AR234" s="2385"/>
      <c r="AS234" s="2385"/>
      <c r="AT234" s="2385"/>
      <c r="AU234" s="2385"/>
      <c r="AV234" s="2385"/>
      <c r="AW234" s="2385"/>
      <c r="AX234" s="2385"/>
      <c r="AY234" s="2385"/>
      <c r="AZ234" s="2385"/>
      <c r="BA234" s="1190"/>
      <c r="BB234" s="1190"/>
      <c r="BC234" s="1190"/>
      <c r="BD234" s="1194"/>
      <c r="BE234" s="1194"/>
    </row>
    <row r="235" spans="1:57" ht="15.75" customHeight="1">
      <c r="A235" s="1190"/>
      <c r="B235" s="1189"/>
      <c r="C235" s="1190"/>
      <c r="D235" s="1190"/>
      <c r="E235" s="1190"/>
      <c r="F235" s="1190"/>
      <c r="G235" s="1190"/>
      <c r="H235" s="2385"/>
      <c r="I235" s="2385"/>
      <c r="J235" s="2385"/>
      <c r="K235" s="2385"/>
      <c r="L235" s="2385"/>
      <c r="M235" s="2385"/>
      <c r="N235" s="2385"/>
      <c r="O235" s="2385"/>
      <c r="P235" s="2385"/>
      <c r="Q235" s="2385"/>
      <c r="R235" s="2385"/>
      <c r="S235" s="2385"/>
      <c r="T235" s="2385"/>
      <c r="U235" s="2385"/>
      <c r="V235" s="2385"/>
      <c r="W235" s="2385"/>
      <c r="X235" s="2385"/>
      <c r="Y235" s="2385"/>
      <c r="Z235" s="2385"/>
      <c r="AA235" s="2385"/>
      <c r="AB235" s="2385"/>
      <c r="AC235" s="2385"/>
      <c r="AD235" s="2385"/>
      <c r="AE235" s="2385"/>
      <c r="AF235" s="2385"/>
      <c r="AG235" s="2385"/>
      <c r="AH235" s="2385"/>
      <c r="AI235" s="2385"/>
      <c r="AJ235" s="2385"/>
      <c r="AK235" s="2385"/>
      <c r="AL235" s="2385"/>
      <c r="AM235" s="2385"/>
      <c r="AN235" s="2385"/>
      <c r="AO235" s="2385"/>
      <c r="AP235" s="2385"/>
      <c r="AQ235" s="2385"/>
      <c r="AR235" s="2385"/>
      <c r="AS235" s="2385"/>
      <c r="AT235" s="2385"/>
      <c r="AU235" s="2385"/>
      <c r="AV235" s="2385"/>
      <c r="AW235" s="2385"/>
      <c r="AX235" s="2385"/>
      <c r="AY235" s="2385"/>
      <c r="AZ235" s="238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86" t="s">
        <v>2287</v>
      </c>
      <c r="I237" s="2386"/>
      <c r="J237" s="2386"/>
      <c r="K237" s="2386"/>
      <c r="L237" s="2386"/>
      <c r="M237" s="2386"/>
      <c r="N237" s="2386"/>
      <c r="O237" s="2386"/>
      <c r="P237" s="2386"/>
      <c r="Q237" s="2386"/>
      <c r="R237" s="2386"/>
      <c r="S237" s="2386"/>
      <c r="T237" s="2386"/>
      <c r="U237" s="2386"/>
      <c r="V237" s="2386"/>
      <c r="W237" s="2386"/>
      <c r="X237" s="2386"/>
      <c r="Y237" s="2386"/>
      <c r="Z237" s="2386"/>
      <c r="AA237" s="2386"/>
      <c r="AB237" s="2386"/>
      <c r="AC237" s="2386"/>
      <c r="AD237" s="2386"/>
      <c r="AE237" s="2386"/>
      <c r="AF237" s="2386"/>
      <c r="AG237" s="2386"/>
      <c r="AH237" s="2386"/>
      <c r="AI237" s="2386"/>
      <c r="AJ237" s="2386"/>
      <c r="AK237" s="2386"/>
      <c r="AL237" s="2386"/>
      <c r="AM237" s="2386"/>
      <c r="AN237" s="2386"/>
      <c r="AO237" s="2386"/>
      <c r="AP237" s="2386"/>
      <c r="AQ237" s="2386"/>
      <c r="AR237" s="2386"/>
      <c r="AS237" s="2386"/>
      <c r="AT237" s="2386"/>
      <c r="AU237" s="2386"/>
      <c r="AV237" s="238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76" t="s">
        <v>2286</v>
      </c>
      <c r="I239" s="2376"/>
      <c r="J239" s="2376"/>
      <c r="K239" s="2376"/>
      <c r="L239" s="1239"/>
      <c r="M239" s="1239"/>
      <c r="N239" s="1239"/>
      <c r="O239" s="1239"/>
      <c r="P239" s="1239"/>
      <c r="Q239" s="1239"/>
      <c r="R239" s="1239"/>
      <c r="S239" s="2387"/>
      <c r="T239" s="2388"/>
      <c r="U239" s="2388"/>
      <c r="V239" s="2388"/>
      <c r="W239" s="2388"/>
      <c r="X239" s="2388"/>
      <c r="Y239" s="2388"/>
      <c r="Z239" s="2388"/>
      <c r="AA239" s="2388"/>
      <c r="AB239" s="2388"/>
      <c r="AC239" s="2388"/>
      <c r="AD239" s="2388"/>
      <c r="AE239" s="2388"/>
      <c r="AF239" s="2388"/>
      <c r="AG239" s="2388"/>
      <c r="AH239" s="2388"/>
      <c r="AI239" s="2388"/>
      <c r="AJ239" s="238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76" t="s">
        <v>2285</v>
      </c>
      <c r="I241" s="2376"/>
      <c r="J241" s="2376"/>
      <c r="K241" s="1241"/>
      <c r="L241" s="1239"/>
      <c r="M241" s="1239"/>
      <c r="N241" s="1239"/>
      <c r="O241" s="1239"/>
      <c r="P241" s="1239"/>
      <c r="Q241" s="1239"/>
      <c r="R241" s="1239"/>
      <c r="S241" s="2377"/>
      <c r="T241" s="2378"/>
      <c r="U241" s="2378"/>
      <c r="V241" s="2378"/>
      <c r="W241" s="2378"/>
      <c r="X241" s="2378"/>
      <c r="Y241" s="2378"/>
      <c r="Z241" s="2378"/>
      <c r="AA241" s="2378"/>
      <c r="AB241" s="2378"/>
      <c r="AC241" s="2378"/>
      <c r="AD241" s="2378"/>
      <c r="AE241" s="2378"/>
      <c r="AF241" s="2378"/>
      <c r="AG241" s="2378"/>
      <c r="AH241" s="2378"/>
      <c r="AI241" s="2378"/>
      <c r="AJ241" s="237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76" t="s">
        <v>442</v>
      </c>
      <c r="I243" s="2376"/>
      <c r="J243" s="1241"/>
      <c r="K243" s="1241"/>
      <c r="L243" s="1239"/>
      <c r="M243" s="1239"/>
      <c r="N243" s="1239"/>
      <c r="O243" s="1239"/>
      <c r="P243" s="1239"/>
      <c r="Q243" s="1239"/>
      <c r="R243" s="1239"/>
      <c r="S243" s="2377"/>
      <c r="T243" s="2378"/>
      <c r="U243" s="2378"/>
      <c r="V243" s="2378"/>
      <c r="W243" s="2378"/>
      <c r="X243" s="2378"/>
      <c r="Y243" s="2378"/>
      <c r="Z243" s="2378"/>
      <c r="AA243" s="2378"/>
      <c r="AB243" s="2378"/>
      <c r="AC243" s="2378"/>
      <c r="AD243" s="2378"/>
      <c r="AE243" s="2378"/>
      <c r="AF243" s="2378"/>
      <c r="AG243" s="2378"/>
      <c r="AH243" s="2378"/>
      <c r="AI243" s="2378"/>
      <c r="AJ243" s="237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80" t="s">
        <v>2284</v>
      </c>
      <c r="I245" s="2380"/>
      <c r="J245" s="2380"/>
      <c r="K245" s="2380"/>
      <c r="L245" s="2380"/>
      <c r="M245" s="2380"/>
      <c r="N245" s="2380"/>
      <c r="O245" s="2380"/>
      <c r="P245" s="1239"/>
      <c r="Q245" s="1239"/>
      <c r="R245" s="1239"/>
      <c r="S245" s="2377"/>
      <c r="T245" s="2378"/>
      <c r="U245" s="2378"/>
      <c r="V245" s="2378"/>
      <c r="W245" s="2378"/>
      <c r="X245" s="2378"/>
      <c r="Y245" s="2378"/>
      <c r="Z245" s="2378"/>
      <c r="AA245" s="2378"/>
      <c r="AB245" s="2378"/>
      <c r="AC245" s="2378"/>
      <c r="AD245" s="2378"/>
      <c r="AE245" s="2378"/>
      <c r="AF245" s="2378"/>
      <c r="AG245" s="2378"/>
      <c r="AH245" s="2378"/>
      <c r="AI245" s="2378"/>
      <c r="AJ245" s="237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81" t="s">
        <v>2283</v>
      </c>
      <c r="I247" s="2381"/>
      <c r="J247" s="1239"/>
      <c r="K247" s="1239"/>
      <c r="L247" s="1239"/>
      <c r="M247" s="1239"/>
      <c r="N247" s="1239"/>
      <c r="O247" s="1239"/>
      <c r="P247" s="1239"/>
      <c r="Q247" s="1239"/>
      <c r="R247" s="1239"/>
      <c r="S247" s="2382"/>
      <c r="T247" s="2383"/>
      <c r="U247" s="2383"/>
      <c r="V247" s="2383"/>
      <c r="W247" s="2383"/>
      <c r="X247" s="2383"/>
      <c r="Y247" s="2383"/>
      <c r="Z247" s="2383"/>
      <c r="AA247" s="2383"/>
      <c r="AB247" s="2383"/>
      <c r="AC247" s="2383"/>
      <c r="AD247" s="2383"/>
      <c r="AE247" s="2383"/>
      <c r="AF247" s="2383"/>
      <c r="AG247" s="2383"/>
      <c r="AH247" s="2383"/>
      <c r="AI247" s="2383"/>
      <c r="AJ247" s="238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57" workbookViewId="0">
      <selection activeCell="U409" sqref="U40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620" t="s">
        <v>1302</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1303</v>
      </c>
      <c r="B4" s="539" t="s">
        <v>1304</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1305</v>
      </c>
      <c r="B7" s="539" t="s">
        <v>1306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1307</v>
      </c>
      <c r="AF7" s="2461"/>
      <c r="AG7" s="2461"/>
      <c r="AH7" s="2461"/>
      <c r="AI7" s="2461"/>
      <c r="AJ7" s="2461"/>
      <c r="AK7" s="2461"/>
      <c r="AL7" s="540"/>
      <c r="AM7" s="540"/>
      <c r="AN7" s="535"/>
    </row>
    <row r="8" spans="1:42" s="536" customFormat="1" ht="12.75" customHeight="1">
      <c r="A8" s="538"/>
      <c r="B8" s="539" t="s">
        <v>1731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592</v>
      </c>
      <c r="C13" s="2614"/>
      <c r="D13" s="547"/>
      <c r="E13" s="548" t="s">
        <v>1308</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592</v>
      </c>
      <c r="C16" s="2614"/>
      <c r="D16" s="547"/>
      <c r="E16" s="2606" t="s">
        <v>1309</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IF(SUM(AO13:AO17)&gt;20,20,(SUM(AO13:AO17)))</f>
        <v>0</v>
      </c>
      <c r="AP18" s="536" t="s">
        <v>1310</v>
      </c>
    </row>
    <row r="19" spans="1:42" s="536" customFormat="1" ht="12.75" customHeight="1">
      <c r="A19" s="540"/>
      <c r="B19" s="540"/>
      <c r="C19" s="540"/>
      <c r="D19" s="551"/>
      <c r="E19" s="552" t="s">
        <v>1311</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592</v>
      </c>
      <c r="C22" s="2614"/>
      <c r="D22" s="547"/>
      <c r="E22" s="2624" t="s">
        <v>1312</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1310</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592</v>
      </c>
      <c r="C25" s="2614"/>
      <c r="D25" s="547"/>
      <c r="E25" s="2541" t="s">
        <v>2035</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1310</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592</v>
      </c>
      <c r="C28" s="2614"/>
      <c r="D28" s="547"/>
      <c r="E28" s="2643" t="s">
        <v>2250</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1310</v>
      </c>
    </row>
    <row r="33" spans="1:41" s="536" customFormat="1" ht="12.75" customHeight="1">
      <c r="A33" s="540"/>
      <c r="B33" s="2614" t="s">
        <v>592</v>
      </c>
      <c r="C33" s="2614"/>
      <c r="D33" s="547"/>
      <c r="E33" s="2624" t="s">
        <v>2252</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592</v>
      </c>
      <c r="C36" s="2614"/>
      <c r="D36" s="547"/>
      <c r="E36" s="2541" t="s">
        <v>2253</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4" t="s">
        <v>592</v>
      </c>
      <c r="C40" s="2614"/>
      <c r="D40" s="547"/>
      <c r="E40" s="2541" t="s">
        <v>2251</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592</v>
      </c>
      <c r="C45" s="2614"/>
      <c r="D45" s="1142"/>
      <c r="E45" s="2541" t="s">
        <v>2010</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592</v>
      </c>
      <c r="C52" s="2614"/>
      <c r="D52" s="540"/>
      <c r="E52" s="2541" t="s">
        <v>2015</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592</v>
      </c>
      <c r="C56" s="2614"/>
      <c r="D56" s="540"/>
      <c r="E56" s="2640" t="s">
        <v>2016</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592</v>
      </c>
      <c r="C58" s="2614"/>
      <c r="D58" s="540"/>
      <c r="E58" s="2541" t="s">
        <v>2017</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1313</v>
      </c>
      <c r="AK62" s="2587">
        <f>AO39</f>
        <v>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1314</v>
      </c>
      <c r="B65" s="539" t="s">
        <v>1315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1316</v>
      </c>
      <c r="AF65" s="2461"/>
      <c r="AG65" s="2461"/>
      <c r="AH65" s="2461"/>
      <c r="AI65" s="2461"/>
      <c r="AJ65" s="2461"/>
      <c r="AK65" s="2461"/>
      <c r="AL65" s="540"/>
      <c r="AM65" s="540"/>
      <c r="AN65" s="535"/>
    </row>
    <row r="66" spans="1:42" s="536" customFormat="1" ht="12.75" customHeight="1">
      <c r="A66" s="538"/>
      <c r="B66" s="539" t="s">
        <v>1730</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592</v>
      </c>
      <c r="C68" s="2614"/>
      <c r="D68" s="547" t="s">
        <v>1317</v>
      </c>
      <c r="E68" s="2606" t="s">
        <v>2018</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10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10</v>
      </c>
      <c r="AP71" s="574" t="s">
        <v>1318</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546</v>
      </c>
      <c r="C74" s="2614"/>
      <c r="D74" s="547" t="s">
        <v>1319</v>
      </c>
      <c r="E74" s="971" t="s">
        <v>1726</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546</v>
      </c>
      <c r="F75" s="2614"/>
      <c r="G75" s="575"/>
      <c r="H75" s="558" t="s">
        <v>1320</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546</v>
      </c>
      <c r="F76" s="2635"/>
      <c r="G76" s="575"/>
      <c r="H76" s="558" t="s">
        <v>1321</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592</v>
      </c>
      <c r="F77" s="2635"/>
      <c r="G77" s="575"/>
      <c r="H77" s="558" t="s">
        <v>1741</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592</v>
      </c>
      <c r="F79" s="2614"/>
      <c r="G79" s="906"/>
      <c r="H79" s="976" t="s">
        <v>1740</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592</v>
      </c>
      <c r="C81" s="2614"/>
      <c r="D81" s="547" t="s">
        <v>1322</v>
      </c>
      <c r="E81" s="2541" t="s">
        <v>1742</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1323</v>
      </c>
      <c r="AK84" s="2587">
        <f>IF(AK62&gt;0,0,AO71)</f>
        <v>10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1324</v>
      </c>
      <c r="B87" s="539" t="s">
        <v>1325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1307</v>
      </c>
      <c r="AF87" s="2461"/>
      <c r="AG87" s="2461"/>
      <c r="AH87" s="2461"/>
      <c r="AI87" s="2461"/>
      <c r="AJ87" s="2461"/>
      <c r="AK87" s="2461"/>
      <c r="AL87" s="540"/>
      <c r="AM87" s="540"/>
      <c r="AN87" s="535"/>
    </row>
    <row r="88" spans="1:43" s="536" customFormat="1" ht="12.75" customHeight="1">
      <c r="A88" s="538"/>
      <c r="B88" s="539" t="s">
        <v>1326</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592</v>
      </c>
      <c r="C90" s="2614"/>
      <c r="D90" s="547" t="s">
        <v>1317</v>
      </c>
      <c r="E90" s="2606" t="s">
        <v>1327</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0.55436241610738257</v>
      </c>
      <c r="F93" s="2603"/>
      <c r="G93" s="2603"/>
      <c r="H93" s="2603"/>
      <c r="I93" s="577"/>
      <c r="J93" s="580" t="s">
        <v>1328</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3.9999999999999925E-2</v>
      </c>
      <c r="F94" s="2408"/>
      <c r="G94" s="2408"/>
      <c r="H94" s="2408"/>
      <c r="I94" s="577"/>
      <c r="J94" s="580" t="s">
        <v>1329</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7.9999999999999849</v>
      </c>
      <c r="F95" s="2619"/>
      <c r="G95" s="2619"/>
      <c r="H95" s="2619"/>
      <c r="I95" s="577"/>
      <c r="J95" s="580" t="s">
        <v>1330</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1310</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546</v>
      </c>
      <c r="C98" s="2614"/>
      <c r="D98" s="547" t="s">
        <v>1319</v>
      </c>
      <c r="E98" s="2606" t="s">
        <v>1727</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0.55436241610738257</v>
      </c>
      <c r="F103" s="2603"/>
      <c r="G103" s="2603"/>
      <c r="H103" s="2603"/>
      <c r="I103" s="577"/>
      <c r="J103" s="580" t="s">
        <v>1328</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0.11409395973154363</v>
      </c>
      <c r="F104" s="2603"/>
      <c r="G104" s="2603"/>
      <c r="H104" s="2603"/>
      <c r="I104" s="577"/>
      <c r="J104" s="580" t="s">
        <v>1331</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0.11409395973154363</v>
      </c>
      <c r="F105" s="2603"/>
      <c r="G105" s="2603"/>
      <c r="H105" s="2603"/>
      <c r="I105" s="577"/>
      <c r="J105" s="580" t="s">
        <v>1332</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1330</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1310</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1333</v>
      </c>
      <c r="AK109" s="2587">
        <f ca="1">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1334</v>
      </c>
      <c r="B112" s="539" t="s">
        <v>1335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1316</v>
      </c>
      <c r="AF112" s="2461"/>
      <c r="AG112" s="2461"/>
      <c r="AH112" s="2461"/>
      <c r="AI112" s="2461"/>
      <c r="AJ112" s="2461"/>
      <c r="AK112" s="2461"/>
      <c r="AL112" s="540"/>
      <c r="AM112" s="540"/>
      <c r="AN112" s="535"/>
      <c r="AO112" s="536" t="str">
        <f>Application!B718</f>
        <v>SRO/Studio</v>
      </c>
      <c r="AQ112" s="536">
        <f>Application!O718</f>
        <v>896</v>
      </c>
    </row>
    <row r="113" spans="1:52" s="536" customFormat="1" ht="12.75" customHeight="1">
      <c r="A113" s="540"/>
      <c r="B113" s="539" t="s">
        <v>1326</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1514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1569</v>
      </c>
    </row>
    <row r="115" spans="1:52" s="536" customFormat="1" ht="12.75" customHeight="1">
      <c r="A115" s="540"/>
      <c r="B115" s="2614" t="s">
        <v>546</v>
      </c>
      <c r="C115" s="2614"/>
      <c r="D115" s="547" t="s">
        <v>1317</v>
      </c>
      <c r="E115" s="2606" t="s">
        <v>1859</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1 Bedroom</v>
      </c>
      <c r="AQ115" s="536">
        <f>Application!O721</f>
        <v>957</v>
      </c>
      <c r="AU115" s="536" t="s">
        <v>1842</v>
      </c>
      <c r="AV115" s="595" t="s">
        <v>1843</v>
      </c>
      <c r="AW115" s="536" t="s">
        <v>1844</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t="str">
        <f>Application!B722</f>
        <v>1 Bedroom</v>
      </c>
      <c r="AQ116" s="536">
        <f>Application!O722</f>
        <v>1619</v>
      </c>
      <c r="AU116" s="856" t="str">
        <f>E124</f>
        <v>Studio/SRO</v>
      </c>
      <c r="AV116" s="536">
        <f t="array" ref="AV116">SUM(IF(Application!B718:F752="SRO/Studio",Application!G718:J752))</f>
        <v>15</v>
      </c>
      <c r="AW116" s="1011">
        <f>AV116/AV122</f>
        <v>0.10067114093959731</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t="str">
        <f>Application!B723</f>
        <v>1 Bedroom</v>
      </c>
      <c r="AQ117" s="536">
        <f>Application!O723</f>
        <v>1689</v>
      </c>
      <c r="AU117" s="856" t="str">
        <f>J124</f>
        <v>1-bedroom</v>
      </c>
      <c r="AV117" s="536">
        <f t="array" ref="AV117">SUM(IF(Application!B718:F752="1 Bedroom",Application!G718:J752))</f>
        <v>53</v>
      </c>
      <c r="AW117" s="1011">
        <f>AV117/AV122</f>
        <v>0.35570469798657717</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t="str">
        <f>Application!B724</f>
        <v>2 Bedrooms</v>
      </c>
      <c r="AQ118" s="536">
        <f>Application!O724</f>
        <v>1147</v>
      </c>
      <c r="AU118" s="856" t="str">
        <f>O124</f>
        <v>2-bedroom</v>
      </c>
      <c r="AV118" s="536">
        <f t="array" ref="AV118">SUM(IF(Application!B718:F752="2 Bedrooms",Application!G718:J752))</f>
        <v>38</v>
      </c>
      <c r="AW118" s="1011">
        <f>AV118/AV122</f>
        <v>0.25503355704697989</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t="str">
        <f>Application!B725</f>
        <v>2 Bedrooms</v>
      </c>
      <c r="AQ119" s="536">
        <f>Application!O725</f>
        <v>1900</v>
      </c>
      <c r="AU119" s="856" t="str">
        <f>T124</f>
        <v>3-bedroom</v>
      </c>
      <c r="AV119" s="536">
        <f t="array" ref="AV119">SUM(IF(Application!B718:F752="3 Bedrooms",Application!G718:J752))</f>
        <v>43</v>
      </c>
      <c r="AW119" s="1011">
        <f>AV119/AV122</f>
        <v>0.28859060402684567</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t="str">
        <f>Application!B726</f>
        <v>2 Bedrooms</v>
      </c>
      <c r="AQ120" s="536">
        <f>Application!O726</f>
        <v>1900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t="str">
        <f>Application!B727</f>
        <v>3 Bedrooms</v>
      </c>
      <c r="AQ121" s="536">
        <f>Application!O727</f>
        <v>1324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t="str">
        <f>Application!B728</f>
        <v>3 Bedrooms</v>
      </c>
      <c r="AQ122" s="536">
        <f>Application!O728</f>
        <v>2242</v>
      </c>
      <c r="AV122" s="536">
        <f>SUM(AV116:AV121)</f>
        <v>149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2701</v>
      </c>
    </row>
    <row r="124" spans="1:52" s="536" customFormat="1" ht="12.75" customHeight="1">
      <c r="A124" s="540"/>
      <c r="B124" s="539"/>
      <c r="C124" s="540"/>
      <c r="D124" s="540"/>
      <c r="E124" s="2602" t="s">
        <v>1590</v>
      </c>
      <c r="F124" s="2603"/>
      <c r="G124" s="2603"/>
      <c r="H124" s="2603"/>
      <c r="I124" s="577"/>
      <c r="J124" s="2603" t="s">
        <v>1633</v>
      </c>
      <c r="K124" s="2603"/>
      <c r="L124" s="2603"/>
      <c r="M124" s="2603"/>
      <c r="N124" s="577"/>
      <c r="O124" s="2603" t="s">
        <v>1634</v>
      </c>
      <c r="P124" s="2603"/>
      <c r="Q124" s="2603"/>
      <c r="R124" s="2603"/>
      <c r="S124" s="577"/>
      <c r="T124" s="2603" t="s">
        <v>1336</v>
      </c>
      <c r="U124" s="2603"/>
      <c r="V124" s="2603"/>
      <c r="W124" s="2603"/>
      <c r="X124" s="577"/>
      <c r="Y124" s="2603" t="s">
        <v>1635</v>
      </c>
      <c r="Z124" s="2603"/>
      <c r="AA124" s="2603"/>
      <c r="AB124" s="2603"/>
      <c r="AC124" s="577"/>
      <c r="AD124" s="2603" t="s">
        <v>1636</v>
      </c>
      <c r="AE124" s="2603"/>
      <c r="AF124" s="2603"/>
      <c r="AG124" s="260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1637</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v>1834</v>
      </c>
      <c r="F127" s="2605"/>
      <c r="G127" s="2605"/>
      <c r="H127" s="2605"/>
      <c r="I127" s="864"/>
      <c r="J127" s="2605">
        <v>1959</v>
      </c>
      <c r="K127" s="2605"/>
      <c r="L127" s="2605"/>
      <c r="M127" s="2605"/>
      <c r="N127" s="864"/>
      <c r="O127" s="2605">
        <v>2230</v>
      </c>
      <c r="P127" s="2605"/>
      <c r="Q127" s="2605"/>
      <c r="R127" s="2605"/>
      <c r="S127" s="864"/>
      <c r="T127" s="2605">
        <v>3266</v>
      </c>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1846</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1471.9333333333334</v>
      </c>
      <c r="F130" s="2613"/>
      <c r="G130" s="2613"/>
      <c r="H130" s="2613"/>
      <c r="I130" s="864"/>
      <c r="J130" s="2613">
        <f>Application!EC670</f>
        <v>1598.2075471698113</v>
      </c>
      <c r="K130" s="2613"/>
      <c r="L130" s="2613"/>
      <c r="M130" s="2613"/>
      <c r="N130" s="864"/>
      <c r="O130" s="2613">
        <f>Application!EH670</f>
        <v>1820.7368421052631</v>
      </c>
      <c r="P130" s="2613"/>
      <c r="Q130" s="2613"/>
      <c r="R130" s="2613"/>
      <c r="S130" s="868"/>
      <c r="T130" s="2613">
        <f>Application!EM670</f>
        <v>2487.5116279069766</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1847</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f>(E127-E130)/E127</f>
        <v>0.19741912031988365</v>
      </c>
      <c r="F133" s="2408"/>
      <c r="G133" s="2408"/>
      <c r="H133" s="2409"/>
      <c r="I133" s="577"/>
      <c r="J133" s="2407">
        <f>(J127-J130)/J127</f>
        <v>0.18417174723337862</v>
      </c>
      <c r="K133" s="2408"/>
      <c r="L133" s="2408"/>
      <c r="M133" s="2409"/>
      <c r="N133" s="577"/>
      <c r="O133" s="2407">
        <f>(O127-O130)/O127</f>
        <v>0.18352607977342461</v>
      </c>
      <c r="P133" s="2408"/>
      <c r="Q133" s="2408"/>
      <c r="R133" s="2409"/>
      <c r="S133" s="577"/>
      <c r="T133" s="2407">
        <f>(T127-T130)/T127</f>
        <v>0.23836141215340581</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1848</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f>IF(((E133-0.1)*AW116)&gt;0,((E133-0.1)*AW116),0)</f>
        <v>9.8072939919345951E-3</v>
      </c>
      <c r="F136" s="2616"/>
      <c r="G136" s="2616"/>
      <c r="H136" s="2617"/>
      <c r="I136" s="577"/>
      <c r="J136" s="2615">
        <f>IF(((J133-0.1)*AW117)&gt;0,((J133-0.1)*AW117),0)</f>
        <v>2.9940285928651451E-2</v>
      </c>
      <c r="K136" s="2616"/>
      <c r="L136" s="2616"/>
      <c r="M136" s="2617"/>
      <c r="N136" s="577"/>
      <c r="O136" s="2615">
        <f>IF(((O133-0.1)*AW118)&gt;0,((O133-0.1)*AW118),0)</f>
        <v>2.1301953230806275E-2</v>
      </c>
      <c r="P136" s="2616"/>
      <c r="Q136" s="2616"/>
      <c r="R136" s="2617"/>
      <c r="S136" s="577"/>
      <c r="T136" s="2615">
        <f>IF(((T133-0.1)*AW119)&gt;0,((T133-0.1)*AW119),0)</f>
        <v>3.9929803507358724E-2</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0.1</v>
      </c>
      <c r="F138" s="2408"/>
      <c r="G138" s="2408"/>
      <c r="H138" s="2409"/>
      <c r="I138" s="577"/>
      <c r="J138" s="580" t="s">
        <v>1849</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1330</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1337</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1338</v>
      </c>
      <c r="AE146" s="2461" t="s">
        <v>1316</v>
      </c>
      <c r="AF146" s="2461"/>
      <c r="AG146" s="2461"/>
      <c r="AH146" s="2461"/>
      <c r="AI146" s="2461"/>
      <c r="AJ146" s="2461"/>
      <c r="AK146" s="2461"/>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1339</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1340</v>
      </c>
      <c r="AG148" s="2521"/>
      <c r="AH148" s="2521"/>
      <c r="AI148" s="2521"/>
      <c r="AJ148" s="2521"/>
      <c r="AK148" s="2521"/>
      <c r="AL148" s="252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2638</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1341</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1342</v>
      </c>
      <c r="AP152" s="489">
        <v>5</v>
      </c>
    </row>
    <row r="153" spans="1:42" s="536" customFormat="1" ht="12.75" customHeight="1">
      <c r="A153" s="538"/>
      <c r="B153" s="2592" t="s">
        <v>1343</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1343</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1344</v>
      </c>
      <c r="AB155" s="2393" t="s">
        <v>592</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1345</v>
      </c>
      <c r="AP156" s="489"/>
    </row>
    <row r="157" spans="1:42" s="536" customFormat="1" ht="12.75" customHeight="1">
      <c r="A157" s="538"/>
      <c r="B157" s="538" t="s">
        <v>1346</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1347</v>
      </c>
      <c r="AP157" s="489">
        <v>5</v>
      </c>
    </row>
    <row r="158" spans="1:42" s="536" customFormat="1" ht="12.75" customHeight="1">
      <c r="A158" s="538"/>
      <c r="B158" s="2592" t="s">
        <v>1345</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1348</v>
      </c>
      <c r="AP158" s="489">
        <v>7</v>
      </c>
    </row>
    <row r="159" spans="1:42" s="536" customFormat="1" ht="12.75" customHeight="1">
      <c r="B159" s="539" t="s">
        <v>1349</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2477</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2478</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2476</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592</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1351</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1353</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1354</v>
      </c>
      <c r="AG168" s="2521"/>
      <c r="AH168" s="2521"/>
      <c r="AI168" s="2521"/>
      <c r="AJ168" s="2521"/>
      <c r="AK168" s="2521"/>
      <c r="AL168" s="2521"/>
      <c r="AM168" s="603"/>
      <c r="AN168" s="598"/>
    </row>
    <row r="169" spans="1:42" s="550" customFormat="1" ht="12.75" customHeight="1">
      <c r="A169" s="536"/>
      <c r="B169" s="539" t="s">
        <v>1355</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1352</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1350</v>
      </c>
      <c r="AP171" s="599">
        <v>2</v>
      </c>
    </row>
    <row r="172" spans="1:42" s="550" customFormat="1" ht="12.75" customHeight="1">
      <c r="A172" s="536"/>
      <c r="B172" s="536"/>
      <c r="C172" s="539" t="s">
        <v>1357</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592</v>
      </c>
      <c r="AG172" s="2393"/>
      <c r="AH172" s="536"/>
      <c r="AI172" s="536"/>
      <c r="AJ172" s="536"/>
      <c r="AK172" s="536"/>
      <c r="AL172" s="536"/>
      <c r="AM172" s="603"/>
      <c r="AN172" s="597"/>
      <c r="AO172" s="476" t="s">
        <v>1352</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2" t="s">
        <v>1345</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1349</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1359</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1345</v>
      </c>
      <c r="AP177" s="476"/>
    </row>
    <row r="178" spans="1:73" s="550" customFormat="1" ht="12.75" customHeight="1">
      <c r="A178" s="536"/>
      <c r="B178" s="536"/>
      <c r="C178" s="2593" t="str">
        <f>Application!AA335</f>
        <v>Danco Property Management</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1356</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1358</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1360</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1361</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1362</v>
      </c>
      <c r="AQ185" s="612">
        <v>0</v>
      </c>
    </row>
    <row r="186" spans="1:73" s="550" customFormat="1" ht="12.75" customHeight="1">
      <c r="A186" s="538" t="s">
        <v>1363</v>
      </c>
      <c r="B186" s="538" t="s">
        <v>1729</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1316</v>
      </c>
      <c r="AF186" s="2461"/>
      <c r="AG186" s="2461"/>
      <c r="AH186" s="2461"/>
      <c r="AI186" s="2461"/>
      <c r="AJ186" s="2461"/>
      <c r="AK186" s="246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1364</v>
      </c>
      <c r="AQ187" s="550">
        <v>10</v>
      </c>
    </row>
    <row r="188" spans="1:73" s="550" customFormat="1" ht="12.75" customHeight="1">
      <c r="A188" s="536"/>
      <c r="B188" s="2590" t="s">
        <v>1042</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1365</v>
      </c>
      <c r="AG188" s="2521"/>
      <c r="AH188" s="2521"/>
      <c r="AI188" s="2521"/>
      <c r="AJ188" s="2521"/>
      <c r="AK188" s="2521"/>
      <c r="AL188" s="2521"/>
      <c r="AN188" s="597"/>
      <c r="AP188" s="550" t="s">
        <v>1044</v>
      </c>
      <c r="AQ188" s="550">
        <v>10</v>
      </c>
    </row>
    <row r="189" spans="1:73" s="550" customFormat="1" ht="12.75" customHeight="1">
      <c r="A189" s="536"/>
      <c r="B189" s="2392" t="s">
        <v>1728</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1366</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1369</v>
      </c>
      <c r="AQ190" s="550">
        <v>10</v>
      </c>
      <c r="AS190" s="550" t="s">
        <v>1367</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1368</v>
      </c>
      <c r="AK191" s="2428">
        <f>IF(AK84&gt;0,VLOOKUP($B$188,AP185:AQ191,2,FALSE),0)</f>
        <v>10</v>
      </c>
      <c r="AL191" s="2429"/>
      <c r="AM191" s="2430"/>
      <c r="AN191" s="535"/>
      <c r="AP191" s="550" t="s">
        <v>1371</v>
      </c>
      <c r="AQ191" s="550">
        <v>10</v>
      </c>
      <c r="AS191" s="550" t="s">
        <v>1370</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1372</v>
      </c>
      <c r="B194" s="538" t="s">
        <v>1373</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1374</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1591</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1627</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2702</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v>6000000</v>
      </c>
      <c r="AE199" s="2574"/>
      <c r="AF199" s="2574"/>
      <c r="AG199" s="2574"/>
      <c r="AH199" s="2574"/>
      <c r="AI199" s="2574"/>
      <c r="AJ199" s="2574"/>
      <c r="AK199" s="610"/>
    </row>
    <row r="200" spans="1:40">
      <c r="A200" s="605"/>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1629</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0</v>
      </c>
      <c r="AE209" s="2572"/>
      <c r="AF209" s="2572"/>
      <c r="AG209" s="2572"/>
      <c r="AH209" s="2572"/>
      <c r="AI209" s="2572"/>
      <c r="AJ209" s="2572"/>
      <c r="AK209" s="610"/>
    </row>
    <row r="210" spans="1:37">
      <c r="A210" s="605"/>
      <c r="B210" s="2446" t="s">
        <v>1592</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8">
        <f>SUM(AD199:AJ209)-AD210</f>
        <v>6000000</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1597</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1628</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1599</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1600</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1601</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1602</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1638</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1609</v>
      </c>
      <c r="J222" s="2597"/>
      <c r="K222" s="2597"/>
      <c r="L222" s="536"/>
      <c r="M222" s="536"/>
      <c r="N222" s="536"/>
      <c r="O222" s="536"/>
      <c r="P222" s="536"/>
      <c r="Q222" s="536"/>
      <c r="R222" s="536"/>
      <c r="S222" s="536"/>
      <c r="T222" s="2412" t="s">
        <v>1603</v>
      </c>
      <c r="U222" s="2412"/>
      <c r="V222" s="2412"/>
      <c r="W222" s="2412"/>
      <c r="X222" s="2412"/>
      <c r="Y222" s="2412"/>
      <c r="Z222" s="849"/>
      <c r="AA222" s="489"/>
      <c r="AB222" s="2594" t="s">
        <v>1604</v>
      </c>
      <c r="AC222" s="2594"/>
      <c r="AD222" s="2594"/>
      <c r="AE222" s="2594"/>
      <c r="AF222" s="2594"/>
      <c r="AG222" s="2594"/>
      <c r="AH222" s="827"/>
      <c r="AI222" s="827"/>
      <c r="AJ222" s="827"/>
      <c r="AK222" s="610"/>
    </row>
    <row r="223" spans="1:37">
      <c r="A223" s="605"/>
      <c r="B223" s="2595" t="s">
        <v>1589</v>
      </c>
      <c r="C223" s="2595"/>
      <c r="D223" s="2595"/>
      <c r="E223" s="2595"/>
      <c r="F223" s="2595"/>
      <c r="G223" s="2595"/>
      <c r="I223" s="2596" t="s">
        <v>1610</v>
      </c>
      <c r="J223" s="2596"/>
      <c r="K223" s="2596"/>
      <c r="L223" s="1008"/>
      <c r="N223" s="2447" t="s">
        <v>1605</v>
      </c>
      <c r="O223" s="2447"/>
      <c r="P223" s="2447"/>
      <c r="Q223" s="2447"/>
      <c r="R223" s="2447"/>
      <c r="T223" s="2447" t="s">
        <v>1606</v>
      </c>
      <c r="U223" s="2447"/>
      <c r="V223" s="2447"/>
      <c r="W223" s="2447"/>
      <c r="X223" s="2447"/>
      <c r="Y223" s="2447"/>
      <c r="Z223" s="850"/>
      <c r="AA223" s="489"/>
      <c r="AB223" s="2462" t="s">
        <v>1607</v>
      </c>
      <c r="AC223" s="2462"/>
      <c r="AD223" s="2462"/>
      <c r="AE223" s="2462"/>
      <c r="AF223" s="2462"/>
      <c r="AG223" s="2462"/>
      <c r="AH223" s="827"/>
      <c r="AI223" s="827"/>
      <c r="AJ223" s="827"/>
      <c r="AK223" s="610"/>
    </row>
    <row r="224" spans="1:37">
      <c r="A224" s="605"/>
      <c r="B224" s="2463" t="s">
        <v>1185</v>
      </c>
      <c r="C224" s="2463"/>
      <c r="D224" s="2463"/>
      <c r="E224" s="2463"/>
      <c r="F224" s="2463"/>
      <c r="G224" s="2463"/>
      <c r="H224" s="852"/>
      <c r="I224" s="2416"/>
      <c r="J224" s="2416"/>
      <c r="K224" s="2416"/>
      <c r="L224" s="1008"/>
      <c r="N224" s="2414"/>
      <c r="O224" s="2414"/>
      <c r="P224" s="2414"/>
      <c r="Q224" s="2414"/>
      <c r="R224" s="2414"/>
      <c r="T224" s="2413"/>
      <c r="U224" s="2413"/>
      <c r="V224" s="2413"/>
      <c r="W224" s="2413"/>
      <c r="X224" s="2413"/>
      <c r="Y224" s="2413"/>
      <c r="Z224" s="851"/>
      <c r="AA224" s="851"/>
      <c r="AB224" s="2411">
        <f t="shared" ref="AB224:AB233" si="0">MAX(($T224-$N224)*$I224*12,0)</f>
        <v>0</v>
      </c>
      <c r="AC224" s="2411"/>
      <c r="AD224" s="2411"/>
      <c r="AE224" s="2411"/>
      <c r="AF224" s="2411"/>
      <c r="AG224" s="2411"/>
      <c r="AH224" s="827"/>
      <c r="AI224" s="827"/>
      <c r="AJ224" s="827"/>
      <c r="AK224" s="610"/>
    </row>
    <row r="225" spans="1:37">
      <c r="A225" s="605"/>
      <c r="B225" s="2463" t="s">
        <v>1185</v>
      </c>
      <c r="C225" s="2463"/>
      <c r="D225" s="2463"/>
      <c r="E225" s="2463"/>
      <c r="F225" s="2463"/>
      <c r="G225" s="2463"/>
      <c r="I225" s="2416"/>
      <c r="J225" s="2416"/>
      <c r="K225" s="2416"/>
      <c r="L225" s="1008"/>
      <c r="N225" s="2414"/>
      <c r="O225" s="2414"/>
      <c r="P225" s="2414"/>
      <c r="Q225" s="2414"/>
      <c r="R225" s="2414"/>
      <c r="T225" s="2413"/>
      <c r="U225" s="2413"/>
      <c r="V225" s="2413"/>
      <c r="W225" s="2413"/>
      <c r="X225" s="2413"/>
      <c r="Y225" s="2413"/>
      <c r="Z225" s="851"/>
      <c r="AA225" s="851"/>
      <c r="AB225" s="2411">
        <f t="shared" si="0"/>
        <v>0</v>
      </c>
      <c r="AC225" s="2411"/>
      <c r="AD225" s="2411"/>
      <c r="AE225" s="2411"/>
      <c r="AF225" s="2411"/>
      <c r="AG225" s="2411"/>
      <c r="AH225" s="827"/>
      <c r="AI225" s="827"/>
      <c r="AJ225" s="827"/>
      <c r="AK225" s="610"/>
    </row>
    <row r="226" spans="1:37">
      <c r="A226" s="605"/>
      <c r="B226" s="2463" t="s">
        <v>1185</v>
      </c>
      <c r="C226" s="2463"/>
      <c r="D226" s="2463"/>
      <c r="E226" s="2463"/>
      <c r="F226" s="2463"/>
      <c r="G226" s="2463"/>
      <c r="I226" s="2416"/>
      <c r="J226" s="2416"/>
      <c r="K226" s="2416"/>
      <c r="L226" s="1008"/>
      <c r="N226" s="2414"/>
      <c r="O226" s="2414"/>
      <c r="P226" s="2414"/>
      <c r="Q226" s="2414"/>
      <c r="R226" s="2414"/>
      <c r="T226" s="2413"/>
      <c r="U226" s="2413"/>
      <c r="V226" s="2413"/>
      <c r="W226" s="2413"/>
      <c r="X226" s="2413"/>
      <c r="Y226" s="2413"/>
      <c r="Z226" s="851"/>
      <c r="AA226" s="851"/>
      <c r="AB226" s="2411">
        <f t="shared" si="0"/>
        <v>0</v>
      </c>
      <c r="AC226" s="2411"/>
      <c r="AD226" s="2411"/>
      <c r="AE226" s="2411"/>
      <c r="AF226" s="2411"/>
      <c r="AG226" s="2411"/>
      <c r="AH226" s="827"/>
      <c r="AI226" s="827"/>
      <c r="AJ226" s="827"/>
      <c r="AK226" s="610"/>
    </row>
    <row r="227" spans="1:37">
      <c r="A227" s="605"/>
      <c r="B227" s="2463" t="s">
        <v>1185</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1185</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1185</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1185</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1185</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1185</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1185</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1608</v>
      </c>
      <c r="AA234" s="853"/>
      <c r="AB234" s="2411">
        <f>SUM(AB224:AB233)</f>
        <v>0</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1598</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1626</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1624</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1618</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1623</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1625</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1619</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1620</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1621</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1622</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1611</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0</v>
      </c>
      <c r="AC250" s="2411"/>
      <c r="AD250" s="2411"/>
      <c r="AE250" s="2411"/>
      <c r="AF250" s="2411"/>
      <c r="AG250" s="241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1612</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0</v>
      </c>
      <c r="AC252" s="2583"/>
      <c r="AD252" s="2583"/>
      <c r="AE252" s="2583"/>
      <c r="AF252" s="2583"/>
      <c r="AG252" s="2583"/>
      <c r="AH252" s="610"/>
      <c r="AI252" s="610"/>
      <c r="AJ252" s="610"/>
      <c r="AK252" s="610"/>
    </row>
    <row r="253" spans="1:37">
      <c r="A253" s="605"/>
      <c r="B253" s="476" t="s">
        <v>1613</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1614</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0</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1615</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1616</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1617</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0</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1593</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1596</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1595</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1594</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1375</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6000000</v>
      </c>
      <c r="AH268" s="2425"/>
      <c r="AI268" s="2425"/>
      <c r="AJ268" s="2425"/>
      <c r="AK268" s="2425"/>
    </row>
    <row r="269" spans="1:37">
      <c r="A269" s="622"/>
      <c r="B269" s="625" t="s">
        <v>1376</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64808294</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0.09</v>
      </c>
      <c r="AH270" s="2571"/>
      <c r="AI270" s="2571"/>
      <c r="AJ270" s="2571"/>
      <c r="AK270" s="2571"/>
    </row>
    <row r="271" spans="1:37">
      <c r="A271" s="622"/>
      <c r="B271" s="978" t="s">
        <v>1743</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1377</v>
      </c>
      <c r="AK273" s="2560">
        <f>IFERROR(IF(AG270=0,0,IF((AG270*100)&gt;8,8,(AG270*100))),0)</f>
        <v>8</v>
      </c>
      <c r="AL273" s="2560"/>
      <c r="AM273" s="256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1378</v>
      </c>
      <c r="B276" s="538" t="s">
        <v>1379</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1316</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2" t="s">
        <v>546</v>
      </c>
      <c r="D278" s="2442"/>
      <c r="E278" s="547"/>
      <c r="F278" s="2394" t="s">
        <v>2026</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1365</v>
      </c>
      <c r="AH278" s="2569"/>
      <c r="AI278" s="2569"/>
      <c r="AJ278" s="2569"/>
      <c r="AK278" s="550"/>
      <c r="AL278" s="550"/>
      <c r="AM278" s="550"/>
      <c r="AO278" s="550"/>
    </row>
    <row r="279" spans="1:52" ht="13.7"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7"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1381</v>
      </c>
      <c r="AK285" s="2560">
        <f>IF($C$278="yes",10,0)</f>
        <v>10</v>
      </c>
      <c r="AL285" s="2560"/>
      <c r="AM285" s="256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1382</v>
      </c>
      <c r="B288" s="538" t="s">
        <v>1855</v>
      </c>
      <c r="AH288" s="591" t="s">
        <v>1316</v>
      </c>
    </row>
    <row r="289" spans="1:49" ht="15" customHeight="1">
      <c r="B289" s="539"/>
    </row>
    <row r="290" spans="1:49" ht="15" customHeight="1">
      <c r="B290" s="539" t="s">
        <v>1730</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1384</v>
      </c>
      <c r="B292" s="1637"/>
      <c r="C292" s="2393" t="s">
        <v>592</v>
      </c>
      <c r="D292" s="2442"/>
      <c r="E292" s="547"/>
      <c r="F292" s="2562" t="s">
        <v>1385</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2019</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0" t="s">
        <v>2027</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9</v>
      </c>
      <c r="AQ295" s="574" t="s">
        <v>1318</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1386</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1387</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1388</v>
      </c>
      <c r="B302" s="1637"/>
      <c r="C302" s="2442" t="s">
        <v>546</v>
      </c>
      <c r="D302" s="2442"/>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1390</v>
      </c>
      <c r="AH302" s="551"/>
      <c r="AI302" s="551"/>
      <c r="AJ302" s="550"/>
      <c r="AK302" s="550"/>
      <c r="AL302" s="550"/>
      <c r="AM302" s="550"/>
      <c r="AN302" s="647"/>
      <c r="AO302" s="14"/>
    </row>
    <row r="303" spans="1:49">
      <c r="A303" s="550"/>
      <c r="B303" s="551"/>
      <c r="C303" s="550"/>
      <c r="D303" s="551"/>
      <c r="E303" s="550"/>
      <c r="F303" s="2544" t="s">
        <v>2021</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7" t="s">
        <v>1391</v>
      </c>
      <c r="B310" s="1637"/>
      <c r="C310" s="2442" t="s">
        <v>592</v>
      </c>
      <c r="D310" s="2442"/>
      <c r="E310" s="547"/>
      <c r="F310" s="644" t="s">
        <v>1389</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1390</v>
      </c>
      <c r="AH310" s="551"/>
      <c r="AI310" s="551"/>
      <c r="AJ310" s="550"/>
      <c r="AK310" s="550"/>
      <c r="AL310" s="550"/>
      <c r="AM310" s="550"/>
      <c r="AN310" s="73"/>
      <c r="AO310" s="14"/>
    </row>
    <row r="311" spans="1:44" hidden="1">
      <c r="A311" s="89"/>
      <c r="B311" s="89"/>
      <c r="C311" s="730"/>
      <c r="D311" s="730"/>
      <c r="E311" s="547"/>
      <c r="F311" s="2420" t="s">
        <v>2028</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1732</v>
      </c>
    </row>
    <row r="313" spans="1:44" hidden="1">
      <c r="A313" s="550"/>
      <c r="B313" s="551"/>
      <c r="C313" s="730"/>
      <c r="D313" s="730"/>
      <c r="E313" s="547"/>
      <c r="F313" s="652" t="s">
        <v>1392</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1734</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1733</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1639</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1735</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1737</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1736</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1393</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1640</v>
      </c>
    </row>
    <row r="333" spans="1:42" ht="12.75" hidden="1" customHeight="1">
      <c r="A333" s="1637" t="s">
        <v>1394</v>
      </c>
      <c r="B333" s="1637"/>
      <c r="C333" s="2442" t="s">
        <v>592</v>
      </c>
      <c r="D333" s="2442"/>
      <c r="E333" s="547"/>
      <c r="F333" s="2541" t="s">
        <v>2029</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1390</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1395</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1454</v>
      </c>
      <c r="AK338" s="2428">
        <f>IF(NOT(OR(Application!M355="Yes",Application!M356="Yes")),0,AP295)</f>
        <v>9</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1455</v>
      </c>
      <c r="B341" s="539" t="s">
        <v>846</v>
      </c>
      <c r="C341" s="536"/>
      <c r="AC341" s="539"/>
      <c r="AE341" s="2461" t="s">
        <v>1316</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1456</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2094</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2209</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1457</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15"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0</v>
      </c>
      <c r="AS357" s="539" t="s">
        <v>1458</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10</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7</v>
      </c>
      <c r="AS359" s="539" t="s">
        <v>1459</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582</v>
      </c>
      <c r="AP361" s="696">
        <f>IF(C407="Yes",5,0)</f>
        <v>0</v>
      </c>
      <c r="AS361" s="539" t="s">
        <v>1880</v>
      </c>
    </row>
    <row r="362" spans="1:46" s="550" customFormat="1" ht="12.75" customHeight="1">
      <c r="A362" s="603"/>
      <c r="B362" s="611"/>
      <c r="C362" s="2531" t="s">
        <v>2233</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3</v>
      </c>
      <c r="AS362" s="2403">
        <f>IF(AQ366=0,AQ375,AQ366)</f>
        <v>10</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10</v>
      </c>
      <c r="AQ366" s="2440">
        <f>IF(AP366&gt;0,AP366,0)</f>
        <v>10</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7" t="s">
        <v>1460</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457</v>
      </c>
      <c r="AP369" s="696">
        <f>IF(C442="Yes",5,0)</f>
        <v>0</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462</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647</v>
      </c>
      <c r="AP371" s="701">
        <f>IF(C453="Yes",5,0)</f>
        <v>0</v>
      </c>
    </row>
    <row r="372" spans="1:81" s="550" customFormat="1" ht="12.4" customHeight="1">
      <c r="A372" s="603"/>
      <c r="B372" s="611"/>
      <c r="C372" s="550" t="s">
        <v>1461</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8">
        <f>Application!DU802-U374</f>
        <v>273</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0</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0">
        <f>IF(AP375&gt;0,AP375,0)</f>
        <v>0</v>
      </c>
      <c r="AR375" s="2440"/>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1317</v>
      </c>
      <c r="F377" s="2431" t="s">
        <v>1462</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592</v>
      </c>
      <c r="D381" s="2442"/>
      <c r="E381" s="719"/>
      <c r="F381" s="721" t="s">
        <v>1463</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1464</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1319</v>
      </c>
      <c r="F384" s="2431" t="s">
        <v>1465</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592</v>
      </c>
      <c r="D389" s="2442"/>
      <c r="E389" s="691"/>
      <c r="F389" s="721" t="s">
        <v>1466</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1464</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1322</v>
      </c>
      <c r="F392" s="2431" t="s">
        <v>1467</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546</v>
      </c>
      <c r="D397" s="2442"/>
      <c r="E397" s="691"/>
      <c r="F397" s="721" t="s">
        <v>1468</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1469</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592</v>
      </c>
      <c r="D399" s="2442"/>
      <c r="E399" s="691"/>
      <c r="F399" s="738" t="s">
        <v>1470</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1464</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1471</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1472</v>
      </c>
      <c r="F403" s="2431" t="s">
        <v>1473</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592</v>
      </c>
      <c r="D407" s="2442"/>
      <c r="E407" s="691"/>
      <c r="F407" s="721" t="s">
        <v>1474</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1464</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546</v>
      </c>
      <c r="D409" s="2442"/>
      <c r="E409" s="719"/>
      <c r="F409" s="721" t="s">
        <v>1475</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1476</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592</v>
      </c>
      <c r="D412" s="2442"/>
      <c r="E412" s="715" t="s">
        <v>1477</v>
      </c>
      <c r="F412" s="2431" t="s">
        <v>1478</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1464</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1479</v>
      </c>
      <c r="F417" s="2431" t="s">
        <v>1480</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592</v>
      </c>
      <c r="D421" s="2442"/>
      <c r="E421" s="691"/>
      <c r="F421" s="721" t="s">
        <v>1481</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1464</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592</v>
      </c>
      <c r="D423" s="2442"/>
      <c r="E423" s="719"/>
      <c r="F423" s="721" t="s">
        <v>1482</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1476</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1483</v>
      </c>
      <c r="F427" s="2431" t="s">
        <v>1484</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592</v>
      </c>
      <c r="D430" s="2442"/>
      <c r="E430" s="691"/>
      <c r="F430" s="721" t="s">
        <v>1485</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1464</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1486</v>
      </c>
      <c r="F433" s="2431" t="s">
        <v>1487</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592</v>
      </c>
      <c r="D442" s="2442"/>
      <c r="E442" s="719"/>
      <c r="F442" s="596" t="s">
        <v>1488</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1464</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1489</v>
      </c>
      <c r="F445" s="2431" t="s">
        <v>1490</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592</v>
      </c>
      <c r="D449" s="2442"/>
      <c r="E449" s="719"/>
      <c r="F449" s="721" t="s">
        <v>1494</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1464</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1471</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592</v>
      </c>
      <c r="D453" s="2558"/>
      <c r="E453" s="715" t="s">
        <v>1499</v>
      </c>
      <c r="F453" s="2431" t="s">
        <v>1500</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1464</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649999999999999"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592</v>
      </c>
      <c r="D457" s="2442"/>
      <c r="E457" s="715" t="s">
        <v>1505</v>
      </c>
      <c r="F457" s="2431" t="s">
        <v>1506</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1464</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1508</v>
      </c>
      <c r="F462" s="2431" t="s">
        <v>1509</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592</v>
      </c>
      <c r="D466" s="2442"/>
      <c r="E466" s="719"/>
      <c r="F466" s="721" t="s">
        <v>1481</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1464</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1510</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1511</v>
      </c>
      <c r="AK469" s="2428">
        <f>IF(Application!D214="N/A",AS358,AS360)</f>
        <v>10</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1512</v>
      </c>
      <c r="C472" s="539"/>
      <c r="E472" s="596"/>
      <c r="AE472" s="2443" t="s">
        <v>1513</v>
      </c>
      <c r="AF472" s="2443"/>
      <c r="AG472" s="2443"/>
      <c r="AH472" s="2443"/>
      <c r="AI472" s="2443"/>
      <c r="AJ472" s="2443"/>
      <c r="AK472" s="2443"/>
      <c r="AL472" s="591"/>
      <c r="AN472" s="597"/>
      <c r="AO472" s="550" t="s">
        <v>1491</v>
      </c>
      <c r="AP472" s="550">
        <v>5</v>
      </c>
      <c r="AT472" s="550" t="s">
        <v>1491</v>
      </c>
      <c r="AU472" s="550">
        <v>5</v>
      </c>
      <c r="AV472" s="752"/>
    </row>
    <row r="473" spans="1:58" s="550" customFormat="1" ht="12.75" hidden="1" customHeight="1">
      <c r="A473" s="539"/>
      <c r="B473" s="536" t="s">
        <v>1514</v>
      </c>
      <c r="C473" s="539"/>
      <c r="E473" s="596"/>
      <c r="AE473" s="591"/>
      <c r="AF473" s="591"/>
      <c r="AG473" s="591"/>
      <c r="AH473" s="591"/>
      <c r="AI473" s="591"/>
      <c r="AJ473" s="591"/>
      <c r="AK473" s="591"/>
      <c r="AL473" s="591"/>
      <c r="AN473" s="597"/>
      <c r="AO473" s="550" t="s">
        <v>1515</v>
      </c>
      <c r="AP473" s="550">
        <v>5</v>
      </c>
      <c r="AT473" s="550" t="s">
        <v>1492</v>
      </c>
      <c r="AU473" s="550">
        <v>5</v>
      </c>
      <c r="AV473" s="752"/>
    </row>
    <row r="474" spans="1:58" s="550" customFormat="1" ht="12.75" hidden="1" customHeight="1">
      <c r="A474" s="539"/>
      <c r="B474" s="539" t="s">
        <v>1516</v>
      </c>
      <c r="C474" s="539"/>
      <c r="E474" s="596"/>
      <c r="AE474" s="591"/>
      <c r="AF474" s="591"/>
      <c r="AG474" s="591"/>
      <c r="AH474" s="591"/>
      <c r="AI474" s="591"/>
      <c r="AJ474" s="591"/>
      <c r="AK474" s="591"/>
      <c r="AL474" s="591"/>
      <c r="AN474" s="597"/>
      <c r="AO474" s="550" t="s">
        <v>1493</v>
      </c>
      <c r="AP474" s="550">
        <v>5</v>
      </c>
      <c r="AQ474" s="539"/>
      <c r="AR474" s="539"/>
      <c r="AS474" s="755"/>
      <c r="AT474" s="550" t="s">
        <v>1493</v>
      </c>
      <c r="AU474" s="550">
        <v>5</v>
      </c>
      <c r="AV474" s="536"/>
    </row>
    <row r="475" spans="1:58" s="550" customFormat="1" ht="12.75" hidden="1" customHeight="1">
      <c r="A475" s="539"/>
      <c r="B475" s="539" t="s">
        <v>1517</v>
      </c>
      <c r="C475" s="539"/>
      <c r="E475" s="596"/>
      <c r="AE475" s="591"/>
      <c r="AF475" s="591"/>
      <c r="AG475" s="591"/>
      <c r="AH475" s="591"/>
      <c r="AI475" s="591"/>
      <c r="AJ475" s="591"/>
      <c r="AK475" s="591"/>
      <c r="AL475" s="591"/>
      <c r="AN475" s="597"/>
      <c r="AO475" s="550" t="s">
        <v>1495</v>
      </c>
      <c r="AP475" s="550">
        <v>5</v>
      </c>
      <c r="AQ475" s="539"/>
      <c r="AR475" s="539"/>
      <c r="AT475" s="550" t="s">
        <v>1495</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1496</v>
      </c>
      <c r="AP476" s="550">
        <v>5</v>
      </c>
      <c r="AQ476" s="539"/>
      <c r="AR476" s="539"/>
      <c r="AT476" s="550" t="s">
        <v>1496</v>
      </c>
      <c r="AU476" s="550">
        <v>5</v>
      </c>
    </row>
    <row r="477" spans="1:58" s="550" customFormat="1" ht="12.75" hidden="1" customHeight="1">
      <c r="A477" s="539"/>
      <c r="C477" s="712" t="s">
        <v>1518</v>
      </c>
      <c r="D477" s="570"/>
      <c r="AE477" s="591"/>
      <c r="AF477" s="591"/>
      <c r="AG477" s="596"/>
      <c r="AH477" s="596"/>
      <c r="AI477" s="596"/>
      <c r="AJ477" s="596"/>
      <c r="AK477" s="596"/>
      <c r="AL477" s="596"/>
      <c r="AN477" s="597"/>
      <c r="AO477" s="550" t="s">
        <v>1497</v>
      </c>
      <c r="AP477" s="550">
        <v>5</v>
      </c>
      <c r="AT477" s="550" t="s">
        <v>1497</v>
      </c>
      <c r="AU477" s="550">
        <v>5</v>
      </c>
    </row>
    <row r="478" spans="1:58" s="550" customFormat="1" ht="12.75" hidden="1" customHeight="1">
      <c r="A478" s="539"/>
      <c r="C478" s="2450" t="s">
        <v>592</v>
      </c>
      <c r="D478" s="2451"/>
      <c r="E478" s="761" t="s">
        <v>508</v>
      </c>
      <c r="F478" s="2528" t="s">
        <v>1519</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1520</v>
      </c>
      <c r="AP478" s="550">
        <v>5</v>
      </c>
      <c r="AS478" s="758"/>
      <c r="AT478" s="550" t="s">
        <v>1498</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1501</v>
      </c>
      <c r="AP479" s="550">
        <v>1</v>
      </c>
      <c r="AT479" s="550" t="s">
        <v>1501</v>
      </c>
      <c r="AU479" s="550">
        <v>1</v>
      </c>
    </row>
    <row r="480" spans="1:58" s="550" customFormat="1" ht="12.75" hidden="1" customHeight="1">
      <c r="C480" s="764"/>
      <c r="D480" s="727"/>
      <c r="E480" s="765"/>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1330</v>
      </c>
      <c r="AI480" s="767"/>
      <c r="AJ480" s="767"/>
      <c r="AK480" s="742"/>
      <c r="AN480" s="597"/>
      <c r="AS480" s="755"/>
      <c r="AX480" s="755"/>
      <c r="BB480" s="755" t="s">
        <v>1502</v>
      </c>
      <c r="BF480" s="755" t="s">
        <v>1503</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7" t="s">
        <v>546</v>
      </c>
      <c r="D482" s="2458"/>
      <c r="E482" s="761" t="s">
        <v>758</v>
      </c>
      <c r="F482" s="769" t="s">
        <v>1521</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1504</v>
      </c>
      <c r="AX482" s="637">
        <v>3</v>
      </c>
      <c r="AY482" s="593"/>
      <c r="BB482" s="758">
        <v>0.4</v>
      </c>
      <c r="BC482" s="593">
        <v>3</v>
      </c>
      <c r="BF482" s="758">
        <v>0.4</v>
      </c>
      <c r="BG482" s="593">
        <v>4</v>
      </c>
    </row>
    <row r="483" spans="1:81" s="550" customFormat="1" ht="12.75" hidden="1" customHeight="1">
      <c r="C483" s="770" t="s">
        <v>1522</v>
      </c>
      <c r="F483" s="771" t="s">
        <v>1523</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1507</v>
      </c>
      <c r="AX483" s="637">
        <v>5</v>
      </c>
      <c r="AY483" s="593"/>
      <c r="BB483" s="758">
        <v>0.6</v>
      </c>
      <c r="BC483" s="593">
        <v>4</v>
      </c>
      <c r="BF483" s="758">
        <v>0.6</v>
      </c>
      <c r="BG483" s="593">
        <v>5</v>
      </c>
    </row>
    <row r="484" spans="1:81" s="550" customFormat="1" ht="12.75" hidden="1" customHeight="1">
      <c r="C484" s="751"/>
      <c r="D484" s="730"/>
      <c r="E484" s="772"/>
      <c r="F484" s="771" t="s">
        <v>1524</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1525</v>
      </c>
      <c r="G485" s="550"/>
      <c r="H485" s="550"/>
      <c r="I485" s="771"/>
      <c r="J485" s="771"/>
      <c r="K485" s="771"/>
      <c r="L485" s="771"/>
      <c r="M485" s="771"/>
      <c r="N485" s="771"/>
      <c r="O485" s="771"/>
      <c r="P485" s="771"/>
      <c r="Q485" s="771"/>
      <c r="R485" s="771"/>
      <c r="S485" s="771"/>
      <c r="T485" s="771"/>
      <c r="U485" s="771"/>
      <c r="V485" s="2436" t="s">
        <v>592</v>
      </c>
      <c r="W485" s="2436"/>
      <c r="X485" s="2436"/>
      <c r="Y485" s="771"/>
      <c r="Z485" s="771"/>
      <c r="AA485" s="771"/>
      <c r="AB485" s="771"/>
      <c r="AC485" s="771"/>
      <c r="AD485" s="609"/>
      <c r="AE485" s="609"/>
      <c r="AF485" s="609"/>
      <c r="AG485" s="613">
        <f>IF(AND($C$482="Yes",$V$487="N/A",$V$492="N/A",$V$496="N/A",$V$498="N/A"),(VLOOKUP(V485,$AW$481:$AX$483,2,FALSE)),0)</f>
        <v>0</v>
      </c>
      <c r="AH485" s="640" t="s">
        <v>1330</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1526</v>
      </c>
      <c r="G487" s="550"/>
      <c r="H487" s="550"/>
      <c r="I487" s="771"/>
      <c r="J487" s="771"/>
      <c r="K487" s="771"/>
      <c r="L487" s="771"/>
      <c r="M487" s="771"/>
      <c r="N487" s="771"/>
      <c r="O487" s="771"/>
      <c r="P487" s="771"/>
      <c r="Q487" s="771"/>
      <c r="R487" s="771"/>
      <c r="S487" s="771"/>
      <c r="T487" s="771"/>
      <c r="U487" s="771"/>
      <c r="V487" s="2436" t="s">
        <v>592</v>
      </c>
      <c r="W487" s="2436"/>
      <c r="X487" s="2436"/>
      <c r="Y487" s="771"/>
      <c r="Z487" s="771"/>
      <c r="AA487" s="771"/>
      <c r="AB487" s="771"/>
      <c r="AC487" s="771"/>
      <c r="AD487" s="609"/>
      <c r="AE487" s="609"/>
      <c r="AF487" s="609"/>
      <c r="AG487" s="613">
        <f>IF(AND($C$482="Yes",$V$485="N/A", $V$492="N/A",$V$496="N/A",$V$498="N/A"),(VLOOKUP(V487,$AT$481:$AU$483,2,FALSE)),0)</f>
        <v>0</v>
      </c>
      <c r="AH487" s="640" t="s">
        <v>1330</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1527</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1528</v>
      </c>
      <c r="AP489" s="637">
        <v>2</v>
      </c>
    </row>
    <row r="490" spans="1:81" s="550" customFormat="1" ht="12.75" hidden="1" customHeight="1">
      <c r="C490" s="762"/>
      <c r="F490" s="609" t="s">
        <v>1529</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1530</v>
      </c>
      <c r="AP490" s="550">
        <v>2</v>
      </c>
    </row>
    <row r="491" spans="1:81" s="596" customFormat="1" ht="12.75" hidden="1" customHeight="1">
      <c r="A491" s="550"/>
      <c r="B491" s="550"/>
      <c r="C491" s="739"/>
      <c r="D491" s="570"/>
      <c r="E491" s="570"/>
      <c r="F491" s="609" t="s">
        <v>1531</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1532</v>
      </c>
      <c r="AP491" s="550">
        <v>2</v>
      </c>
    </row>
    <row r="492" spans="1:81" s="550" customFormat="1" ht="12.75" hidden="1" customHeight="1">
      <c r="C492" s="777"/>
      <c r="F492" s="775" t="s">
        <v>1533</v>
      </c>
      <c r="M492" s="763"/>
      <c r="N492" s="763"/>
      <c r="O492" s="763"/>
      <c r="P492" s="763"/>
      <c r="Q492" s="551"/>
      <c r="R492" s="551"/>
      <c r="S492" s="551"/>
      <c r="T492" s="551"/>
      <c r="U492" s="551"/>
      <c r="V492" s="2436" t="s">
        <v>592</v>
      </c>
      <c r="W492" s="2436"/>
      <c r="X492" s="2436"/>
      <c r="Y492" s="551"/>
      <c r="Z492" s="551"/>
      <c r="AA492" s="551"/>
      <c r="AB492" s="551"/>
      <c r="AC492" s="551"/>
      <c r="AG492" s="613">
        <f>IF(AND($C$482="Yes",$V$485="N/A",$V$487="N/A", $V$496="N/A",$V$498="N/A"),(VLOOKUP($V$492,$AT$485:$AU$487,2,FALSE)),0)</f>
        <v>0</v>
      </c>
      <c r="AH492" s="640" t="s">
        <v>1330</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1534</v>
      </c>
      <c r="D494" s="714"/>
      <c r="E494" s="714"/>
      <c r="F494" s="780" t="s">
        <v>1535</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5"/>
      <c r="E495" s="2455"/>
      <c r="F495" s="771" t="s">
        <v>1536</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1537</v>
      </c>
      <c r="AP495" s="637">
        <v>5</v>
      </c>
      <c r="AQ495" s="539"/>
    </row>
    <row r="496" spans="1:81" s="570" customFormat="1" ht="12.75" hidden="1" customHeight="1">
      <c r="A496" s="679"/>
      <c r="B496" s="550"/>
      <c r="C496" s="762"/>
      <c r="D496" s="550"/>
      <c r="E496" s="550"/>
      <c r="F496" s="782" t="s">
        <v>1525</v>
      </c>
      <c r="G496" s="550"/>
      <c r="H496" s="550"/>
      <c r="I496" s="550"/>
      <c r="J496" s="550"/>
      <c r="K496" s="550"/>
      <c r="L496" s="550"/>
      <c r="M496" s="550"/>
      <c r="N496" s="550"/>
      <c r="O496" s="550"/>
      <c r="P496" s="550"/>
      <c r="Q496" s="550"/>
      <c r="R496" s="550"/>
      <c r="S496" s="550"/>
      <c r="T496" s="550"/>
      <c r="U496" s="550"/>
      <c r="V496" s="2436" t="s">
        <v>592</v>
      </c>
      <c r="W496" s="2436"/>
      <c r="X496" s="2436"/>
      <c r="Y496" s="550"/>
      <c r="Z496" s="550"/>
      <c r="AA496" s="550"/>
      <c r="AB496" s="550"/>
      <c r="AC496" s="550"/>
      <c r="AD496" s="550"/>
      <c r="AE496" s="550"/>
      <c r="AF496" s="550"/>
      <c r="AG496" s="613">
        <f>IF(AND($C$482="Yes",$V$485="N/A",V487="N/A",$V$492="N/A",$V$498="N/A"),(VLOOKUP($V$496,$BB$481:$BC$484,2,FALSE)),0)</f>
        <v>0</v>
      </c>
      <c r="AH496" s="640" t="s">
        <v>1330</v>
      </c>
      <c r="AI496" s="551"/>
      <c r="AJ496" s="550"/>
      <c r="AK496" s="732"/>
      <c r="AL496" s="550"/>
      <c r="AM496" s="550"/>
      <c r="AN496" s="684"/>
      <c r="AO496" s="550" t="s">
        <v>1538</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1539</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1526</v>
      </c>
      <c r="G498" s="766"/>
      <c r="H498" s="766"/>
      <c r="I498" s="727"/>
      <c r="J498" s="727"/>
      <c r="K498" s="727"/>
      <c r="L498" s="727"/>
      <c r="M498" s="727"/>
      <c r="N498" s="727"/>
      <c r="O498" s="727"/>
      <c r="P498" s="727"/>
      <c r="Q498" s="727"/>
      <c r="R498" s="727"/>
      <c r="S498" s="727"/>
      <c r="T498" s="727"/>
      <c r="U498" s="727"/>
      <c r="V498" s="2436" t="s">
        <v>592</v>
      </c>
      <c r="W498" s="2436"/>
      <c r="X498" s="2436"/>
      <c r="Y498" s="727"/>
      <c r="Z498" s="727"/>
      <c r="AA498" s="727"/>
      <c r="AB498" s="727"/>
      <c r="AC498" s="727"/>
      <c r="AD498" s="727"/>
      <c r="AE498" s="727"/>
      <c r="AF498" s="727"/>
      <c r="AG498" s="783">
        <f>IF(AND($C$482="Yes",$V$485="N/A",$V$487="N/A",$V$492="N/A",$V$496="N/A"),(VLOOKUP($V$498,$BF$481:$BG$483,2,FALSE)),0)</f>
        <v>0</v>
      </c>
      <c r="AH498" s="768" t="s">
        <v>1330</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1540</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592</v>
      </c>
      <c r="D501" s="2451"/>
      <c r="E501" s="761" t="s">
        <v>508</v>
      </c>
      <c r="F501" s="2528" t="s">
        <v>1519</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1330</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592</v>
      </c>
      <c r="D505" s="2451"/>
      <c r="E505" s="761" t="s">
        <v>758</v>
      </c>
      <c r="F505" s="2452" t="s">
        <v>1541</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1542</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592</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1330</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592</v>
      </c>
      <c r="D510" s="2451"/>
      <c r="E510" s="761" t="s">
        <v>1543</v>
      </c>
      <c r="F510" s="780" t="s">
        <v>1544</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1545</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1330</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592</v>
      </c>
      <c r="D515" s="2523"/>
      <c r="F515" s="551" t="s">
        <v>1546</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1330</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1547</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1548</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592</v>
      </c>
      <c r="D519" s="2523"/>
      <c r="F519" s="795" t="s">
        <v>1549</v>
      </c>
      <c r="G519" s="2432" t="s">
        <v>1550</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1330</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1551</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592</v>
      </c>
      <c r="D523" s="2525"/>
      <c r="E523" s="802" t="s">
        <v>1552</v>
      </c>
      <c r="F523" s="771" t="s">
        <v>1553</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1330</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1554</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1555</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1556</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1557</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1558</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1559</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1560</v>
      </c>
      <c r="B538" s="539" t="s">
        <v>1561</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1562</v>
      </c>
      <c r="AF538" s="2461"/>
      <c r="AG538" s="2461"/>
      <c r="AH538" s="2461"/>
      <c r="AI538" s="2461"/>
      <c r="AJ538" s="2461"/>
      <c r="AK538" s="2461"/>
      <c r="AL538" s="595"/>
      <c r="AM538" s="595"/>
      <c r="AN538" s="597"/>
    </row>
    <row r="539" spans="1:81" s="550" customFormat="1" ht="12.75" customHeight="1">
      <c r="A539" s="539"/>
      <c r="B539" s="539" t="s">
        <v>1326</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546</v>
      </c>
      <c r="D541" s="2442"/>
      <c r="E541" s="551"/>
      <c r="F541" s="2464" t="s">
        <v>1563</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592</v>
      </c>
      <c r="D544" s="2442"/>
      <c r="E544" s="806"/>
      <c r="F544" s="644" t="s">
        <v>1564</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1565</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1566</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83821248</v>
      </c>
      <c r="AQ550" s="2419"/>
      <c r="AR550" s="2419"/>
      <c r="AS550" s="550" t="s">
        <v>2171</v>
      </c>
    </row>
    <row r="551" spans="1:49" s="550" customFormat="1" ht="12.75" customHeight="1">
      <c r="A551" s="498"/>
      <c r="B551" s="447" t="s">
        <v>1567</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61975348</v>
      </c>
      <c r="AG551" s="2425"/>
      <c r="AH551" s="2425"/>
      <c r="AI551" s="2425"/>
      <c r="AJ551" s="2425"/>
      <c r="AK551" s="595"/>
      <c r="AL551" s="595"/>
      <c r="AM551" s="595"/>
      <c r="AN551" s="597"/>
    </row>
    <row r="552" spans="1:49" s="550" customFormat="1" ht="12.75" customHeight="1">
      <c r="A552" s="625"/>
      <c r="B552" s="625" t="s">
        <v>1568</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136628634.84</v>
      </c>
      <c r="AG552" s="2426"/>
      <c r="AH552" s="2426"/>
      <c r="AI552" s="2426"/>
      <c r="AJ552" s="2426"/>
      <c r="AK552" s="595"/>
      <c r="AL552" s="595"/>
      <c r="AM552" s="595"/>
      <c r="AN552" s="597"/>
      <c r="AP552" s="2419">
        <f>Application!AJ1045</f>
        <v>9220337.2799999993</v>
      </c>
      <c r="AQ552" s="2419"/>
      <c r="AR552" s="2419"/>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0.54</v>
      </c>
      <c r="AG553" s="2427"/>
      <c r="AH553" s="2427"/>
      <c r="AI553" s="2427"/>
      <c r="AJ553" s="2427"/>
      <c r="AK553" s="595"/>
      <c r="AL553" s="595"/>
      <c r="AM553" s="595"/>
      <c r="AN553" s="597"/>
      <c r="AP553" s="2415">
        <f>Application!AJ1049</f>
        <v>18440674.559999999</v>
      </c>
      <c r="AQ553" s="2415"/>
      <c r="AR553" s="2415"/>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0.32999999999999996</v>
      </c>
      <c r="AQ554" s="2434"/>
      <c r="AR554" s="2434"/>
      <c r="AS554" s="550" t="s">
        <v>2173</v>
      </c>
    </row>
    <row r="555" spans="1:49" s="550" customFormat="1" ht="12.75" customHeight="1">
      <c r="A555" s="624"/>
      <c r="B555" s="2501" t="s">
        <v>2033</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108967623</v>
      </c>
      <c r="AQ556" s="2435"/>
      <c r="AR556" s="2435"/>
      <c r="AS556" s="550" t="s">
        <v>2175</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136628634.84</v>
      </c>
      <c r="AQ557" s="2419"/>
      <c r="AR557" s="2419"/>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1569</v>
      </c>
      <c r="AK559" s="2510">
        <f>IFERROR(IF(AND(C541="N/A",C544="N/A"),0,IF(AF553=0,0,IF((AF553*100)&gt;12,12,(AF553*100)))),0)</f>
        <v>12</v>
      </c>
      <c r="AL559" s="2510"/>
      <c r="AM559" s="2511"/>
      <c r="AN559" s="597"/>
      <c r="AP559" s="2404">
        <f>AP556+(AP550*AP554)</f>
        <v>136628634.84</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1316</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2024</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1396</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1397</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1700</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1340</v>
      </c>
      <c r="AG578" s="2521"/>
      <c r="AH578" s="2521"/>
      <c r="AI578" s="2521"/>
      <c r="AJ578" s="2521"/>
      <c r="AK578" s="2521"/>
      <c r="AL578" s="2521"/>
      <c r="AN578" s="597"/>
    </row>
    <row r="579" spans="1:42" s="550" customFormat="1" ht="12.75" customHeight="1">
      <c r="B579" s="536"/>
      <c r="C579" s="616"/>
      <c r="D579" s="663"/>
      <c r="E579" s="838" t="s">
        <v>1701</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1702</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1703</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1704</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1705</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1706</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1398</v>
      </c>
      <c r="AG585" s="2521"/>
      <c r="AH585" s="2521"/>
      <c r="AI585" s="2521"/>
      <c r="AJ585" s="2521"/>
      <c r="AK585" s="2521"/>
      <c r="AL585" s="2521"/>
      <c r="AN585" s="597"/>
    </row>
    <row r="586" spans="1:42" s="550" customFormat="1" ht="12.75" customHeight="1">
      <c r="B586" s="536"/>
      <c r="C586" s="933"/>
      <c r="D586" s="663"/>
      <c r="E586" s="838" t="s">
        <v>1707</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1708</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1710</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1709</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1399</v>
      </c>
      <c r="AP590" s="550">
        <v>4</v>
      </c>
    </row>
    <row r="591" spans="1:42" s="550" customFormat="1" ht="12.75" customHeight="1">
      <c r="B591" s="536"/>
      <c r="C591" s="931"/>
      <c r="D591" s="663" t="s">
        <v>278</v>
      </c>
      <c r="E591" s="838" t="s">
        <v>1711</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1380</v>
      </c>
      <c r="AG591" s="2521"/>
      <c r="AH591" s="2521"/>
      <c r="AI591" s="2521"/>
      <c r="AJ591" s="2521"/>
      <c r="AK591" s="2521"/>
      <c r="AL591" s="2521"/>
      <c r="AN591" s="597"/>
      <c r="AO591" s="611" t="s">
        <v>1400</v>
      </c>
      <c r="AP591" s="550">
        <v>3</v>
      </c>
    </row>
    <row r="592" spans="1:42" s="550" customFormat="1" ht="12.75" customHeight="1">
      <c r="B592" s="536"/>
      <c r="C592" s="933"/>
      <c r="D592" s="663"/>
      <c r="E592" s="838" t="s">
        <v>1707</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1708</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1710</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1709</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1399</v>
      </c>
      <c r="E597" s="838" t="s">
        <v>1712</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1401</v>
      </c>
      <c r="AG597" s="2521"/>
      <c r="AH597" s="2521"/>
      <c r="AI597" s="2521"/>
      <c r="AJ597" s="2521"/>
      <c r="AK597" s="2521"/>
      <c r="AL597" s="2521"/>
      <c r="AN597" s="597"/>
      <c r="AO597" s="550" t="str">
        <f>X634</f>
        <v>N/A</v>
      </c>
    </row>
    <row r="598" spans="1:53" s="550" customFormat="1" ht="12.75" customHeight="1">
      <c r="B598" s="536"/>
      <c r="C598" s="933"/>
      <c r="D598" s="663"/>
      <c r="E598" s="838" t="s">
        <v>1713</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1714</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7" t="s">
        <v>1185</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1400</v>
      </c>
      <c r="E603" s="838" t="s">
        <v>1716</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1354</v>
      </c>
      <c r="AG603" s="2521"/>
      <c r="AH603" s="2521"/>
      <c r="AI603" s="2521"/>
      <c r="AJ603" s="2521"/>
      <c r="AK603" s="2521"/>
      <c r="AL603" s="2521"/>
      <c r="AN603" s="597"/>
    </row>
    <row r="604" spans="1:53" s="550" customFormat="1" ht="12.75" customHeight="1">
      <c r="B604" s="536"/>
      <c r="C604" s="931"/>
      <c r="D604" s="663"/>
      <c r="E604" s="838" t="s">
        <v>1715</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1402</v>
      </c>
      <c r="E606" s="936"/>
      <c r="F606" s="936"/>
      <c r="G606" s="936"/>
      <c r="H606" s="2445" t="s">
        <v>1400</v>
      </c>
      <c r="I606" s="2445"/>
      <c r="J606" s="936"/>
      <c r="K606" s="936"/>
      <c r="L606" s="936"/>
      <c r="N606" s="22"/>
      <c r="O606" s="22"/>
      <c r="P606" s="22"/>
      <c r="Q606" s="1151" t="s">
        <v>2178</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1717</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1718</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1719</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1720</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1402</v>
      </c>
      <c r="F614" s="936"/>
      <c r="G614" s="936"/>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1403</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1404</v>
      </c>
      <c r="AP615" s="550">
        <v>2</v>
      </c>
    </row>
    <row r="616" spans="1:42" s="550" customFormat="1" ht="12.75" customHeight="1">
      <c r="B616" s="2393" t="s">
        <v>592</v>
      </c>
      <c r="C616" s="2393"/>
      <c r="D616" s="642"/>
      <c r="E616" s="2421" t="s">
        <v>1405</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1406</v>
      </c>
      <c r="AJ621" s="2428">
        <f>VLOOKUP($H$606,$AO$586:$AP$591,2,FALSE)+IF(R606=AO594,0,VLOOKUP($I$614,$AO$613:$AP$615,2,FALSE))</f>
        <v>3</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1407</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5" t="s">
        <v>1696</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1354</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1408</v>
      </c>
      <c r="F634" s="941"/>
      <c r="G634" s="941"/>
      <c r="H634" s="941"/>
      <c r="I634" s="941"/>
      <c r="J634" s="941"/>
      <c r="K634" s="941"/>
      <c r="L634" s="941"/>
      <c r="M634" s="941"/>
      <c r="N634" s="941"/>
      <c r="O634" s="941"/>
      <c r="P634" s="941"/>
      <c r="Q634" s="941"/>
      <c r="R634" s="941"/>
      <c r="U634" s="941"/>
      <c r="V634" s="941"/>
      <c r="W634" s="941"/>
      <c r="X634" s="2393" t="s">
        <v>592</v>
      </c>
      <c r="Y634" s="239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1409</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1410</v>
      </c>
      <c r="AG636" s="2521"/>
      <c r="AH636" s="2521"/>
      <c r="AI636" s="2521"/>
      <c r="AJ636" s="2521"/>
      <c r="AK636" s="2521"/>
      <c r="AL636" s="252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1399</v>
      </c>
      <c r="AP637" s="680">
        <v>4</v>
      </c>
    </row>
    <row r="638" spans="1:42" s="550" customFormat="1" ht="12.75" customHeight="1">
      <c r="B638" s="536"/>
      <c r="C638" s="931"/>
      <c r="D638" s="536" t="s">
        <v>1402</v>
      </c>
      <c r="E638" s="936"/>
      <c r="F638" s="936"/>
      <c r="G638" s="936"/>
      <c r="H638" s="2445" t="s">
        <v>688</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1400</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1411</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1412</v>
      </c>
      <c r="AJ640" s="2428">
        <f>VLOOKUP($H$638,$AO$605:$AP$607,2,FALSE)</f>
        <v>3</v>
      </c>
      <c r="AK640" s="2430"/>
      <c r="AL640" s="595"/>
      <c r="AN640" s="597"/>
      <c r="AO640" s="611" t="s">
        <v>1413</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1414</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1" t="s">
        <v>2099</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1354</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1415</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1410</v>
      </c>
      <c r="AG647" s="2521"/>
      <c r="AH647" s="2521"/>
      <c r="AI647" s="2521"/>
      <c r="AJ647" s="2521"/>
      <c r="AK647" s="2521"/>
      <c r="AL647" s="2521"/>
      <c r="AN647" s="597"/>
    </row>
    <row r="648" spans="1:42" s="550" customFormat="1" ht="12.75" customHeight="1">
      <c r="B648" s="536"/>
      <c r="C648" s="931"/>
      <c r="D648" s="663"/>
      <c r="E648" s="616" t="s">
        <v>1416</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1402</v>
      </c>
      <c r="E650" s="936"/>
      <c r="F650" s="936"/>
      <c r="G650" s="936"/>
      <c r="H650" s="2445" t="s">
        <v>688</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1417</v>
      </c>
      <c r="AJ652" s="2428">
        <f>VLOOKUP(H650,AT605:AU607,2,FALSE)</f>
        <v>3</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1418</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1419</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1" t="s">
        <v>1420</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1380</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1" t="s">
        <v>1421</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1401</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1" t="s">
        <v>1422</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1354</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592</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1399</v>
      </c>
      <c r="E669" s="2421" t="s">
        <v>1423</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1401</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1400</v>
      </c>
      <c r="E673" s="2421" t="s">
        <v>1424</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1354</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1411</v>
      </c>
      <c r="E677" s="2421" t="s">
        <v>1425</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1410</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1413</v>
      </c>
      <c r="E681" s="2421" t="s">
        <v>1426</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1427</v>
      </c>
      <c r="AG681" s="2521"/>
      <c r="AH681" s="2521"/>
      <c r="AI681" s="2521"/>
      <c r="AJ681" s="2521"/>
      <c r="AK681" s="2521"/>
      <c r="AL681" s="2521"/>
      <c r="AM681" s="596"/>
      <c r="AN681" s="597"/>
      <c r="AO681" s="611" t="s">
        <v>688</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1402</v>
      </c>
      <c r="E685" s="936"/>
      <c r="F685" s="936"/>
      <c r="G685" s="936"/>
      <c r="H685" s="2445" t="s">
        <v>510</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1428</v>
      </c>
      <c r="AJ687" s="2428">
        <f>VLOOKUP($H$685,$AO$633:$AP$640,2,FALSE)</f>
        <v>4</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149</v>
      </c>
    </row>
    <row r="691" spans="1:51" s="550" customFormat="1" ht="12.75" customHeight="1">
      <c r="A691" s="679"/>
      <c r="B691" s="536"/>
      <c r="C691" s="948"/>
      <c r="D691" s="663" t="s">
        <v>688</v>
      </c>
      <c r="E691" s="2391" t="s">
        <v>2191</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1354</v>
      </c>
      <c r="AG691" s="2521"/>
      <c r="AH691" s="2521"/>
      <c r="AI691" s="2521"/>
      <c r="AJ691" s="2521"/>
      <c r="AK691" s="2521"/>
      <c r="AL691" s="2521"/>
      <c r="AN691" s="597"/>
      <c r="AW691" s="22" t="s">
        <v>2186</v>
      </c>
      <c r="AX691" s="550">
        <f>Application!DE753</f>
        <v>43</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21" t="s">
        <v>2135</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1354</v>
      </c>
      <c r="AG694" s="2521"/>
      <c r="AH694" s="2521"/>
      <c r="AI694" s="2521"/>
      <c r="AJ694" s="2521"/>
      <c r="AK694" s="2521"/>
      <c r="AL694" s="2521"/>
      <c r="AN694" s="597"/>
      <c r="AW694" s="22" t="s">
        <v>2189</v>
      </c>
      <c r="AX694" s="550">
        <f>AX691+AX692+AX693</f>
        <v>43</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1</v>
      </c>
      <c r="AP695" s="2435"/>
      <c r="AW695" s="22" t="s">
        <v>2190</v>
      </c>
      <c r="AX695" s="550">
        <f>IFERROR(AX694/AX690,0)</f>
        <v>0.28859060402684567</v>
      </c>
      <c r="AY695" s="550">
        <f>IFERROR(AX694/(AX690-AX689),0)</f>
        <v>0.28859060402684567</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1" t="s">
        <v>2136</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1410</v>
      </c>
      <c r="AG699" s="2521"/>
      <c r="AH699" s="2521"/>
      <c r="AI699" s="2521"/>
      <c r="AJ699" s="2521"/>
      <c r="AK699" s="2521"/>
      <c r="AL699" s="2521"/>
      <c r="AN699" s="597"/>
      <c r="AO699" s="611" t="s">
        <v>510</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1" t="s">
        <v>1695</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1402</v>
      </c>
      <c r="E709" s="936"/>
      <c r="F709" s="936"/>
      <c r="G709" s="936"/>
      <c r="H709" s="2445" t="s">
        <v>688</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1429</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1407</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8">
        <f>VLOOKUP($H$709,$AO$703:$AP$706,2,FALSE)</f>
        <v>3</v>
      </c>
      <c r="AK711" s="2430"/>
      <c r="AL711" s="595"/>
      <c r="AM711" s="550"/>
      <c r="AN711" s="684"/>
      <c r="AP711" s="570" t="s">
        <v>1414</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1430</v>
      </c>
    </row>
    <row r="713" spans="1:43" s="570" customFormat="1" ht="12.75" customHeight="1">
      <c r="A713" s="550"/>
      <c r="B713" s="536"/>
      <c r="C713" s="539" t="s">
        <v>1431</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1432</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1433</v>
      </c>
    </row>
    <row r="715" spans="1:43" s="570" customFormat="1" ht="12.75" customHeight="1">
      <c r="A715" s="637"/>
      <c r="B715" s="536"/>
      <c r="C715" s="931"/>
      <c r="D715" s="663" t="s">
        <v>688</v>
      </c>
      <c r="E715" s="2533" t="s">
        <v>1697</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1354</v>
      </c>
      <c r="AG715" s="2521"/>
      <c r="AH715" s="2521"/>
      <c r="AI715" s="2521"/>
      <c r="AJ715" s="2521"/>
      <c r="AK715" s="2521"/>
      <c r="AL715" s="2521"/>
      <c r="AM715" s="550"/>
      <c r="AN715" s="684"/>
      <c r="AP715" s="570" t="s">
        <v>1434</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1435</v>
      </c>
    </row>
    <row r="717" spans="1:43" s="570" customFormat="1" ht="13.9"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1436</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1438</v>
      </c>
    </row>
    <row r="719" spans="1:43" s="570" customFormat="1" ht="13.9" customHeight="1">
      <c r="A719" s="550"/>
      <c r="B719" s="536"/>
      <c r="C719" s="931"/>
      <c r="D719" s="663" t="s">
        <v>510</v>
      </c>
      <c r="E719" s="2534" t="s">
        <v>1437</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1410</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1402</v>
      </c>
      <c r="E723" s="936"/>
      <c r="F723" s="936"/>
      <c r="G723" s="936"/>
      <c r="H723" s="2445" t="s">
        <v>592</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1439</v>
      </c>
      <c r="AJ725" s="2428">
        <f>VLOOKUP($H$723,$AP$720:$AQ$722,2,FALSE)</f>
        <v>0</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1440</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1" t="s">
        <v>1698</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1354</v>
      </c>
      <c r="AG729" s="2521"/>
      <c r="AH729" s="2521"/>
      <c r="AI729" s="2521"/>
      <c r="AJ729" s="2521"/>
      <c r="AK729" s="2521"/>
      <c r="AL729" s="2521"/>
      <c r="AM729" s="550"/>
      <c r="AN729" s="684"/>
      <c r="AT729" s="14"/>
      <c r="AU729" s="14"/>
      <c r="AV729" s="14"/>
      <c r="AW729" s="14"/>
      <c r="AX729" s="14"/>
      <c r="AY729" s="14"/>
      <c r="AZ729" s="14"/>
    </row>
    <row r="730" spans="1:81" s="570" customFormat="1">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1" t="s">
        <v>1441</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1410</v>
      </c>
      <c r="AG732" s="2521"/>
      <c r="AH732" s="2521"/>
      <c r="AI732" s="2521"/>
      <c r="AJ732" s="2521"/>
      <c r="AK732" s="2521"/>
      <c r="AL732" s="2521"/>
      <c r="AM732" s="550"/>
      <c r="AN732" s="684"/>
      <c r="AT732" s="14"/>
      <c r="AU732" s="14"/>
      <c r="AV732" s="14"/>
      <c r="AW732" s="14"/>
      <c r="AX732" s="14"/>
      <c r="AY732" s="14"/>
      <c r="AZ732" s="14"/>
    </row>
    <row r="733" spans="1:81" s="570" customFormat="1">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1402</v>
      </c>
      <c r="E735" s="936"/>
      <c r="F735" s="936"/>
      <c r="G735" s="936"/>
      <c r="H735" s="2445" t="s">
        <v>592</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1442</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1443</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1" t="s">
        <v>1444</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1354</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1" t="s">
        <v>1445</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1410</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1402</v>
      </c>
      <c r="E751" s="936"/>
      <c r="F751" s="936"/>
      <c r="G751" s="936"/>
      <c r="H751" s="2445" t="s">
        <v>510</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1446</v>
      </c>
      <c r="AJ753" s="2428">
        <f>VLOOKUP($H$751,$AO$680:$AP$682,2,FALSE)</f>
        <v>2</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1436</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1" t="s">
        <v>1447</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1410</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1" t="s">
        <v>1448</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1427</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1402</v>
      </c>
      <c r="E763" s="936"/>
      <c r="F763" s="936"/>
      <c r="G763" s="936"/>
      <c r="H763" s="2445" t="s">
        <v>688</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1449</v>
      </c>
      <c r="AJ765" s="2428">
        <f>VLOOKUP($H$763,$AO$697:$AP$699,2,FALSE)</f>
        <v>2</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1438</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21" t="s">
        <v>1694</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1410</v>
      </c>
      <c r="AG769" s="2521"/>
      <c r="AH769" s="2521"/>
      <c r="AI769" s="2521"/>
      <c r="AJ769" s="2521"/>
      <c r="AK769" s="2521"/>
      <c r="AL769" s="2521"/>
      <c r="AM769" s="613"/>
      <c r="AN769" s="684"/>
      <c r="AO769" s="550" t="s">
        <v>592</v>
      </c>
      <c r="AP769" s="673">
        <v>0</v>
      </c>
    </row>
    <row r="770" spans="1:81" s="570" customFormat="1" ht="13.7"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1699</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1354</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1402</v>
      </c>
      <c r="E779" s="936"/>
      <c r="F779" s="936"/>
      <c r="G779" s="936"/>
      <c r="H779" s="2445" t="s">
        <v>592</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1450</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1451</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21" t="s">
        <v>2034</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1354</v>
      </c>
      <c r="AG785" s="2521"/>
      <c r="AH785" s="2521"/>
      <c r="AI785" s="2521"/>
      <c r="AJ785" s="2521"/>
      <c r="AK785" s="2521"/>
      <c r="AL785" s="2521"/>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1402</v>
      </c>
      <c r="E790" s="936"/>
      <c r="F790" s="936"/>
      <c r="G790" s="936"/>
      <c r="H790" s="2445" t="s">
        <v>592</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1452</v>
      </c>
      <c r="AJ792" s="2428">
        <f>VLOOKUP($H$790,$AO$784:$AP$785,2,FALSE)</f>
        <v>0</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1453</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1570</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1571</v>
      </c>
      <c r="U802" s="2516"/>
      <c r="V802" s="2516"/>
      <c r="W802" s="2516"/>
      <c r="X802" s="2516"/>
      <c r="Y802" s="2517"/>
      <c r="Z802" s="2515" t="s">
        <v>1572</v>
      </c>
      <c r="AA802" s="2516"/>
      <c r="AB802" s="2516"/>
      <c r="AC802" s="2516"/>
      <c r="AD802" s="2516"/>
      <c r="AE802" s="2517"/>
      <c r="AF802" s="2515" t="s">
        <v>1573</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758</v>
      </c>
      <c r="B804" s="2472" t="s">
        <v>1306</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8"/>
      <c r="AM804" s="596"/>
      <c r="AO804" s="816"/>
      <c r="AP804" s="816"/>
      <c r="AQ804" s="816"/>
    </row>
    <row r="805" spans="1:81">
      <c r="A805" s="819" t="s">
        <v>1543</v>
      </c>
      <c r="B805" s="2472" t="s">
        <v>1315</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8"/>
      <c r="AM805" s="596"/>
      <c r="AO805" s="816"/>
      <c r="AP805" s="816"/>
      <c r="AQ805" s="816"/>
    </row>
    <row r="806" spans="1:81">
      <c r="A806" s="819" t="s">
        <v>1552</v>
      </c>
      <c r="B806" s="2472" t="s">
        <v>1325</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8"/>
      <c r="AM806" s="596"/>
      <c r="AO806" s="816"/>
      <c r="AP806" s="816"/>
      <c r="AQ806" s="816"/>
    </row>
    <row r="807" spans="1:81">
      <c r="A807" s="819" t="s">
        <v>1574</v>
      </c>
      <c r="B807" s="2472" t="s">
        <v>1335</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1575</v>
      </c>
      <c r="B808" s="2472" t="s">
        <v>1576</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1577</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1578</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1363</v>
      </c>
      <c r="B811" s="2472" t="s">
        <v>1579</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8"/>
      <c r="AM811" s="596"/>
    </row>
    <row r="812" spans="1:81">
      <c r="A812" s="819" t="s">
        <v>1372</v>
      </c>
      <c r="B812" s="2472" t="s">
        <v>1373</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590</v>
      </c>
      <c r="B813" s="2472" t="s">
        <v>1580</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1378</v>
      </c>
      <c r="B814" s="2472" t="s">
        <v>1581</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1382</v>
      </c>
      <c r="B815" s="2472" t="s">
        <v>1383</v>
      </c>
      <c r="C815" s="2472"/>
      <c r="D815" s="2472"/>
      <c r="E815" s="2472"/>
      <c r="F815" s="2472"/>
      <c r="G815" s="2472"/>
      <c r="H815" s="2472"/>
      <c r="I815" s="2472"/>
      <c r="J815" s="2472"/>
      <c r="K815" s="2472"/>
      <c r="L815" s="2472"/>
      <c r="M815" s="2472"/>
      <c r="N815" s="2472"/>
      <c r="O815" s="2472"/>
      <c r="P815" s="2472"/>
      <c r="Q815" s="2472"/>
      <c r="R815" s="2472"/>
      <c r="S815" s="2473"/>
      <c r="T815" s="2474">
        <f>AK338</f>
        <v>9</v>
      </c>
      <c r="U815" s="2474"/>
      <c r="V815" s="2474"/>
      <c r="W815" s="2474"/>
      <c r="X815" s="2474"/>
      <c r="Y815" s="2474"/>
      <c r="Z815" s="2483">
        <v>10</v>
      </c>
      <c r="AA815" s="2484"/>
      <c r="AB815" s="2484"/>
      <c r="AC815" s="2484"/>
      <c r="AD815" s="2484"/>
      <c r="AE815" s="2485"/>
      <c r="AF815" s="2483">
        <f>IF(T815&gt;Z815,Z815,T815)</f>
        <v>9</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1582</v>
      </c>
      <c r="D816" s="823"/>
      <c r="E816" s="823"/>
      <c r="F816" s="823"/>
      <c r="G816" s="823"/>
      <c r="H816" s="823"/>
      <c r="I816" s="823"/>
      <c r="J816" s="823"/>
      <c r="K816" s="823"/>
      <c r="L816" s="823"/>
      <c r="M816" s="823"/>
      <c r="N816" s="823"/>
      <c r="O816" s="823"/>
      <c r="P816" s="823"/>
      <c r="Q816" s="823"/>
      <c r="R816" s="821"/>
      <c r="S816" s="824"/>
      <c r="T816" s="2480">
        <f>AK338</f>
        <v>9</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1455</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1560</v>
      </c>
      <c r="B818" s="2472" t="s">
        <v>1561</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72" t="s">
        <v>1583</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1584</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1585</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8" t="s">
        <v>1586</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119</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Basis &amp; Credits</vt:lpstr>
      <vt:lpstr>CalHFA Addendum</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2025-09-08T22:29:00Z</cp:lastPrinted>
  <dcterms:created xsi:type="dcterms:W3CDTF">2007-12-27T18:26:28Z</dcterms:created>
  <dcterms:modified xsi:type="dcterms:W3CDTF">2025-09-08T23:08:15Z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2025-08-21T22:12:34Z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5ca62d5a-7396-45b4-bde0-6b184f95636f</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