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Seasons\CDLAC-CTCAC Folder\2025 CDLAC-CTCAC E-APP ROUND 3\"/>
    </mc:Choice>
  </mc:AlternateContent>
  <xr:revisionPtr revIDLastSave="0" documentId="13_ncr:1_{A84965BE-0544-4DAF-8EAE-D96042B760C1}" xr6:coauthVersionLast="47" xr6:coauthVersionMax="47" xr10:uidLastSave="{00000000-0000-0000-0000-000000000000}"/>
  <bookViews>
    <workbookView xWindow="-120" yWindow="-120" windowWidth="29040" windowHeight="15720"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U45" i="2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D35" i="11" l="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5" i="21"/>
  <c r="O24" i="21"/>
  <c r="P24" i="21" s="1" a="1"/>
  <c r="P24" i="21" s="1"/>
  <c r="S24" i="21" s="1"/>
  <c r="O23" i="21"/>
  <c r="P23" i="21" s="1" a="1"/>
  <c r="P23" i="21" s="1"/>
  <c r="S23" i="21" s="1"/>
  <c r="O20" i="21"/>
  <c r="P20" i="21" s="1" a="1"/>
  <c r="P20" i="21" s="1"/>
  <c r="S20"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41" i="3"/>
  <c r="AD11" i="15"/>
  <c r="AD23" i="15" s="1"/>
  <c r="AD26" i="15" s="1"/>
  <c r="AD28" i="15" s="1"/>
  <c r="AI11" i="15"/>
  <c r="AI23" i="15" s="1"/>
  <c r="AI26" i="15" s="1"/>
  <c r="AI28" i="15" s="1"/>
  <c r="BE44" i="3"/>
  <c r="F457" i="3"/>
  <c r="AC456"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O66" i="7" s="1"/>
  <c r="K70" i="7"/>
  <c r="K72" i="7" s="1"/>
  <c r="S7" i="7"/>
  <c r="S11" i="7" s="1"/>
  <c r="S37" i="7" s="1"/>
  <c r="U6" i="7"/>
  <c r="Y22" i="7"/>
  <c r="Y35" i="7" s="1"/>
  <c r="AA15" i="7"/>
  <c r="Y9" i="7"/>
  <c r="AA8" i="7"/>
  <c r="AG53" i="7" l="1"/>
  <c r="AG58" i="7" s="1"/>
  <c r="AE58" i="7"/>
  <c r="AB59" i="15"/>
  <c r="AB77" i="15" s="1"/>
  <c r="M70" i="7"/>
  <c r="M72" i="7" s="1"/>
  <c r="W5" i="7"/>
  <c r="Y4" i="7"/>
  <c r="U7" i="7"/>
  <c r="U11" i="7" s="1"/>
  <c r="U37" i="7" s="1"/>
  <c r="W6" i="7"/>
  <c r="Q60" i="7"/>
  <c r="Q48" i="7"/>
  <c r="Q47" i="7"/>
  <c r="S49" i="7"/>
  <c r="S45" i="7"/>
  <c r="AC15" i="7"/>
  <c r="AA22" i="7"/>
  <c r="AA35" i="7" s="1"/>
  <c r="AC8" i="7"/>
  <c r="AA9" i="7"/>
  <c r="AB78" i="15" l="1"/>
  <c r="AB79" i="15" s="1"/>
  <c r="AB81" i="15" s="1"/>
  <c r="J82" i="15" s="1"/>
  <c r="AA4" i="7"/>
  <c r="Y5" i="7"/>
  <c r="Y6" i="7"/>
  <c r="W7" i="7"/>
  <c r="W11" i="7" s="1"/>
  <c r="W37" i="7" s="1"/>
  <c r="U45" i="7"/>
  <c r="U49" i="7"/>
  <c r="Q66" i="7"/>
  <c r="S48" i="7"/>
  <c r="S47" i="7"/>
  <c r="S60" i="7"/>
  <c r="O70" i="7"/>
  <c r="O72" i="7" s="1"/>
  <c r="AE15" i="7"/>
  <c r="AC22" i="7"/>
  <c r="AC35" i="7" s="1"/>
  <c r="AC9" i="7"/>
  <c r="AE8" i="7"/>
  <c r="M27" i="3" l="1"/>
  <c r="BE20" i="3" s="1"/>
  <c r="I10" i="21"/>
  <c r="I11" i="21" s="1"/>
  <c r="AA5" i="7"/>
  <c r="AC4" i="7"/>
  <c r="S66"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Y49" i="7"/>
  <c r="Y45" i="7"/>
  <c r="W60" i="7"/>
  <c r="W47" i="7"/>
  <c r="W48" i="7"/>
  <c r="AE5" i="7" l="1"/>
  <c r="AG4" i="7"/>
  <c r="AA45" i="7"/>
  <c r="AA49" i="7"/>
  <c r="U70" i="7"/>
  <c r="U72" i="7" s="1"/>
  <c r="W66" i="7"/>
  <c r="Y47" i="7"/>
  <c r="Y48" i="7"/>
  <c r="Y60" i="7"/>
  <c r="AE6" i="7"/>
  <c r="AC7" i="7"/>
  <c r="AC11" i="7" s="1"/>
  <c r="AC37" i="7" s="1"/>
  <c r="AG5" i="7" l="1"/>
  <c r="W70" i="7"/>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<sst xmlns="http://schemas.openxmlformats.org/spreadsheetml/2006/main" count="5039" uniqueCount="2757">
  <si>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</si>
  <si>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</si>
  <si>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</si>
  <si>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</si>
  <si>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</si>
  <si>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</si>
  <si>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</si>
  <si>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</si>
  <si>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</si>
  <si>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</si>
  <si>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</si>
  <si>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</si>
  <si>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</si>
  <si>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</si>
  <si>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</si>
  <si>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</si>
  <si>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</si>
  <si>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</si>
  <si>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</si>
  <si>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</si>
  <si>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</si>
  <si>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</si>
  <si>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</si>
  <si>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</si>
  <si>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</si>
  <si>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</si>
  <si>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</si>
  <si>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</si>
  <si>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</si>
  <si>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</si>
  <si>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</si>
  <si>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</si>
  <si>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</si>
  <si>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</si>
  <si>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</si>
  <si>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</si>
  <si>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</si>
  <si>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</si>
  <si>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</si>
  <si>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</si>
  <si>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</si>
  <si>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</si>
  <si>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</si>
  <si>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</si>
  <si>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</si>
  <si>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</si>
  <si>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</si>
  <si>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</si>
  <si>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</si>
  <si>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</si>
  <si>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</si>
  <si>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</si>
  <si>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</si>
  <si>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</si>
  <si>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</si>
  <si>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</si>
  <si>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</si>
  <si>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</si>
  <si>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</si>
  <si>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</si>
  <si>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</si>
  <si>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</si>
  <si>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</si>
  <si>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</si>
  <si>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</si>
  <si>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</si>
  <si>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</si>
  <si>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</si>
  <si>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</si>
  <si>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</si>
  <si>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</si>
  <si>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</si>
  <si>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</si>
  <si>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</si>
  <si>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</si>
  <si>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</si>
  <si>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</si>
  <si>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</si>
  <si>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</si>
  <si>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</si>
  <si>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</si>
  <si>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</si>
  <si>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</si>
  <si>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</si>
  <si>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</si>
  <si>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</si>
  <si>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</si>
  <si>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</si>
  <si>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</si>
  <si>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</si>
  <si>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</si>
  <si>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</si>
  <si>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</si>
  <si>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</si>
  <si>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</si>
  <si>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</si>
  <si>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</si>
  <si>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</si>
  <si>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</si>
  <si>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</si>
  <si>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</si>
  <si>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</si>
  <si>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</si>
  <si>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</si>
  <si>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</si>
  <si>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</si>
  <si>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</si>
  <si>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</si>
  <si>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</si>
  <si>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</si>
  <si>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</si>
  <si>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</si>
  <si>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</si>
  <si>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</si>
  <si>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</si>
  <si>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</si>
  <si>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</si>
  <si>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</si>
  <si>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</si>
  <si>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</si>
  <si>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</si>
  <si>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</si>
  <si>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</si>
  <si>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</si>
  <si>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</si>
  <si>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</si>
  <si>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</si>
  <si>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</si>
  <si>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</si>
  <si>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</si>
  <si>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</si>
  <si>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</si>
  <si>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</si>
  <si>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</si>
  <si>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</si>
  <si>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</si>
  <si>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</si>
  <si>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</si>
  <si>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</si>
  <si>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</si>
  <si>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</si>
  <si>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</si>
  <si>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</si>
  <si>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</si>
  <si>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</si>
  <si>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</si>
  <si>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</si>
  <si>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</si>
  <si>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</si>
  <si>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</si>
  <si>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</si>
  <si>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</si>
  <si>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</si>
  <si>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</si>
  <si>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</si>
  <si>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</si>
  <si>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</si>
  <si>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</si>
  <si>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</si>
  <si>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</si>
  <si>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</si>
  <si>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</si>
  <si>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</si>
  <si>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</si>
  <si>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</si>
  <si>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</si>
  <si>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</si>
  <si>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</si>
  <si>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</si>
  <si>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</si>
  <si>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</si>
  <si>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</si>
  <si>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</si>
  <si>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</si>
  <si>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</si>
  <si>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</si>
  <si>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</si>
  <si>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</si>
  <si>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</si>
  <si>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</si>
  <si>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</si>
  <si>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</si>
  <si>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</si>
  <si>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</si>
  <si>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</si>
  <si>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</si>
  <si>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</si>
  <si>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</si>
  <si>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</si>
  <si>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</si>
  <si>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</si>
  <si>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</si>
  <si>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</si>
  <si>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</si>
  <si>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</si>
  <si>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</si>
  <si>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</si>
  <si>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</si>
  <si>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</si>
  <si>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</si>
  <si>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</si>
  <si>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</si>
  <si>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</si>
  <si>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</si>
  <si>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</si>
  <si>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</si>
  <si>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</si>
  <si>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</si>
  <si>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</si>
  <si>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</si>
  <si>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</si>
  <si>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</si>
  <si>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</si>
  <si>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</si>
  <si>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</si>
  <si>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</si>
  <si>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</si>
  <si>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</si>
  <si>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</si>
  <si>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</si>
  <si>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</si>
  <si>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</si>
  <si>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</si>
  <si>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</si>
  <si>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</si>
  <si>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</si>
  <si>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</si>
  <si>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</si>
  <si>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</si>
  <si>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</si>
  <si>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</si>
  <si>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</si>
  <si>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</si>
  <si>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</si>
  <si>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</si>
  <si>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</si>
  <si>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</si>
  <si>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</si>
  <si>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</si>
  <si>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</si>
  <si>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</si>
  <si>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</si>
  <si>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</si>
  <si>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</si>
  <si>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</si>
  <si>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</si>
  <si>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</si>
  <si>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</si>
  <si>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</si>
  <si>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</si>
  <si>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</si>
  <si>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</si>
  <si>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</si>
  <si>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</si>
  <si>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</si>
  <si>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</si>
  <si>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</si>
  <si>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</si>
  <si>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</si>
  <si>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</si>
  <si>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</si>
  <si>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</si>
  <si>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</si>
  <si>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</si>
  <si>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</si>
  <si>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</si>
  <si>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</si>
  <si>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</si>
  <si>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</si>
  <si>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</si>
  <si>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</si>
  <si>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</si>
  <si>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</si>
  <si>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</si>
  <si>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</si>
  <si>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</si>
  <si>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</si>
  <si>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</si>
  <si>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</si>
  <si>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</si>
  <si>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</si>
  <si>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</si>
  <si>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</si>
  <si>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</si>
  <si>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</si>
  <si>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</si>
  <si>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</si>
  <si>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</si>
  <si>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</si>
  <si>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</si>
  <si>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</si>
  <si>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</si>
  <si>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</si>
  <si>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</si>
  <si>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</si>
  <si>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</si>
  <si>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</si>
  <si>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</si>
  <si>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</si>
  <si>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</si>
  <si>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</si>
  <si>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</si>
  <si>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</si>
  <si>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</si>
  <si>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</si>
  <si>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</si>
  <si>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</si>
  <si>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</si>
  <si>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</si>
  <si>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</si>
  <si>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</si>
  <si>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</si>
  <si>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</si>
  <si>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</si>
  <si>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</si>
  <si>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</si>
  <si>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</si>
  <si>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</si>
  <si>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</si>
  <si>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</si>
  <si>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</si>
  <si>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</si>
  <si>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</si>
  <si>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</si>
  <si>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</si>
  <si>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</si>
  <si>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</si>
  <si>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</si>
  <si>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</si>
  <si>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</si>
  <si>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</si>
  <si>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</si>
  <si>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</si>
  <si>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</si>
  <si>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</si>
  <si>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</si>
  <si>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</si>
  <si>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</si>
  <si>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</si>
  <si>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</si>
  <si>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</si>
  <si>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</si>
  <si>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</si>
  <si>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</si>
  <si>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</si>
  <si>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</si>
  <si>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</si>
  <si>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</si>
  <si>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</si>
  <si>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</si>
  <si>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</si>
  <si>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</si>
  <si>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</si>
  <si>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</si>
  <si>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</si>
  <si>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</si>
  <si>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</si>
  <si>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</si>
  <si>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</si>
  <si>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</si>
  <si>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</si>
  <si>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</si>
  <si>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</si>
  <si>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</si>
  <si>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</si>
  <si>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</si>
  <si>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</si>
  <si>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</si>
  <si>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</si>
  <si>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</si>
  <si>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</si>
  <si>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</si>
  <si>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</si>
  <si>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</si>
  <si>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</si>
  <si>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</si>
  <si>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</si>
  <si>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</si>
  <si>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</si>
  <si>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</si>
  <si>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</si>
  <si>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</si>
  <si>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</si>
  <si>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</si>
  <si>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</si>
  <si>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</si>
  <si>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</si>
  <si>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</si>
  <si>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</si>
  <si>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</si>
  <si>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</si>
  <si>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</si>
  <si>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</si>
  <si>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</si>
  <si>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</si>
  <si>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</si>
  <si>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</si>
  <si>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</si>
  <si>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</si>
  <si>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</si>
  <si>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</si>
  <si>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</si>
  <si>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</si>
  <si>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</si>
  <si>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</si>
  <si>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</si>
  <si>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</si>
  <si>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</si>
  <si>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</si>
  <si>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</si>
  <si>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</si>
  <si>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</si>
  <si>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</si>
  <si>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</si>
  <si>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</si>
  <si>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</si>
  <si>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</si>
  <si>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</si>
  <si>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</si>
  <si>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</si>
  <si>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</si>
  <si>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</si>
  <si>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</si>
  <si>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</si>
  <si>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</si>
  <si>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</si>
  <si>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</si>
  <si>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</si>
  <si>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</si>
  <si>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</si>
  <si>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</si>
  <si>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</si>
  <si>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</si>
  <si>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</si>
  <si>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</si>
  <si>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</si>
  <si>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</si>
  <si>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</si>
  <si>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</si>
  <si>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</si>
  <si>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</si>
  <si>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</si>
  <si>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</si>
  <si>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</si>
  <si>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</si>
  <si>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</si>
  <si>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</si>
  <si>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</si>
  <si>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</si>
  <si>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</si>
  <si>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</si>
  <si>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</si>
  <si>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</si>
  <si>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</si>
  <si>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</si>
  <si>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</si>
  <si>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</si>
  <si>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</si>
  <si>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</si>
  <si>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</si>
  <si>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</si>
  <si>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</si>
  <si>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</si>
  <si>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</si>
  <si>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</si>
  <si>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</si>
  <si>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</si>
  <si>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</si>
  <si>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</si>
  <si>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</si>
  <si>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</si>
  <si>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</si>
  <si>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</si>
  <si>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</si>
  <si>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</si>
  <si>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</si>
  <si>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</si>
  <si>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</si>
  <si>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</si>
  <si>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</si>
  <si>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</si>
  <si>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</si>
  <si>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</si>
  <si>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</si>
  <si>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</si>
  <si>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</si>
  <si>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</si>
  <si>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</si>
  <si>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</si>
  <si>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</si>
  <si>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</si>
  <si>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</si>
  <si>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</si>
  <si>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</si>
  <si>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</si>
  <si>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</si>
  <si>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</si>
  <si>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</si>
  <si>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</si>
  <si>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</si>
  <si>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</si>
  <si>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</si>
  <si>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</si>
  <si>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</si>
  <si>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</si>
  <si>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</si>
  <si>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</si>
  <si>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</si>
  <si>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</si>
  <si>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</si>
  <si>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</si>
  <si>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</si>
  <si>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</si>
  <si>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</si>
  <si>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</si>
  <si>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</si>
  <si>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</si>
  <si>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</si>
  <si>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</si>
  <si>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</si>
  <si>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</si>
  <si>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</si>
  <si>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</si>
  <si>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</si>
  <si>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</si>
  <si>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</si>
  <si>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</si>
  <si>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</si>
  <si>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</si>
  <si>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</si>
  <si>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</si>
  <si>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</si>
  <si>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</si>
  <si>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</si>
  <si>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</si>
  <si>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</si>
  <si>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</si>
  <si>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</si>
  <si>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</si>
  <si>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</si>
  <si>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</si>
  <si>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</si>
  <si>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</si>
  <si>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</si>
  <si>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</si>
  <si>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</si>
  <si>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</si>
  <si>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</si>
  <si>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</si>
  <si>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</si>
  <si>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</si>
  <si>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</si>
  <si>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</si>
  <si>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</si>
  <si>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</si>
  <si>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</si>
  <si>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</si>
  <si>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</si>
  <si>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</si>
  <si>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</si>
  <si>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</si>
  <si>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</si>
  <si>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</si>
  <si>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</si>
  <si>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</si>
  <si>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</si>
  <si>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</si>
  <si>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</si>
  <si>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</si>
  <si>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</si>
  <si>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</si>
  <si>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</si>
  <si>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</si>
  <si>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</si>
  <si>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</si>
  <si>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</si>
  <si>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</si>
  <si>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</si>
  <si>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</si>
  <si>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</si>
  <si>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</si>
  <si>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</si>
  <si>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</si>
  <si>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</si>
  <si>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</si>
  <si>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</si>
  <si>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</si>
  <si>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</si>
  <si>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</si>
  <si>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</si>
  <si>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</si>
  <si>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</si>
  <si>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</si>
  <si>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</si>
  <si>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</si>
  <si>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</si>
  <si>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</si>
  <si>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</si>
  <si>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</si>
  <si>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</si>
  <si>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</si>
  <si>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</si>
  <si>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</si>
  <si>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</si>
  <si>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</si>
  <si>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</si>
  <si>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</si>
  <si>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</si>
  <si>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</si>
  <si>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</si>
  <si>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</si>
  <si>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</si>
  <si>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</si>
  <si>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</si>
  <si>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</si>
  <si>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</si>
  <si>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</si>
  <si>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</si>
  <si>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</si>
  <si>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</si>
  <si>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</si>
  <si>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</si>
  <si>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</si>
  <si>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</si>
  <si>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</si>
  <si>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</si>
  <si>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</si>
  <si>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</si>
  <si>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</si>
  <si>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</si>
  <si>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</si>
  <si>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</si>
  <si>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</si>
  <si>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</si>
  <si>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</si>
  <si>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</si>
  <si>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</si>
  <si>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</si>
  <si>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</si>
  <si>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</si>
  <si>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</si>
  <si>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</si>
  <si>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</si>
  <si>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</si>
  <si>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</si>
  <si>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</si>
  <si>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</si>
  <si>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</si>
  <si>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</si>
  <si>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</si>
  <si>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</si>
  <si>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</si>
  <si>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</si>
  <si>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</si>
  <si>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</si>
  <si>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</si>
  <si>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</si>
  <si>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</si>
  <si>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</si>
  <si>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</si>
  <si>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</si>
  <si>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</si>
  <si>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</si>
  <si>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</si>
  <si>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</si>
  <si>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</si>
  <si>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</si>
  <si>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</si>
  <si>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</si>
  <si>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</si>
  <si>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</si>
  <si>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</si>
  <si>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</si>
  <si>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</si>
  <si>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</si>
  <si>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</si>
  <si>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</si>
  <si>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</si>
  <si>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</si>
  <si>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</si>
  <si>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</si>
  <si>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</si>
  <si>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</si>
  <si>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</si>
  <si>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</si>
  <si>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</si>
  <si>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</si>
  <si>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</si>
  <si>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</si>
  <si>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</si>
  <si>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</si>
  <si>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</si>
  <si>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</si>
  <si>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</si>
  <si>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</si>
  <si>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</si>
  <si>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</si>
  <si>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</si>
  <si>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</si>
  <si>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</si>
  <si>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</si>
  <si>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</si>
  <si>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</si>
  <si>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</si>
  <si>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</si>
  <si>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</si>
  <si>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</si>
  <si>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</si>
  <si>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</si>
  <si>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</si>
  <si>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</si>
  <si>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</si>
  <si>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</si>
  <si>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</si>
  <si>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</si>
  <si>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</si>
  <si>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</si>
  <si>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</si>
  <si>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</si>
  <si>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</si>
  <si>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</si>
  <si>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</si>
  <si>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</si>
  <si>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</si>
  <si>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</si>
  <si>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</si>
  <si>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</si>
  <si>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</si>
  <si>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</si>
  <si>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</si>
  <si>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</si>
  <si>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</si>
  <si>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</si>
  <si>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</si>
  <si>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</si>
  <si>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</si>
  <si>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</si>
  <si>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</si>
  <si>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</si>
  <si>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</si>
  <si>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</si>
  <si>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</si>
  <si>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</si>
  <si>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</si>
  <si>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</si>
  <si>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</si>
  <si>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</si>
  <si>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</si>
  <si>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</si>
  <si>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</si>
  <si>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</si>
  <si>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</si>
  <si>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</si>
  <si>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</si>
  <si>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</si>
  <si>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</si>
  <si>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</si>
  <si>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</si>
  <si>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</si>
  <si>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</si>
  <si>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</si>
  <si>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</si>
  <si>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</si>
  <si>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</si>
  <si>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</si>
  <si>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</si>
  <si>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</si>
  <si>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</si>
  <si>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</si>
  <si>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</si>
  <si>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</si>
  <si>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</si>
  <si>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</si>
  <si>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</si>
  <si>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</si>
  <si>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</si>
  <si>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</si>
  <si>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</si>
  <si>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</si>
  <si>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</si>
  <si>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</si>
  <si>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</si>
  <si>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</si>
  <si>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</si>
  <si>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</si>
  <si>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</si>
  <si>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</si>
  <si>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</si>
  <si>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</si>
  <si>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</si>
  <si>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</si>
  <si>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</si>
  <si>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</si>
  <si>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</si>
  <si>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</si>
  <si>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</si>
  <si>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</si>
  <si>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</si>
  <si>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</si>
  <si>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</si>
  <si>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</si>
  <si>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</si>
  <si>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</si>
  <si>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</si>
  <si>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</si>
  <si>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</si>
  <si>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</si>
  <si>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</si>
  <si>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</si>
  <si>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</si>
  <si>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</si>
  <si>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</si>
  <si>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</si>
  <si>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</si>
  <si>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</si>
  <si>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</si>
  <si>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</si>
  <si>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</si>
  <si>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</si>
  <si>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</si>
  <si>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</si>
  <si>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</si>
  <si>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</si>
  <si>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</si>
  <si>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</si>
  <si>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</si>
  <si>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</si>
  <si>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</si>
  <si>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</si>
  <si>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</si>
  <si>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</si>
  <si>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</si>
  <si>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</si>
  <si>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</si>
  <si>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</si>
  <si>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</si>
  <si>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</si>
  <si>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</si>
  <si>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</si>
  <si>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</si>
  <si>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</si>
  <si>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</si>
  <si>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</si>
  <si>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</si>
  <si>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</si>
  <si>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</si>
  <si>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</si>
  <si>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</si>
  <si>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</si>
  <si>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</si>
  <si>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</si>
  <si>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</si>
  <si>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</si>
  <si>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</si>
  <si>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</si>
  <si>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</si>
  <si>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</si>
  <si>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</si>
  <si>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</si>
  <si>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</si>
  <si>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</si>
  <si>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</si>
  <si>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</si>
  <si>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</si>
  <si>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</si>
  <si>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</si>
  <si>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</si>
  <si>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</si>
  <si>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</si>
  <si>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</si>
  <si>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</si>
  <si>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</si>
  <si>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</si>
  <si>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</si>
  <si>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</si>
  <si>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</si>
  <si>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</si>
  <si>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</si>
  <si>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</si>
  <si>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</si>
  <si>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</si>
  <si>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</si>
  <si>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</si>
  <si>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</si>
  <si>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</si>
  <si>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</si>
  <si>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</si>
  <si>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</si>
  <si>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</si>
  <si>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</si>
  <si>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</si>
  <si>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</si>
  <si>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</si>
  <si>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</si>
  <si>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</si>
  <si>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</si>
  <si>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</si>
  <si>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</si>
  <si>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</si>
  <si>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</si>
  <si>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</si>
  <si>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</si>
  <si>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</si>
  <si>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</si>
  <si>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</si>
  <si>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</si>
  <si>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</si>
  <si>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</si>
  <si>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</si>
  <si>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</si>
  <si>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</si>
  <si>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</si>
  <si>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</si>
  <si>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</si>
  <si>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</si>
  <si>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</si>
  <si>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</si>
  <si>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</si>
  <si>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</si>
  <si>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</si>
  <si>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</si>
  <si>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</si>
  <si>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</si>
  <si>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</si>
  <si>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</si>
  <si>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</si>
  <si>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</si>
  <si>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</si>
  <si>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</si>
  <si>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</si>
  <si>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</si>
  <si>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</si>
  <si>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</si>
  <si>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</si>
  <si>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</si>
  <si>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</si>
  <si>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</si>
  <si>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</si>
  <si>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</si>
  <si>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</si>
  <si>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</si>
  <si>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</si>
  <si>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</si>
  <si>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</si>
  <si>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</si>
  <si>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</si>
  <si>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</si>
  <si>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</si>
  <si>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</si>
  <si>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</si>
  <si>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</si>
  <si>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</si>
  <si>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</si>
  <si>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</si>
  <si>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</si>
  <si>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</si>
  <si>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</si>
  <si>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</si>
  <si>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</si>
  <si>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</si>
  <si>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</si>
  <si>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</si>
  <si>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</si>
  <si>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</si>
  <si>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</si>
  <si>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</si>
  <si>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</si>
  <si>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</si>
  <si>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</si>
  <si>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</si>
  <si>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</si>
  <si>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</si>
  <si>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</si>
  <si>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</si>
  <si>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</si>
  <si>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</si>
  <si>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</si>
  <si>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</si>
  <si>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</si>
  <si>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</si>
  <si>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</si>
  <si>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</si>
  <si>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</si>
  <si>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</si>
  <si>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</si>
  <si>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</si>
  <si>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</si>
  <si>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</si>
  <si>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</si>
  <si>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</si>
  <si>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</si>
  <si>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</si>
  <si>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</si>
  <si>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</si>
  <si>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</si>
  <si>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</si>
  <si>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</si>
  <si>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</si>
  <si>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</si>
  <si>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</si>
  <si>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</si>
  <si>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</si>
  <si>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</si>
  <si>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</si>
  <si>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</si>
  <si>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</si>
  <si>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</si>
  <si>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</si>
  <si>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</si>
  <si>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</si>
  <si>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</si>
  <si>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</si>
  <si>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</si>
  <si>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</si>
  <si>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</si>
  <si>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</si>
  <si>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</si>
  <si>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</si>
  <si>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</si>
  <si>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</si>
  <si>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</si>
  <si>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</si>
  <si>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</si>
  <si>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</si>
  <si>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</si>
  <si>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</si>
  <si>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</si>
  <si>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</si>
  <si>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</si>
  <si>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</si>
  <si>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</si>
  <si>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</si>
  <si>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</si>
  <si>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</si>
  <si>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</si>
  <si>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</si>
  <si>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</si>
  <si>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</si>
  <si>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</si>
  <si>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</si>
  <si>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</si>
  <si>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</si>
  <si>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</si>
  <si>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</si>
  <si>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</si>
  <si>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</si>
  <si>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</si>
  <si>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</si>
  <si>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</si>
  <si>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</si>
  <si>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</si>
  <si>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</si>
  <si>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</si>
  <si>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</si>
  <si>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</si>
  <si>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</si>
  <si>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</si>
  <si>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</si>
  <si>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</si>
  <si>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</si>
  <si>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</si>
  <si>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</si>
  <si>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</si>
  <si>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</si>
  <si>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</si>
  <si>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</si>
  <si>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</si>
  <si>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</si>
  <si>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</si>
  <si>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</si>
  <si>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</si>
  <si>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</si>
  <si>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</si>
  <si>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</si>
  <si>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</si>
  <si>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</si>
  <si>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</si>
  <si>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</si>
  <si>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</si>
  <si>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</si>
  <si>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</si>
  <si>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</si>
  <si>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</si>
  <si>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</si>
  <si>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</si>
  <si>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</si>
  <si>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</si>
  <si>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</si>
  <si>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</si>
  <si>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</si>
  <si>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</si>
  <si>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</si>
  <si>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</si>
  <si>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</si>
  <si>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</si>
  <si>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</si>
  <si>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</si>
  <si>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</si>
  <si>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</si>
  <si>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</si>
  <si>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</si>
  <si>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</si>
  <si>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</si>
  <si>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</si>
  <si>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</si>
  <si>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</si>
  <si>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</si>
  <si>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</si>
  <si>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</si>
  <si>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</si>
  <si>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</si>
  <si>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</si>
  <si>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</si>
  <si>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</si>
  <si>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</si>
  <si>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</si>
  <si>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</si>
  <si>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</si>
  <si>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</si>
  <si>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</si>
  <si>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</si>
  <si>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</si>
  <si>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</si>
  <si>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</si>
  <si>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</si>
  <si>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</si>
  <si>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</si>
  <si>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</si>
  <si>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</si>
  <si>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</si>
  <si>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</si>
  <si>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</si>
  <si>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</si>
  <si>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</si>
  <si>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</si>
  <si>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</si>
  <si>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</si>
  <si>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</si>
  <si>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</si>
  <si>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</si>
  <si>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</si>
  <si>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</si>
  <si>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</si>
  <si>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</si>
  <si>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</si>
  <si>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</si>
  <si>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</si>
  <si>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</si>
  <si>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</si>
  <si>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</si>
  <si>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</si>
  <si>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</si>
  <si>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</si>
  <si>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</si>
  <si>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</si>
  <si>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</si>
  <si>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</si>
  <si>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</si>
  <si>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</si>
  <si>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</si>
  <si>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</si>
  <si>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</si>
  <si>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</si>
  <si>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</si>
  <si>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</si>
  <si>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</si>
  <si>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</si>
  <si>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</si>
  <si>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</si>
  <si>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</si>
  <si>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</si>
  <si>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</si>
  <si>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</si>
  <si>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</si>
  <si>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</si>
  <si>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</si>
  <si>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</si>
  <si>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</si>
  <si>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</si>
  <si>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</si>
  <si>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</si>
  <si>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</si>
  <si>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</si>
  <si>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</si>
  <si>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</si>
  <si>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</si>
  <si>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</si>
  <si>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</si>
  <si>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</si>
  <si>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</si>
  <si>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</si>
  <si>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</si>
  <si>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</si>
  <si>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</si>
  <si>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</si>
  <si>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</si>
  <si>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</si>
  <si>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</si>
  <si>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</si>
  <si>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</si>
  <si>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</si>
  <si>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</si>
  <si>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</si>
  <si>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</si>
  <si>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</si>
  <si>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</si>
  <si>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</si>
  <si>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</si>
  <si>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</si>
  <si>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</si>
  <si>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</si>
  <si>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</si>
  <si>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</si>
  <si>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</si>
  <si>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</si>
  <si>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</si>
  <si>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</si>
  <si>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</si>
  <si>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</si>
  <si>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</si>
  <si>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</si>
  <si>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</si>
  <si>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</si>
  <si>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</si>
  <si>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</si>
  <si>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</si>
  <si>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</si>
  <si>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</si>
  <si>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</si>
  <si>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</si>
  <si>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</si>
  <si>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</si>
  <si>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</si>
  <si>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</si>
  <si>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</si>
  <si>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</si>
  <si>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</si>
  <si>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</si>
  <si>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</si>
  <si>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</si>
  <si>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</si>
  <si>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</si>
  <si>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</si>
  <si>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</si>
  <si>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</si>
  <si>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</si>
  <si>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</si>
  <si>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</si>
  <si>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</si>
  <si>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</si>
  <si>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</si>
  <si>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</si>
  <si>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</si>
  <si>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</si>
  <si>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</si>
  <si>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</si>
  <si>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</si>
  <si>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</si>
  <si>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</si>
  <si>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</si>
  <si>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</si>
  <si>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</si>
  <si>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</si>
  <si>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</si>
  <si>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</si>
  <si>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</si>
  <si>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</si>
  <si>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</si>
  <si>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</si>
  <si>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</si>
  <si>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</si>
  <si>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</si>
  <si>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</si>
  <si>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</si>
  <si>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</si>
  <si>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</si>
  <si>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</si>
  <si>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</si>
  <si>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</si>
  <si>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</si>
  <si>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</si>
  <si>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</si>
  <si>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</si>
  <si>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</si>
  <si>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</si>
  <si>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</si>
  <si>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</si>
  <si>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</si>
  <si>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</si>
  <si>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</si>
  <si>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</si>
  <si>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</si>
  <si>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</si>
  <si>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</si>
  <si>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</si>
  <si>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</si>
  <si>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</si>
  <si>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</si>
  <si>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</si>
  <si>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</si>
  <si>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</si>
  <si>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</si>
  <si>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</si>
  <si>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</si>
  <si>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</si>
  <si>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</si>
  <si>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</si>
  <si>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</si>
  <si>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</si>
  <si>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</si>
  <si>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</si>
  <si>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</si>
  <si>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</si>
  <si>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</si>
  <si>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</si>
  <si>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</si>
  <si>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</si>
  <si>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</si>
  <si>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</si>
  <si>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</si>
  <si>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</si>
  <si>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</si>
  <si>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</si>
  <si>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</si>
  <si>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</si>
  <si>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</si>
  <si>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</si>
  <si>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</si>
  <si>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</si>
  <si>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</si>
  <si>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</si>
  <si>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</si>
  <si>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</si>
  <si>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</si>
  <si>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</si>
  <si>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</si>
  <si>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</si>
  <si>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</si>
  <si>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</si>
  <si>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</si>
  <si>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</si>
  <si>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</si>
  <si>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</si>
  <si>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</si>
  <si>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</si>
  <si>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</si>
  <si>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</si>
  <si>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</si>
  <si>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</si>
  <si>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</si>
  <si>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</si>
  <si>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</si>
  <si>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</si>
  <si>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</si>
  <si>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</si>
  <si>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</si>
  <si>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</si>
  <si>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</si>
  <si>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</si>
  <si>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</si>
  <si>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</si>
  <si>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</si>
  <si>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</si>
  <si>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</si>
  <si>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</si>
  <si>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</si>
  <si>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</si>
  <si>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</si>
  <si>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</si>
  <si>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</si>
  <si>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</si>
  <si>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</si>
  <si>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</si>
  <si>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</si>
  <si>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</si>
  <si>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</si>
  <si>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</si>
  <si>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</si>
  <si>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</si>
  <si>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</si>
  <si>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</si>
  <si>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</si>
  <si>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</si>
  <si>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</si>
  <si>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</si>
  <si>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</si>
  <si>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</si>
  <si>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</si>
  <si>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</si>
  <si>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</si>
  <si>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</si>
  <si>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</si>
  <si>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</si>
  <si>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</si>
  <si>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</si>
  <si>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</si>
  <si>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</si>
  <si>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</si>
  <si>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</si>
  <si>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</si>
  <si>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</si>
  <si>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</si>
  <si>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</si>
  <si>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</si>
  <si>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</si>
  <si>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</si>
  <si>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</si>
  <si>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</si>
  <si>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</si>
  <si>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</si>
  <si>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</si>
  <si>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</si>
  <si>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</si>
  <si>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</si>
  <si>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</si>
  <si>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</si>
  <si>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</si>
  <si>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</si>
  <si>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</si>
  <si>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</si>
  <si>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</si>
  <si>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</si>
  <si>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</si>
  <si>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</si>
  <si>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</si>
  <si>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</si>
  <si>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</si>
  <si>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</si>
  <si>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</si>
  <si>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</si>
  <si>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</si>
  <si>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</si>
  <si>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</si>
  <si>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</si>
  <si>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</si>
  <si>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</si>
  <si>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</si>
  <si>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</si>
  <si>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</si>
  <si>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</si>
  <si>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</si>
  <si>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</si>
  <si>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</si>
  <si>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</si>
  <si>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</si>
  <si>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</si>
  <si>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</si>
  <si>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</si>
  <si>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</si>
  <si>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</si>
  <si>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</si>
  <si>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</si>
  <si>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</si>
  <si>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</si>
  <si>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</si>
  <si>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</si>
  <si>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</si>
  <si>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</si>
  <si>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</si>
  <si>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</si>
  <si>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</si>
  <si>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</si>
  <si>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</si>
  <si>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</si>
  <si>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</si>
  <si>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</si>
  <si>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</si>
  <si>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</si>
  <si>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</si>
  <si>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</si>
  <si>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</si>
  <si>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</si>
  <si>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</si>
  <si>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</si>
  <si>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</si>
  <si>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</si>
  <si>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</si>
  <si>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</si>
  <si>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</si>
  <si>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</si>
  <si>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</si>
  <si>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</si>
  <si>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</si>
  <si>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</si>
  <si>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</si>
  <si>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</si>
  <si>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</si>
  <si>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</si>
  <si>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</si>
  <si>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</si>
  <si>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</si>
  <si>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</si>
  <si>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</si>
  <si>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</si>
  <si>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</si>
  <si>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</si>
  <si>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</si>
  <si>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</si>
  <si>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</si>
  <si>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</si>
  <si>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</si>
  <si>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</si>
  <si>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</si>
  <si>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</si>
  <si>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</si>
  <si>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</si>
  <si>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</si>
  <si>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</si>
  <si>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</si>
  <si>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</si>
  <si>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</si>
  <si>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</si>
  <si>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</si>
  <si>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</si>
  <si>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</si>
  <si>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</si>
  <si>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</si>
  <si>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</si>
  <si>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</si>
  <si>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</si>
  <si>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</si>
  <si>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</si>
  <si>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</si>
  <si>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</si>
  <si>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</si>
  <si>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</si>
  <si>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</si>
  <si>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</si>
  <si>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</si>
  <si>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</si>
  <si>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</si>
  <si>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</si>
  <si>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</si>
  <si>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</si>
  <si>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</si>
  <si>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</si>
  <si>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</si>
  <si>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</si>
  <si>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</si>
  <si>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</si>
  <si>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</si>
  <si>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</si>
  <si>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</si>
  <si>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</si>
  <si>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</si>
  <si>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</si>
  <si>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</si>
  <si>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</si>
  <si>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</si>
  <si>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</si>
  <si>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</si>
  <si>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</si>
  <si>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</si>
  <si>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</si>
  <si>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</si>
  <si>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</si>
  <si>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</si>
  <si>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</si>
  <si>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</si>
  <si>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</si>
  <si>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</si>
  <si>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</si>
  <si>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</si>
  <si>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</si>
  <si>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</si>
  <si>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</si>
  <si>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</si>
  <si>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</si>
  <si>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</si>
  <si>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</si>
  <si>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</si>
  <si>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</si>
  <si>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</si>
  <si>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</si>
  <si>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</si>
  <si>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</si>
  <si>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</si>
  <si>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</si>
  <si>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</si>
  <si>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</si>
  <si>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</si>
  <si>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</si>
  <si>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</si>
  <si>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</si>
  <si>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</si>
  <si>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</si>
  <si>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</si>
  <si>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</si>
  <si>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</si>
  <si>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</si>
  <si>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</si>
  <si>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</si>
  <si>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</si>
  <si>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</si>
  <si>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</si>
  <si>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</si>
  <si>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</si>
  <si>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</si>
  <si>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</si>
  <si>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</si>
  <si>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</si>
  <si>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</si>
  <si>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</si>
  <si>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</si>
  <si>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</si>
  <si>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</si>
  <si>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</si>
  <si>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</si>
  <si>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</si>
  <si>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</si>
  <si>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</si>
  <si>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</si>
  <si>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</si>
  <si>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</si>
  <si>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</si>
  <si>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</si>
  <si>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</si>
  <si>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</si>
  <si>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</si>
  <si>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</si>
  <si>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</si>
  <si>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</si>
  <si>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</si>
  <si>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</si>
  <si>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</si>
  <si>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</si>
  <si>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</si>
  <si>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</si>
  <si>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</si>
  <si>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</si>
  <si>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</si>
  <si>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</si>
  <si>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</si>
  <si>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</si>
  <si>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</si>
  <si>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</si>
  <si>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</si>
  <si>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</si>
  <si>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</si>
  <si>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</si>
  <si>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</si>
  <si>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</si>
  <si>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</si>
  <si>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</si>
  <si>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</si>
  <si>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</si>
  <si>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</si>
  <si>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</si>
  <si>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</si>
  <si>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</si>
  <si>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</si>
  <si>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</si>
  <si>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</si>
  <si>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</si>
  <si>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</si>
  <si>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</si>
  <si>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</si>
  <si>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</si>
  <si>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</si>
  <si>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</si>
  <si>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</si>
  <si>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</si>
  <si>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</si>
  <si>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</si>
  <si>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</si>
  <si>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</si>
  <si>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</si>
  <si>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</si>
  <si>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</si>
  <si>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</si>
  <si>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</si>
  <si>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</si>
  <si>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</si>
  <si>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</si>
  <si>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</si>
  <si>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</si>
  <si>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</si>
  <si>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</si>
  <si>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</si>
  <si>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</si>
  <si>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</si>
  <si>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</si>
  <si>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</si>
  <si>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</si>
  <si>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</si>
  <si>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</si>
  <si>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</si>
  <si>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</si>
  <si>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</si>
  <si>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</si>
  <si>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</si>
  <si>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</si>
  <si>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</si>
  <si>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</si>
  <si>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</si>
  <si>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</si>
  <si>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</si>
  <si>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</si>
  <si>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</si>
  <si>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</si>
  <si>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</si>
  <si>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</si>
  <si>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</si>
  <si>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</si>
  <si>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</si>
  <si>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</si>
  <si>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</si>
  <si>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</si>
  <si>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</si>
  <si>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</si>
  <si>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</si>
  <si>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</si>
  <si>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</si>
  <si>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</si>
  <si>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</si>
  <si>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</si>
  <si>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</si>
  <si>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</si>
  <si>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</si>
  <si>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</si>
  <si>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</si>
  <si>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</si>
  <si>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</si>
  <si>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</si>
  <si>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</si>
  <si>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</si>
  <si>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</si>
  <si>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</si>
  <si>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</si>
  <si>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</si>
  <si>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</si>
  <si>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</si>
  <si>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</si>
  <si>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</si>
  <si>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</si>
  <si>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</si>
  <si>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</si>
  <si>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</si>
  <si>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</si>
  <si>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</si>
  <si>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</si>
  <si>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</si>
  <si>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</si>
  <si>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</si>
  <si>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</si>
  <si>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</si>
  <si>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</si>
  <si>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</si>
  <si>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</si>
  <si>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</si>
  <si>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</si>
  <si>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</si>
  <si>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</si>
  <si>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</si>
  <si>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</si>
  <si>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</si>
  <si>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</si>
  <si>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</si>
  <si>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</si>
  <si>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</si>
  <si>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</si>
  <si>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</si>
  <si>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</si>
  <si>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</si>
  <si>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</si>
  <si>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</si>
  <si>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</si>
  <si>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</si>
  <si>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</si>
  <si>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</si>
  <si>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</si>
  <si>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</si>
  <si>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</si>
  <si>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</si>
  <si>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</si>
  <si>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</si>
  <si>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</si>
  <si>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</si>
  <si>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</si>
  <si>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</si>
  <si>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</si>
  <si>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</si>
  <si>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</si>
  <si>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</si>
  <si>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</si>
  <si>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</si>
  <si>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</si>
  <si>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</si>
  <si>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</si>
  <si>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</si>
  <si>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</si>
  <si>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</si>
  <si>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</si>
  <si>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</si>
  <si>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</si>
  <si>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</si>
  <si>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</si>
  <si>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</si>
  <si>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</si>
  <si>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</si>
  <si>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</si>
  <si>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</si>
  <si>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</si>
  <si>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</si>
  <si>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</si>
  <si>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</si>
  <si>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</si>
  <si>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</si>
  <si>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</si>
  <si>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</si>
  <si>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</si>
  <si>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</si>
  <si>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</si>
  <si>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</si>
  <si>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</si>
  <si>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</si>
  <si>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</si>
  <si>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</si>
  <si>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</si>
  <si>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</si>
  <si>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</si>
  <si>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</si>
  <si>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</si>
  <si>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</si>
  <si>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</si>
  <si>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</si>
  <si>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</si>
  <si>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</si>
  <si>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</si>
  <si>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</si>
  <si>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</si>
  <si>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</si>
  <si>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</si>
  <si>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</si>
  <si>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</si>
  <si>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</si>
  <si>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</si>
  <si>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</si>
  <si>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</si>
  <si>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</si>
  <si>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</si>
  <si>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</si>
  <si>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</si>
  <si>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</si>
  <si>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</si>
  <si>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</si>
  <si>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</si>
  <si>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</si>
  <si>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</si>
  <si>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</si>
  <si>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</si>
  <si>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</si>
  <si>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</si>
  <si>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</si>
  <si>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</si>
  <si>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</si>
  <si>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</si>
  <si>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</si>
  <si>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</si>
  <si>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</si>
  <si>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</si>
  <si>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</si>
  <si>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</si>
  <si>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</si>
  <si>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</si>
  <si>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</si>
  <si>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</si>
  <si>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</si>
  <si>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</si>
  <si>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</si>
  <si>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</si>
  <si>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</si>
  <si>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</si>
  <si>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</si>
  <si>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</si>
  <si>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</si>
  <si>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</si>
  <si>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</si>
  <si>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</si>
  <si>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</si>
  <si>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</si>
  <si>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</si>
  <si>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</si>
  <si>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</si>
  <si>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</si>
  <si>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</si>
  <si>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</si>
  <si>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</si>
  <si>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</si>
  <si>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</si>
  <si>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</si>
  <si>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</si>
  <si>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</si>
  <si>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</si>
  <si>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</si>
  <si>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</si>
  <si>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</si>
  <si>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</si>
  <si>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</si>
  <si>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</si>
  <si>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</si>
  <si>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</si>
  <si>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</si>
  <si>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</si>
  <si>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</si>
  <si>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</si>
  <si>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</si>
  <si>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</si>
  <si>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</si>
  <si>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</si>
  <si>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</si>
  <si>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</si>
  <si>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</si>
  <si>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</si>
  <si>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</si>
  <si>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</si>
  <si>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</si>
  <si>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</si>
  <si>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</si>
  <si>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</si>
  <si>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</si>
  <si>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</si>
  <si>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</si>
  <si>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</si>
  <si>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</si>
  <si>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</si>
  <si>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</si>
  <si>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</si>
  <si>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</si>
  <si>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</si>
  <si>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</si>
  <si>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</si>
  <si>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</si>
  <si>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</si>
  <si>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</si>
  <si>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</si>
  <si>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</si>
  <si>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</si>
  <si>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</si>
  <si>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</si>
  <si>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</si>
  <si>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</si>
  <si>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</si>
  <si>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</si>
  <si>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</si>
  <si>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</si>
  <si>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</si>
  <si>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</si>
  <si>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</si>
  <si>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</si>
  <si>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</si>
  <si>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</si>
  <si>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</si>
  <si>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</si>
  <si>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</si>
  <si>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</si>
  <si>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</si>
  <si>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</si>
  <si>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</si>
  <si>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</si>
  <si>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</si>
  <si>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</si>
  <si>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</si>
  <si>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</si>
  <si>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</si>
  <si>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</si>
  <si>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</si>
  <si>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</si>
  <si>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</si>
  <si>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</si>
  <si>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</si>
  <si>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</si>
  <si>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</si>
  <si>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</si>
  <si>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</si>
  <si>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</si>
  <si>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</si>
  <si>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</si>
  <si>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</si>
  <si>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</si>
  <si>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</si>
  <si>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</si>
  <si>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</si>
  <si>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</si>
  <si>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</si>
  <si>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</si>
  <si>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</si>
  <si>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</si>
  <si>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</si>
  <si>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</si>
  <si>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</si>
  <si>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</si>
  <si>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</si>
  <si>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</si>
  <si>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</si>
  <si>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</si>
  <si>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</si>
  <si>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</si>
  <si>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</si>
  <si>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</si>
  <si>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</si>
  <si>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</si>
  <si>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</si>
  <si>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</si>
  <si>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</si>
  <si>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</si>
  <si>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</si>
  <si>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</si>
  <si>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</si>
  <si>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</si>
  <si>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</si>
  <si>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</si>
  <si>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</si>
  <si>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</si>
  <si>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</si>
  <si>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</si>
  <si>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</si>
  <si>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</si>
  <si>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</si>
  <si>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</si>
  <si>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</si>
  <si>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</si>
  <si>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</si>
  <si>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</si>
  <si>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</si>
  <si>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</si>
  <si>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</si>
  <si>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</si>
  <si>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</si>
  <si>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</si>
  <si>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</si>
  <si>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</si>
  <si>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</si>
  <si>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</si>
  <si>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</si>
  <si>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</si>
  <si>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</si>
  <si>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</si>
  <si>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</si>
  <si>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</si>
  <si>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</si>
  <si>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</si>
  <si>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</si>
  <si>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</si>
  <si>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</si>
  <si>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</si>
  <si>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</si>
  <si>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</si>
  <si>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</si>
  <si>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</si>
  <si>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</si>
  <si>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</si>
  <si>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</si>
  <si>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</si>
  <si>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</si>
  <si>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</si>
  <si>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</si>
  <si>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</si>
  <si>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</si>
  <si>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</si>
  <si>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</si>
  <si>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</si>
  <si>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</si>
  <si>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</si>
  <si>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</si>
  <si>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</si>
  <si>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</si>
  <si>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</si>
  <si>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</si>
  <si>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</si>
  <si>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</si>
  <si>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</si>
  <si>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</si>
  <si>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</si>
  <si>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</si>
  <si>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</si>
  <si>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</si>
  <si>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</si>
  <si>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</si>
  <si>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</si>
  <si>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</si>
  <si>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</si>
  <si>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</si>
  <si>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</si>
  <si>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</si>
  <si>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</si>
  <si>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</si>
  <si>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</si>
  <si>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</si>
  <si>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</si>
  <si>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</si>
  <si>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</si>
  <si>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</si>
  <si>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</si>
  <si>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</si>
  <si>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</si>
  <si>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</si>
  <si>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</si>
  <si>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</si>
  <si>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</si>
  <si>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</si>
  <si>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</si>
  <si>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</si>
  <si>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</si>
  <si>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</si>
  <si>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</si>
  <si>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</si>
  <si>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</si>
  <si>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</si>
  <si>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</si>
  <si>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</si>
  <si>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</si>
  <si>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</si>
  <si>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</si>
  <si>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</si>
  <si>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</si>
  <si>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</si>
  <si>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</si>
  <si>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</si>
  <si>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</si>
  <si>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</si>
  <si>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</si>
  <si>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</si>
  <si>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</si>
  <si>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</si>
  <si>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</si>
  <si>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</si>
  <si>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</si>
  <si>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</si>
  <si>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</si>
  <si>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</si>
  <si>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</si>
  <si>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</si>
  <si>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</si>
  <si>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</si>
  <si>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</si>
  <si>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</si>
  <si>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</si>
  <si>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</si>
  <si>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</si>
  <si>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</si>
  <si>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</si>
  <si>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</si>
  <si>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</si>
  <si>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</si>
  <si>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</si>
  <si>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</si>
  <si>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</si>
  <si>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</si>
  <si>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</si>
  <si>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</si>
  <si>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</si>
  <si>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</si>
  <si>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</si>
  <si>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</si>
  <si>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</si>
  <si>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</si>
  <si>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</si>
  <si>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</si>
  <si>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</si>
  <si>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</si>
  <si>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</si>
  <si>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</si>
  <si>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</si>
  <si>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</si>
  <si>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</si>
  <si>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</si>
  <si>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</si>
  <si>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</si>
  <si>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</si>
  <si>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</si>
  <si>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</si>
  <si>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</si>
  <si>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</si>
  <si>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</si>
  <si>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</si>
  <si>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</si>
  <si>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</si>
  <si>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</si>
  <si>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</si>
  <si>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</si>
  <si>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</si>
  <si>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</si>
  <si>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</si>
  <si>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</si>
  <si>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</si>
  <si>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</si>
  <si>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</si>
  <si>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</si>
  <si>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</si>
  <si>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</si>
  <si>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</si>
  <si>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</si>
  <si>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</si>
  <si>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</si>
  <si>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</si>
  <si>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</si>
  <si>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</si>
  <si>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</si>
  <si>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</si>
  <si>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</si>
  <si>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</si>
  <si>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</si>
  <si>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</si>
  <si>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</si>
  <si>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</si>
  <si>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</si>
  <si>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</si>
  <si>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</si>
  <si>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</si>
  <si>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</si>
  <si>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</si>
  <si>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</si>
  <si>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</si>
  <si>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</si>
  <si>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</si>
  <si>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</si>
  <si>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</si>
  <si>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</si>
  <si>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</si>
  <si>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</si>
  <si>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</si>
  <si>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</si>
  <si>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</si>
  <si>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</si>
  <si>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</si>
  <si>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</si>
  <si>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</si>
  <si>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</si>
  <si>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</si>
  <si>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</si>
  <si>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</si>
  <si>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</si>
  <si>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</si>
  <si>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</si>
  <si>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</si>
  <si>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</si>
  <si>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</si>
  <si>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</si>
  <si>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</si>
  <si>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</si>
  <si>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</si>
  <si>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</si>
  <si>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</si>
  <si>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</si>
  <si>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</si>
  <si>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</si>
  <si>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</si>
  <si>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</si>
  <si>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</si>
  <si>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</si>
  <si>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</si>
  <si>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</si>
  <si>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</si>
  <si>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</si>
  <si>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</si>
  <si>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</si>
  <si>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</si>
  <si>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</si>
  <si>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</si>
  <si>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</si>
  <si>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</si>
  <si>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</si>
  <si>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</si>
  <si>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</si>
  <si>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</si>
  <si>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</si>
  <si>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</si>
  <si>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</si>
  <si>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</si>
  <si>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</si>
  <si>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</si>
  <si>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</si>
  <si>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</si>
  <si>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</si>
  <si>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</si>
  <si>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</si>
  <si>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</si>
  <si>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</si>
  <si>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</si>
  <si>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</si>
  <si>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</si>
  <si>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</si>
  <si>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</si>
  <si>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</si>
  <si>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</si>
  <si>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</si>
  <si>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</si>
  <si>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</si>
  <si>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</si>
  <si>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</si>
  <si>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</si>
  <si>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</si>
  <si>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</si>
  <si>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</si>
  <si>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</si>
  <si>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</si>
  <si>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</si>
  <si>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</si>
  <si>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</si>
  <si>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</si>
  <si>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</si>
  <si>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</si>
  <si>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</si>
  <si>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</si>
  <si>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</si>
  <si>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</si>
  <si>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</si>
  <si>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</si>
  <si>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</si>
  <si>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</si>
  <si>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</si>
  <si>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</si>
  <si>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</si>
  <si>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</si>
  <si>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</si>
  <si>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</si>
  <si>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</si>
  <si>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</si>
  <si>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</si>
  <si>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</si>
  <si>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</si>
  <si>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</si>
  <si>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</si>
  <si>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</si>
  <si>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</si>
  <si>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</si>
  <si>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</si>
  <si>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</si>
  <si>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</si>
  <si>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</si>
  <si>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</si>
  <si>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</si>
  <si>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</si>
  <si>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</si>
  <si>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</si>
  <si>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</si>
  <si>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</si>
  <si>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</si>
  <si>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</si>
  <si>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</si>
  <si>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</si>
  <si>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</si>
  <si>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</si>
  <si>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</si>
  <si>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</si>
  <si>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</si>
  <si>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</si>
  <si>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</si>
  <si>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</si>
  <si>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</si>
  <si>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</si>
  <si>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</si>
  <si>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</si>
  <si>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</si>
  <si>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</si>
  <si>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</si>
  <si>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</si>
  <si>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</si>
  <si>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</si>
  <si>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</si>
  <si>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</si>
  <si>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</si>
  <si>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</si>
  <si>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</si>
  <si>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</si>
  <si>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</si>
  <si>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</si>
  <si>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</si>
  <si>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</si>
  <si>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</si>
  <si>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</si>
  <si>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</si>
  <si>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</si>
  <si>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</si>
  <si>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</si>
  <si>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</si>
  <si>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</si>
  <si>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</si>
  <si>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</si>
  <si>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</si>
  <si>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</si>
  <si>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</si>
  <si>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</si>
  <si>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</si>
  <si>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</si>
  <si>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</si>
  <si>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</si>
  <si>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</si>
  <si>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</si>
  <si>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</si>
  <si>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</si>
  <si>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</si>
  <si>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</si>
  <si>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</si>
  <si>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</si>
  <si>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</si>
  <si>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</si>
  <si>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</si>
  <si>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</si>
  <si>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</si>
  <si>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</si>
  <si>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</si>
  <si>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</si>
  <si>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</si>
  <si>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</si>
  <si>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</si>
  <si>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</si>
  <si>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</si>
  <si>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</si>
  <si>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</si>
  <si>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</si>
  <si>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</si>
  <si>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</si>
  <si>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</si>
  <si>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</si>
  <si>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</si>
  <si>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</si>
  <si>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</si>
  <si>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</si>
  <si>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</si>
  <si>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</si>
  <si>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</si>
  <si>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</si>
  <si>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</si>
  <si>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</si>
  <si>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</si>
  <si>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</si>
  <si>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</si>
  <si>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</si>
  <si>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</si>
  <si>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</si>
  <si>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</si>
  <si>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</si>
  <si>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</si>
  <si>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</si>
  <si>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</si>
  <si>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</si>
  <si>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</si>
  <si>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</si>
  <si>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</si>
  <si>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</si>
  <si>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</si>
  <si>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</si>
  <si>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</si>
  <si>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</si>
  <si>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</si>
  <si>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</si>
  <si>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</si>
  <si>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</si>
  <si>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</si>
  <si>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</si>
  <si>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</si>
  <si>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</si>
  <si>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</si>
  <si>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</si>
  <si>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</si>
  <si>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</si>
  <si>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</si>
  <si>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</si>
  <si>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</si>
  <si>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</si>
  <si>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</si>
  <si>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</si>
  <si>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</si>
  <si>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</si>
  <si>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</si>
  <si>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</si>
  <si>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</si>
  <si>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</si>
  <si>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</si>
  <si>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</si>
  <si>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</si>
  <si>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</si>
  <si>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</si>
  <si>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</si>
  <si>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</si>
  <si>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</si>
  <si>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</si>
  <si>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</si>
  <si>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</si>
  <si>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</si>
  <si>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</si>
  <si>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</si>
  <si>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</si>
  <si>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</si>
  <si>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</si>
  <si>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</si>
  <si>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</si>
  <si>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</si>
  <si>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</si>
  <si>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</si>
  <si>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</si>
  <si>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</si>
  <si>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</si>
  <si>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</si>
  <si>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</si>
  <si>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</si>
  <si>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</si>
  <si>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</si>
  <si>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</si>
  <si>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</si>
  <si>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</si>
  <si>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</si>
  <si>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</si>
  <si>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</si>
  <si>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</si>
  <si>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</si>
  <si>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</si>
  <si>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</si>
  <si>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</si>
  <si>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</si>
  <si>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</si>
  <si>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</si>
  <si>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</si>
  <si>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</si>
  <si>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</si>
  <si>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</si>
  <si>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</si>
  <si>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</si>
  <si>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</si>
  <si>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</si>
  <si>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</si>
  <si>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</si>
  <si>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</si>
  <si>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</si>
  <si>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</si>
  <si>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</si>
  <si>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</si>
  <si>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</si>
  <si>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</si>
  <si>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</si>
  <si>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</si>
  <si>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</si>
  <si>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</si>
  <si>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</si>
  <si>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</si>
  <si>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</si>
  <si>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</si>
  <si>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</si>
  <si>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</si>
  <si>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</si>
  <si>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</si>
  <si>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</si>
  <si>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</si>
  <si>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</si>
  <si>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</si>
  <si>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</si>
  <si>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</si>
  <si>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</si>
  <si>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</si>
  <si>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</si>
  <si>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</si>
  <si>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</si>
  <si>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</si>
  <si>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</si>
  <si>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</si>
  <si>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</si>
  <si>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</si>
  <si>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</si>
  <si>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</si>
  <si>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</si>
  <si>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</si>
  <si>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</si>
  <si>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</si>
  <si>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</si>
  <si>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</si>
  <si>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</si>
  <si>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</si>
  <si>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</si>
  <si>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</si>
  <si>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</si>
  <si>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</si>
  <si>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</si>
  <si>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</si>
  <si>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</si>
  <si>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</si>
  <si>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</si>
  <si>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</si>
  <si>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</si>
  <si>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</si>
  <si>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</si>
  <si>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</si>
  <si>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</si>
  <si>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</si>
  <si>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</si>
  <si>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</si>
  <si>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</si>
  <si>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</si>
  <si>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</si>
  <si>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</si>
  <si>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</si>
  <si>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</si>
  <si>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</si>
  <si>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</si>
  <si>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</si>
  <si>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</si>
  <si>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</si>
  <si>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</si>
  <si>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</si>
  <si>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</si>
  <si>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</si>
  <si>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</si>
  <si>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</si>
  <si>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</si>
  <si>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</si>
  <si>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</si>
  <si>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</si>
  <si>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</si>
  <si>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</si>
  <si>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</si>
  <si>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</si>
  <si>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Vintage Housing Holdings, LLC </t>
  </si>
  <si>
    <t xml:space="preserve">Season by Vintage </t>
  </si>
  <si>
    <t xml:space="preserve">City of Elk Grove </t>
  </si>
  <si>
    <t xml:space="preserve">8401 Laguna Palms Way </t>
  </si>
  <si>
    <t>Elk Grove</t>
  </si>
  <si>
    <t>916-627-3209</t>
  </si>
  <si>
    <t>916-627-4800</t>
  </si>
  <si>
    <t xml:space="preserve">7301 Bilby Road </t>
  </si>
  <si>
    <t xml:space="preserve">Elk Grove </t>
  </si>
  <si>
    <t>132-0050-122</t>
  </si>
  <si>
    <t>40%/60%</t>
  </si>
  <si>
    <t xml:space="preserve">Hearthstone /PWC JV, LLC </t>
  </si>
  <si>
    <t>Managing GP</t>
  </si>
  <si>
    <t xml:space="preserve">1401 Dove Street, Suite 620 </t>
  </si>
  <si>
    <t xml:space="preserve">Newport Beach </t>
  </si>
  <si>
    <t>CA</t>
  </si>
  <si>
    <t xml:space="preserve">Socorro Vasquez </t>
  </si>
  <si>
    <t>(949) 553-9447</t>
  </si>
  <si>
    <t>coco@hearthstonehousing.org</t>
  </si>
  <si>
    <t xml:space="preserve">Hearthstone Housing Foundation </t>
  </si>
  <si>
    <t xml:space="preserve">To-be-formed LLC </t>
  </si>
  <si>
    <t>369 San Miguel Drive, Suite 135</t>
  </si>
  <si>
    <t xml:space="preserve">Michael Gancar </t>
  </si>
  <si>
    <t>(949) 721-6775</t>
  </si>
  <si>
    <t>Administrative GP</t>
  </si>
  <si>
    <t xml:space="preserve">Sabelhaus &amp; Strain PC </t>
  </si>
  <si>
    <t>1724 10th Street, Suite 110</t>
  </si>
  <si>
    <t>(916) 444-0286</t>
  </si>
  <si>
    <t>sstrain@sabelhauslaw.com</t>
  </si>
  <si>
    <t>Newport Beach, CA 92660</t>
  </si>
  <si>
    <t>Michael Gancar</t>
  </si>
  <si>
    <t>mgancar@vintagehousing.com</t>
  </si>
  <si>
    <t>251 E Imperial Hwy, Suite 480</t>
  </si>
  <si>
    <t>Fullerton, CA 92835</t>
  </si>
  <si>
    <t xml:space="preserve">David Musser </t>
  </si>
  <si>
    <t>(714) 241-8944</t>
  </si>
  <si>
    <t>dmusser@musserarchitects.com</t>
  </si>
  <si>
    <t xml:space="preserve">Musser: Architects, Inc. </t>
  </si>
  <si>
    <t>Sacramento, CA 95811</t>
  </si>
  <si>
    <t xml:space="preserve">Stephen A. Strain </t>
  </si>
  <si>
    <t xml:space="preserve">Stephen A. Stain </t>
  </si>
  <si>
    <t xml:space="preserve">Attorney / Consultant </t>
  </si>
  <si>
    <t xml:space="preserve">Bernard E. Rea, CPA </t>
  </si>
  <si>
    <t>P.O. Box 492</t>
  </si>
  <si>
    <t>Aubrey, TX 76227</t>
  </si>
  <si>
    <t>Bernie Rea</t>
  </si>
  <si>
    <t>(209) 933-9113</t>
  </si>
  <si>
    <t xml:space="preserve">breacpa@aol.com </t>
  </si>
  <si>
    <t xml:space="preserve">R4 Capital </t>
  </si>
  <si>
    <t>895 Dove Street, Suite 450</t>
  </si>
  <si>
    <t>Cory Bannoster</t>
  </si>
  <si>
    <t>(949) 438-1056</t>
  </si>
  <si>
    <t>cbannister@r4cap.com</t>
  </si>
  <si>
    <t xml:space="preserve">Novogradac &amp; Company LLP </t>
  </si>
  <si>
    <t xml:space="preserve">160 Battery Street E Building, 2nd Floor </t>
  </si>
  <si>
    <t>San Francisco, CA 94111</t>
  </si>
  <si>
    <t xml:space="preserve">Lindsey Hannon </t>
  </si>
  <si>
    <t>(512) 349-3212</t>
  </si>
  <si>
    <t>lindsey.hannon@novoco.com</t>
  </si>
  <si>
    <t xml:space="preserve">Cardinal Consulting, Inc. </t>
  </si>
  <si>
    <t>1355 Willow Way, #264</t>
  </si>
  <si>
    <t>Concord, CA 94520</t>
  </si>
  <si>
    <t xml:space="preserve">David Cardinal </t>
  </si>
  <si>
    <t>(925) 798-8600</t>
  </si>
  <si>
    <t>(925) 798-8601</t>
  </si>
  <si>
    <t>dcardinal@cardinalconsultinginc.com</t>
  </si>
  <si>
    <t xml:space="preserve">160 Battery Street E Building, 2nd Floor  </t>
  </si>
  <si>
    <t>Lindsey Hannon</t>
  </si>
  <si>
    <t xml:space="preserve">California Municipal Finance Authority </t>
  </si>
  <si>
    <t>2111 Palomar Airport Road, Suite 320</t>
  </si>
  <si>
    <t>Carlsbad, CA 92011</t>
  </si>
  <si>
    <t>Ben Barker</t>
  </si>
  <si>
    <t>(760) 930-1266</t>
  </si>
  <si>
    <t>bbarker@cmfa-ca.com</t>
  </si>
  <si>
    <t xml:space="preserve">FPI Management Corporation </t>
  </si>
  <si>
    <t>800 Iron Point Road</t>
  </si>
  <si>
    <t>Folsom, CA 95630</t>
  </si>
  <si>
    <t>(916) 357-5300</t>
  </si>
  <si>
    <t>(916) 357-5310</t>
  </si>
  <si>
    <t>Dennis Treadaway</t>
  </si>
  <si>
    <t>dennis.treadaway@fpimgt.com</t>
  </si>
  <si>
    <t>Appraisal</t>
  </si>
  <si>
    <t xml:space="preserve">Residential Multifamily Housing </t>
  </si>
  <si>
    <t>Seasons Apartments, LP</t>
  </si>
  <si>
    <t>Michael K. Gancar</t>
  </si>
  <si>
    <t xml:space="preserve">Michael K. Gancar </t>
  </si>
  <si>
    <t>Manager</t>
  </si>
  <si>
    <t>Other (Specify below)</t>
  </si>
  <si>
    <t xml:space="preserve">Three-Story Garden Style building </t>
  </si>
  <si>
    <t xml:space="preserve">RD-15 Medium Density Residential </t>
  </si>
  <si>
    <t>RD-15 Medium Density Residential / 15 units per acre</t>
  </si>
  <si>
    <t>City of Elk Grove Loan Assumption</t>
  </si>
  <si>
    <t>Citi Bank, N.A</t>
  </si>
  <si>
    <t>Vintage Housing Holdings, LLC</t>
  </si>
  <si>
    <t>325 E. Hillcrest Drive, Suite 160</t>
  </si>
  <si>
    <t>Thousand Oaks</t>
  </si>
  <si>
    <t xml:space="preserve">Michael Hemmens </t>
  </si>
  <si>
    <t>(805) 557-0933</t>
  </si>
  <si>
    <t xml:space="preserve">Tax-Exempt Construction Loan </t>
  </si>
  <si>
    <t xml:space="preserve">Recycled Bond Construction Loan </t>
  </si>
  <si>
    <t xml:space="preserve">Thousand Oaks </t>
  </si>
  <si>
    <t xml:space="preserve">Taxable Construction Loan </t>
  </si>
  <si>
    <t>Sarah Bontrager</t>
  </si>
  <si>
    <t>(916) 627-3209</t>
  </si>
  <si>
    <t xml:space="preserve">Subordinate Soft Loan </t>
  </si>
  <si>
    <t>Newport Beach</t>
  </si>
  <si>
    <t xml:space="preserve">Cory Bannister </t>
  </si>
  <si>
    <t xml:space="preserve">LIHTC Investor Equity </t>
  </si>
  <si>
    <t xml:space="preserve">NOI During Construction </t>
  </si>
  <si>
    <t xml:space="preserve">Citibank, N.A </t>
  </si>
  <si>
    <t>City of Elk Grove</t>
  </si>
  <si>
    <t xml:space="preserve">Tax Exempt Permanent Loan </t>
  </si>
  <si>
    <t xml:space="preserve">Sarah Bontrager </t>
  </si>
  <si>
    <t xml:space="preserve">Deferred Developer Fee </t>
  </si>
  <si>
    <t>Secured by Fee Interest</t>
  </si>
  <si>
    <t>Telephone &amp; Supplies</t>
  </si>
  <si>
    <t>Hearthstone / PWC JV, LLC</t>
  </si>
  <si>
    <t xml:space="preserve">NOI during construction  </t>
  </si>
  <si>
    <t>September</t>
  </si>
  <si>
    <t>Housing and Public Services Manager</t>
  </si>
  <si>
    <t>sbontrager@elkgrovecity.org</t>
  </si>
  <si>
    <t>Socorro Vasquez</t>
  </si>
  <si>
    <t>Executive Director of Hearthstone Housing</t>
  </si>
  <si>
    <t>55 years or older</t>
  </si>
  <si>
    <t>Fixed</t>
  </si>
  <si>
    <t>620-661</t>
  </si>
  <si>
    <t>Vintage Housing Development, Inc.</t>
  </si>
  <si>
    <t>Micheal K. Gancar</t>
  </si>
  <si>
    <t>Acquired Reserves</t>
  </si>
  <si>
    <t>Subordinate Soft Loan</t>
  </si>
  <si>
    <t>Air Conditioning</t>
  </si>
  <si>
    <t>Sacramento Housing and Redevelopment Agency</t>
  </si>
  <si>
    <t>Supplies</t>
  </si>
  <si>
    <t>Taxes and Benefits</t>
  </si>
  <si>
    <t>Recycled Bonds</t>
  </si>
  <si>
    <t>Inspectiona nd Monitoring</t>
  </si>
  <si>
    <t>Costs of Issuance</t>
  </si>
  <si>
    <t>Borrower Counsel</t>
  </si>
  <si>
    <t>Storage and Cable</t>
  </si>
  <si>
    <t>Above residual receipts line for cash flow</t>
  </si>
  <si>
    <t>Provided</t>
  </si>
  <si>
    <t>Not Applicable</t>
  </si>
  <si>
    <t>Dane Hillyard</t>
  </si>
  <si>
    <t>9590 Prototype Court, Suite 100</t>
  </si>
  <si>
    <t>Reno, NV 89521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</si>
</sst>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 workbookViewId="0">
      <selection activeCell="H99" sqref="H9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7" t="s">
        <v>1585</v>
      </c>
      <c r="B1" s="2657"/>
      <c r="C1" s="2657"/>
      <c r="D1" s="2657"/>
      <c r="E1" s="2657"/>
      <c r="F1" s="2657"/>
      <c r="G1" s="2657"/>
      <c r="H1" s="2657"/>
      <c r="I1" s="2657"/>
      <c r="J1" s="2657"/>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36469116</v>
      </c>
      <c r="I3" s="1105"/>
    </row>
    <row r="4" spans="1:13" s="1051" customFormat="1" ht="20.100000000000001" customHeight="1">
      <c r="B4" s="1094"/>
      <c r="D4" s="1108"/>
      <c r="F4" s="1092" t="s">
        <v>1991</v>
      </c>
      <c r="G4" s="1091" t="s">
        <v>1990</v>
      </c>
      <c r="H4" s="1093">
        <f>I18</f>
        <v>16889192.555147059</v>
      </c>
      <c r="I4" s="1095"/>
      <c r="K4" s="1055"/>
    </row>
    <row r="5" spans="1:13" s="1051" customFormat="1" ht="20.100000000000001" customHeight="1" thickBot="1">
      <c r="B5" s="1096"/>
      <c r="C5" s="1097"/>
      <c r="D5" s="1109"/>
      <c r="E5" s="1098"/>
      <c r="F5" s="1109" t="s">
        <v>1941</v>
      </c>
      <c r="G5" s="1110"/>
      <c r="H5" s="1106">
        <f>IFERROR(H3/H4,0)</f>
        <v>2.1593167276008036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0" t="s">
        <v>1939</v>
      </c>
      <c r="C8" s="2661"/>
      <c r="D8" s="2661"/>
      <c r="E8" s="2662"/>
      <c r="G8" s="2663" t="s">
        <v>1940</v>
      </c>
      <c r="H8" s="2664"/>
      <c r="I8" s="2665"/>
      <c r="K8" s="1057"/>
    </row>
    <row r="9" spans="1:13" ht="15" customHeight="1">
      <c r="A9" s="1046"/>
      <c r="B9" s="2658" t="s">
        <v>1973</v>
      </c>
      <c r="C9" s="2658"/>
      <c r="D9" s="2658"/>
      <c r="E9" s="1059">
        <f>G33</f>
        <v>11950000</v>
      </c>
      <c r="G9" s="2666" t="s">
        <v>1971</v>
      </c>
      <c r="H9" s="2666"/>
      <c r="I9" s="1060">
        <f>SUMIF(Application!M554:M565,"Loan, Tax-Exempt",Application!AM554:AM565)</f>
        <v>16651125</v>
      </c>
      <c r="K9" s="1061"/>
      <c r="M9" s="1062"/>
    </row>
    <row r="10" spans="1:13" ht="15" customHeight="1" thickBot="1">
      <c r="A10" s="1046"/>
      <c r="B10" s="2658" t="s">
        <v>1974</v>
      </c>
      <c r="C10" s="2658"/>
      <c r="D10" s="2658"/>
      <c r="E10" s="1060">
        <f>G47</f>
        <v>19279116.000000004</v>
      </c>
      <c r="G10" s="2670" t="s">
        <v>1942</v>
      </c>
      <c r="H10" s="2670"/>
      <c r="I10" s="1140">
        <f>'Basis &amp; Credits'!AB78</f>
        <v>0</v>
      </c>
      <c r="M10" s="1062"/>
    </row>
    <row r="11" spans="1:13" ht="15" customHeight="1">
      <c r="A11" s="1046"/>
      <c r="B11" s="2674" t="s">
        <v>2262</v>
      </c>
      <c r="C11" s="2675"/>
      <c r="D11" s="2676"/>
      <c r="E11" s="1060">
        <f>SUM(E12,E13)</f>
        <v>460000</v>
      </c>
      <c r="G11" s="2673" t="s">
        <v>1982</v>
      </c>
      <c r="H11" s="2673"/>
      <c r="I11" s="1139">
        <f>I9+I10</f>
        <v>16651125</v>
      </c>
      <c r="M11" s="1062"/>
    </row>
    <row r="12" spans="1:13" ht="15" customHeight="1">
      <c r="A12" s="1063"/>
      <c r="B12" s="2659" t="s">
        <v>2264</v>
      </c>
      <c r="C12" s="2659"/>
      <c r="D12" s="2659"/>
      <c r="E12" s="1165">
        <f>G56</f>
        <v>0</v>
      </c>
      <c r="M12" s="1062"/>
    </row>
    <row r="13" spans="1:13" ht="15" customHeight="1">
      <c r="A13" s="1049"/>
      <c r="B13" s="2659" t="s">
        <v>2265</v>
      </c>
      <c r="C13" s="2659"/>
      <c r="D13" s="2659"/>
      <c r="E13" s="1165">
        <f>G65</f>
        <v>460000</v>
      </c>
      <c r="G13" s="2663" t="s">
        <v>2005</v>
      </c>
      <c r="H13" s="2664"/>
      <c r="I13" s="2665"/>
      <c r="M13" s="1062"/>
    </row>
    <row r="14" spans="1:13" ht="15" customHeight="1">
      <c r="A14" s="1049"/>
      <c r="B14" s="2674" t="s">
        <v>2263</v>
      </c>
      <c r="C14" s="2675"/>
      <c r="D14" s="2676"/>
      <c r="E14" s="1167">
        <f>MAX(E15,E16)+E17</f>
        <v>4780000</v>
      </c>
      <c r="G14" s="2666" t="s">
        <v>139</v>
      </c>
      <c r="H14" s="2666"/>
      <c r="I14" s="1064">
        <f>15%*(AND(G120="Yes",G122&lt;&gt;""))</f>
        <v>0</v>
      </c>
      <c r="M14" s="1062"/>
    </row>
    <row r="15" spans="1:13" ht="15" customHeight="1">
      <c r="A15" s="1049"/>
      <c r="B15" s="2677" t="s">
        <v>2269</v>
      </c>
      <c r="C15" s="2678"/>
      <c r="D15" s="2679"/>
      <c r="E15" s="1165">
        <f>G80</f>
        <v>0</v>
      </c>
      <c r="G15" s="1137" t="s">
        <v>1983</v>
      </c>
      <c r="H15" s="1137"/>
      <c r="I15" s="1064">
        <f>IF(Application!AJ1032&gt;0,10%,IF(Application!AJ1036&gt;0,5%,0))</f>
        <v>0</v>
      </c>
      <c r="M15" s="1062"/>
    </row>
    <row r="16" spans="1:13" ht="15" customHeight="1">
      <c r="A16" s="1049"/>
      <c r="B16" s="2677" t="s">
        <v>2268</v>
      </c>
      <c r="C16" s="2678"/>
      <c r="D16" s="2679"/>
      <c r="E16" s="1165">
        <f>G90</f>
        <v>0</v>
      </c>
      <c r="G16" s="2666" t="s">
        <v>1984</v>
      </c>
      <c r="H16" s="2666"/>
      <c r="I16" s="1064">
        <f>G132</f>
        <v>-1.4297385620915032E-2</v>
      </c>
    </row>
    <row r="17" spans="1:21" ht="15" customHeight="1" thickBot="1">
      <c r="A17" s="1049"/>
      <c r="B17" s="2677" t="s">
        <v>2267</v>
      </c>
      <c r="C17" s="2678"/>
      <c r="D17" s="2679"/>
      <c r="E17" s="1165">
        <f>G115</f>
        <v>4780000</v>
      </c>
      <c r="G17" s="2666" t="s">
        <v>2277</v>
      </c>
      <c r="H17" s="2666"/>
      <c r="I17" s="1064">
        <f>IF(AND(G139="Yes",OR(G136,G137)),IF(G143&gt;15%,15%,G143),0)</f>
        <v>0</v>
      </c>
    </row>
    <row r="18" spans="1:21" ht="15" customHeight="1">
      <c r="A18" s="1046"/>
      <c r="B18" s="2669" t="s">
        <v>1938</v>
      </c>
      <c r="C18" s="2669"/>
      <c r="D18" s="2669"/>
      <c r="E18" s="1111">
        <f>SUM(E9:E11,E14)</f>
        <v>36469116</v>
      </c>
      <c r="G18" s="1138" t="s">
        <v>1972</v>
      </c>
      <c r="H18" s="1138"/>
      <c r="I18" s="1112">
        <f>I11-((I11*I14)+(I11*I15)+(I11*I16)+(I11*I17))</f>
        <v>16889192.555147059</v>
      </c>
      <c r="M18" s="1065">
        <f>SUM(Cdlac[Quantity])</f>
        <v>220</v>
      </c>
      <c r="O18" s="1084" t="s">
        <v>582</v>
      </c>
      <c r="P18" s="1044">
        <f>MATCH(Application!T189,Application!CB160:CB217,0)</f>
        <v>34</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15</v>
      </c>
      <c r="N20" s="1071">
        <f>Application!AC718</f>
        <v>0.3</v>
      </c>
      <c r="O20" s="1071">
        <f>IF(Cdlac[[#This Row],[Quantity]]&gt;0,IF(Cdlac[[#This Row],[Federal]],30%,IF(AND(OR(NOT($G$38),$G$38=""),$G$43),40%,Cdlac[[#This Row],[iAMI]])),"")</f>
        <v>0.3</v>
      </c>
      <c r="P20" s="1065" cm="1">
        <f t="array" ref="P20">IF(Cdlac[[#This Row],[Quantity]]&gt;0,INDEX(TcacRents,$P$18,Cdlac[[#This Row],[Bedrooms]]+1)*Cdlac[[#This Row],[AMI]],"")</f>
        <v>723.6</v>
      </c>
      <c r="Q20" s="1164"/>
      <c r="R20" s="1065" cm="1">
        <f t="array" ref="R20">IF(Cdlac[[#This Row],[Quantity]]&gt;0,INDEX(HudFmrs,$P$18,Cdlac[[#This Row],[Bedrooms]]+1),"")</f>
        <v>1777</v>
      </c>
      <c r="S20" s="1065">
        <f>IF(Cdlac[[#This Row],[Quantity]]&gt;0,MAX(0,Cdlac[[#This Row],[Fair Market Rent]]-IF(AND($G$37,$G$38,$G$38&lt;&gt;"",NOT(Cdlac[[#This Row],[Federal]]),Cdlac[[#This Row],[Preservation Rent]]&lt;&gt;""),Cdlac[[#This Row],[Preservation Rent]],Cdlac[[#This Row],[Restricted Rent]])),"")</f>
        <v>1053.4000000000001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1206</v>
      </c>
      <c r="Q21" s="1164"/>
      <c r="R21" s="1065" cm="1">
        <f t="array" ref="R21">IF(Cdlac[[#This Row],[Quantity]]&gt;0,INDEX(HudFmrs,$P$18,Cdlac[[#This Row],[Bedrooms]]+1),"")</f>
        <v>1777</v>
      </c>
      <c r="S21" s="1065">
        <f>IF(Cdlac[[#This Row],[Quantity]]&gt;0,MAX(0,Cdlac[[#This Row],[Fair Market Rent]]-IF(AND($G$37,$G$38,$G$38&lt;&gt;"",NOT(Cdlac[[#This Row],[Federal]]),Cdlac[[#This Row],[Preservation Rent]]&lt;&gt;""),Cdlac[[#This Row],[Preservation Rent]],Cdlac[[#This Row],[Restricted Rent]])),"")</f>
        <v>571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7" t="s">
        <v>1986</v>
      </c>
      <c r="D22" s="2667" t="s">
        <v>1987</v>
      </c>
      <c r="E22" s="2667" t="s">
        <v>1988</v>
      </c>
      <c r="F22" s="2667" t="s">
        <v>2608</v>
      </c>
      <c r="G22" s="2667" t="s">
        <v>1985</v>
      </c>
      <c r="H22" s="1070"/>
      <c r="I22" s="1069"/>
      <c r="L22" s="1044">
        <f>IFERROR(MIN(4,MATCH(Application!B720,UnitSizes,0)-1),"")</f>
        <v>1</v>
      </c>
      <c r="M22" s="1065">
        <f>Application!G720</f>
        <v>124</v>
      </c>
      <c r="N22" s="1071">
        <f>Application!AC720</f>
        <v>0.6</v>
      </c>
      <c r="O22" s="1071">
        <f>IF(Cdlac[[#This Row],[Quantity]]&gt;0,IF(Cdlac[[#This Row],[Federal]],30%,IF(AND(OR(NOT($G$38),$G$38=""),$G$43),40%,Cdlac[[#This Row],[iAMI]])),"")</f>
        <v>0.6</v>
      </c>
      <c r="P22" s="1065" cm="1">
        <f t="array" ref="P22">IF(Cdlac[[#This Row],[Quantity]]&gt;0,INDEX(TcacRents,$P$18,Cdlac[[#This Row],[Bedrooms]]+1)*Cdlac[[#This Row],[AMI]],"")</f>
        <v>1447.2</v>
      </c>
      <c r="Q22" s="1164"/>
      <c r="R22" s="1065" cm="1">
        <f t="array" ref="R22">IF(Cdlac[[#This Row],[Quantity]]&gt;0,INDEX(HudFmrs,$P$18,Cdlac[[#This Row],[Bedrooms]]+1),"")</f>
        <v>1777</v>
      </c>
      <c r="S22" s="1065">
        <f>IF(Cdlac[[#This Row],[Quantity]]&gt;0,MAX(0,Cdlac[[#This Row],[Fair Market Rent]]-IF(AND($G$37,$G$38,$G$38&lt;&gt;"",NOT(Cdlac[[#This Row],[Federal]]),Cdlac[[#This Row],[Preservation Rent]]&lt;&gt;""),Cdlac[[#This Row],[Preservation Rent]],Cdlac[[#This Row],[Restricted Rent]])),"")</f>
        <v>329.79999999999995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8"/>
      <c r="D23" s="2668"/>
      <c r="E23" s="2668"/>
      <c r="F23" s="2668"/>
      <c r="G23" s="2668"/>
      <c r="H23" s="1070"/>
      <c r="I23" s="1069"/>
      <c r="L23" s="1044">
        <f>IFERROR(MIN(4,MATCH(Application!B721,UnitSizes,0)-1),"")</f>
        <v>2</v>
      </c>
      <c r="M23" s="1065">
        <f>Application!G721</f>
        <v>8</v>
      </c>
      <c r="N23" s="1071">
        <f>Application!AC721</f>
        <v>0.3</v>
      </c>
      <c r="O23" s="1071">
        <f>IF(Cdlac[[#This Row],[Quantity]]&gt;0,IF(Cdlac[[#This Row],[Federal]],30%,IF(AND(OR(NOT($G$38),$G$38=""),$G$43),40%,Cdlac[[#This Row],[iAMI]])),"")</f>
        <v>0.3</v>
      </c>
      <c r="P23" s="1065" cm="1">
        <f t="array" ref="P23">IF(Cdlac[[#This Row],[Quantity]]&gt;0,INDEX(TcacRents,$P$18,Cdlac[[#This Row],[Bedrooms]]+1)*Cdlac[[#This Row],[AMI]],"")</f>
        <v>868.19999999999993</v>
      </c>
      <c r="Q23" s="1164"/>
      <c r="R23" s="1065" cm="1">
        <f t="array" ref="R23">IF(Cdlac[[#This Row],[Quantity]]&gt;0,INDEX(HudFmrs,$P$18,Cdlac[[#This Row],[Bedrooms]]+1),"")</f>
        <v>2206</v>
      </c>
      <c r="S23" s="1065">
        <f>IF(Cdlac[[#This Row],[Quantity]]&gt;0,MAX(0,Cdlac[[#This Row],[Fair Market Rent]]-IF(AND($G$37,$G$38,$G$38&lt;&gt;"",NOT(Cdlac[[#This Row],[Federal]]),Cdlac[[#This Row],[Preservation Rent]]&lt;&gt;""),Cdlac[[#This Row],[Preservation Rent]],Cdlac[[#This Row],[Restricted Rent]])),"")</f>
        <v>1337.8000000000002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17</v>
      </c>
      <c r="N24" s="1071">
        <f>Application!AC722</f>
        <v>0.5</v>
      </c>
      <c r="O24" s="1071">
        <f>IF(Cdlac[[#This Row],[Quantity]]&gt;0,IF(Cdlac[[#This Row],[Federal]],30%,IF(AND(OR(NOT($G$38),$G$38=""),$G$43),40%,Cdlac[[#This Row],[iAMI]])),"")</f>
        <v>0.5</v>
      </c>
      <c r="P24" s="1065" cm="1">
        <f t="array" ref="P24">IF(Cdlac[[#This Row],[Quantity]]&gt;0,INDEX(TcacRents,$P$18,Cdlac[[#This Row],[Bedrooms]]+1)*Cdlac[[#This Row],[AMI]],"")</f>
        <v>1447</v>
      </c>
      <c r="Q24" s="1164"/>
      <c r="R24" s="1065" cm="1">
        <f t="array" ref="R24">IF(Cdlac[[#This Row],[Quantity]]&gt;0,INDEX(HudFmrs,$P$18,Cdlac[[#This Row],[Bedrooms]]+1),"")</f>
        <v>2206</v>
      </c>
      <c r="S24" s="1065">
        <f>IF(Cdlac[[#This Row],[Quantity]]&gt;0,MAX(0,Cdlac[[#This Row],[Fair Market Rent]]-IF(AND($G$37,$G$38,$G$38&lt;&gt;"",NOT(Cdlac[[#This Row],[Federal]]),Cdlac[[#This Row],[Preservation Rent]]&lt;&gt;""),Cdlac[[#This Row],[Preservation Rent]],Cdlac[[#This Row],[Restricted Rent]])),"")</f>
        <v>759</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144</v>
      </c>
      <c r="F25" s="1072">
        <f>E25</f>
        <v>144</v>
      </c>
      <c r="G25" s="1072">
        <f>D25*F25</f>
        <v>144</v>
      </c>
      <c r="L25" s="1044">
        <f>IFERROR(MIN(4,MATCH(Application!B723,UnitSizes,0)-1),"")</f>
        <v>2</v>
      </c>
      <c r="M25" s="1065">
        <f>Application!G723</f>
        <v>51</v>
      </c>
      <c r="N25" s="1071">
        <f>Application!AC723</f>
        <v>0.6</v>
      </c>
      <c r="O25" s="1071">
        <f>IF(Cdlac[[#This Row],[Quantity]]&gt;0,IF(Cdlac[[#This Row],[Federal]],30%,IF(AND(OR(NOT($G$38),$G$38=""),$G$43),40%,Cdlac[[#This Row],[iAMI]])),"")</f>
        <v>0.6</v>
      </c>
      <c r="P25" s="1065" cm="1">
        <f t="array" ref="P25">IF(Cdlac[[#This Row],[Quantity]]&gt;0,INDEX(TcacRents,$P$18,Cdlac[[#This Row],[Bedrooms]]+1)*Cdlac[[#This Row],[AMI]],"")</f>
        <v>1736.3999999999999</v>
      </c>
      <c r="Q25" s="1164"/>
      <c r="R25" s="1065" cm="1">
        <f t="array" ref="R25">IF(Cdlac[[#This Row],[Quantity]]&gt;0,INDEX(HudFmrs,$P$18,Cdlac[[#This Row],[Bedrooms]]+1),"")</f>
        <v>2206</v>
      </c>
      <c r="S25" s="1065">
        <f>IF(Cdlac[[#This Row],[Quantity]]&gt;0,MAX(0,Cdlac[[#This Row],[Fair Market Rent]]-IF(AND($G$37,$G$38,$G$38&lt;&gt;"",NOT(Cdlac[[#This Row],[Federal]]),Cdlac[[#This Row],[Preservation Rent]]&lt;&gt;""),Cdlac[[#This Row],[Preservation Rent]],Cdlac[[#This Row],[Restricted Rent]])),"")</f>
        <v>469.60000000000014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76</v>
      </c>
      <c r="F26" s="1075">
        <f>SUM(E26:E28)-SUM(F27:F28)</f>
        <v>76</v>
      </c>
      <c r="G26" s="1072">
        <f>D26*F26</f>
        <v>95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1" t="s">
        <v>1586</v>
      </c>
      <c r="D29" s="2682"/>
      <c r="E29" s="1089">
        <f>SUM(E24:E28)</f>
        <v>220</v>
      </c>
      <c r="F29" s="1089">
        <f>SUM(F24:F28)</f>
        <v>220</v>
      </c>
      <c r="G29" s="1090">
        <f>SUMPRODUCT(D24:D28,F24:F28)</f>
        <v>239</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239</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11950000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0.5586363636363636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107106.20000000001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19279116.000000004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110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23</v>
      </c>
    </row>
    <row r="61" spans="2:21" ht="15" customHeight="1">
      <c r="E61" s="1117" t="s">
        <v>1994</v>
      </c>
      <c r="G61" s="1079">
        <f>ROUNDDOWN(E29*50%,0)</f>
        <v>110</v>
      </c>
    </row>
    <row r="62" spans="2:21" ht="15" customHeight="1">
      <c r="E62" s="1117"/>
      <c r="G62" s="1079"/>
    </row>
    <row r="63" spans="2:21" ht="15" customHeight="1">
      <c r="E63" s="1117" t="s">
        <v>1954</v>
      </c>
      <c r="G63" s="1114">
        <f>MIN(G60:G61)</f>
        <v>23</v>
      </c>
    </row>
    <row r="64" spans="2:21" ht="15" customHeight="1">
      <c r="E64" s="1117" t="s">
        <v>1944</v>
      </c>
      <c r="F64" s="1113" t="s">
        <v>1992</v>
      </c>
      <c r="G64" s="1124">
        <v>20000</v>
      </c>
    </row>
    <row r="65" spans="2:14" ht="15" customHeight="1">
      <c r="E65" s="1118" t="s">
        <v>1976</v>
      </c>
      <c r="F65" s="1046"/>
      <c r="G65" s="1123">
        <f>G63*G64</f>
        <v>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669</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Highest Resource</v>
      </c>
      <c r="L72" s="2654" t="s">
        <v>1969</v>
      </c>
      <c r="M72" s="2655"/>
      <c r="N72" s="1131">
        <v>30000</v>
      </c>
    </row>
    <row r="73" spans="2:14" ht="15" customHeight="1">
      <c r="C73" s="2656" t="s">
        <v>2261</v>
      </c>
      <c r="D73" s="2656"/>
      <c r="E73" s="2656"/>
      <c r="F73" s="2656"/>
      <c r="G73" s="1043" t="s">
        <v>669</v>
      </c>
      <c r="L73" s="2671" t="s">
        <v>1937</v>
      </c>
      <c r="M73" s="2672"/>
      <c r="N73" s="1132">
        <v>20000</v>
      </c>
    </row>
    <row r="74" spans="2:14" ht="15" customHeight="1" thickBot="1">
      <c r="C74" s="2656"/>
      <c r="D74" s="2656"/>
      <c r="E74" s="2656"/>
      <c r="F74" s="2656"/>
      <c r="L74" s="2646" t="s">
        <v>1970</v>
      </c>
      <c r="M74" s="2647"/>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239</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239</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239</v>
      </c>
    </row>
    <row r="97" spans="2:14" ht="15" customHeight="1">
      <c r="E97" s="1118" t="s">
        <v>1961</v>
      </c>
      <c r="F97" s="1046"/>
      <c r="G97" s="1123">
        <f>G94*G95*G96</f>
        <v>3824000</v>
      </c>
      <c r="L97" s="1127" t="str">
        <f>'Points System'!H638</f>
        <v>(i)</v>
      </c>
      <c r="M97" s="2652" t="s">
        <v>1405</v>
      </c>
      <c r="N97" s="2653"/>
    </row>
    <row r="98" spans="2:14" ht="15" customHeight="1">
      <c r="C98" s="1077"/>
      <c r="G98" s="1114"/>
      <c r="L98" s="1128" t="str">
        <f>'Points System'!H650</f>
        <v>N/A</v>
      </c>
      <c r="M98" s="2648" t="s">
        <v>1956</v>
      </c>
      <c r="N98" s="2649"/>
    </row>
    <row r="99" spans="2:14" ht="15" customHeight="1">
      <c r="E99" s="1084" t="s">
        <v>1997</v>
      </c>
      <c r="G99" s="1126">
        <f>COUNTIFS(L97:L104,"(i)")</f>
        <v>1</v>
      </c>
      <c r="L99" s="1128" t="str">
        <f>'Points System'!H685</f>
        <v>(ii)</v>
      </c>
      <c r="M99" s="2648" t="s">
        <v>1957</v>
      </c>
      <c r="N99" s="2649"/>
    </row>
    <row r="100" spans="2:14" ht="15" customHeight="1">
      <c r="E100" s="1084" t="s">
        <v>1944</v>
      </c>
      <c r="F100" s="1113" t="s">
        <v>1992</v>
      </c>
      <c r="G100" s="1124">
        <v>4000</v>
      </c>
      <c r="L100" s="1128" t="str">
        <f>IF(OR('Points System'!H709="(ii)",'Points System'!H709="(i)"),"(i)","N/A")</f>
        <v>N/A</v>
      </c>
      <c r="M100" s="2648" t="s">
        <v>1958</v>
      </c>
      <c r="N100" s="2649"/>
    </row>
    <row r="101" spans="2:14" ht="15" customHeight="1">
      <c r="E101" s="1118" t="s">
        <v>1962</v>
      </c>
      <c r="F101" s="1046"/>
      <c r="G101" s="1123">
        <f>G96*G99*G100</f>
        <v>956000</v>
      </c>
      <c r="L101" s="1129" t="str">
        <f>'Points System'!H723</f>
        <v>N/A</v>
      </c>
      <c r="M101" s="2648" t="s">
        <v>1431</v>
      </c>
      <c r="N101" s="2649"/>
    </row>
    <row r="102" spans="2:14" ht="15" customHeight="1">
      <c r="L102" s="1128" t="str">
        <f>'Points System'!H735</f>
        <v>N/A</v>
      </c>
      <c r="M102" s="2648" t="s">
        <v>1959</v>
      </c>
      <c r="N102" s="2649"/>
    </row>
    <row r="103" spans="2:14" ht="15" customHeight="1">
      <c r="C103" s="1080" t="s">
        <v>1964</v>
      </c>
      <c r="L103" s="1128" t="str">
        <f>'Points System'!H751</f>
        <v>N/A</v>
      </c>
      <c r="M103" s="2648" t="s">
        <v>1960</v>
      </c>
      <c r="N103" s="2649"/>
    </row>
    <row r="104" spans="2:14" ht="15" customHeight="1" thickBot="1">
      <c r="C104" s="1077" t="s">
        <v>1965</v>
      </c>
      <c r="G104" s="1043"/>
      <c r="L104" s="1130" t="str">
        <f>'Points System'!H763</f>
        <v>(ii)</v>
      </c>
      <c r="M104" s="2650" t="s">
        <v>1434</v>
      </c>
      <c r="N104" s="2651"/>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239</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2271</v>
      </c>
      <c r="G115" s="1123">
        <f>G113+G101+G97</f>
        <v>4780000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2226</v>
      </c>
      <c r="D119" s="2683"/>
      <c r="E119" s="2683"/>
      <c r="F119" s="2683"/>
    </row>
    <row r="120" spans="2:9" ht="15" customHeight="1">
      <c r="C120" s="2683"/>
      <c r="D120" s="2683"/>
      <c r="E120" s="2683"/>
      <c r="F120" s="2683"/>
      <c r="G120" s="1043"/>
    </row>
    <row r="121" spans="2:9" ht="15" customHeight="1"/>
    <row r="122" spans="2:9" ht="15" customHeight="1">
      <c r="C122" s="1044" t="s">
        <v>2228</v>
      </c>
      <c r="G122" s="2685"/>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Sacramento</v>
      </c>
    </row>
    <row r="129" spans="2:9">
      <c r="E129" s="1084"/>
      <c r="G129" s="1078"/>
    </row>
    <row r="130" spans="2:9">
      <c r="E130" s="1084" t="str">
        <f>"2-Bedroom "&amp;G128&amp;" County Basis Limit"</f>
        <v>2-Bedroom Sacramento County Basis Limit</v>
      </c>
      <c r="G130" s="1078">
        <f>Application!R988</f>
        <v>461600</v>
      </c>
    </row>
    <row r="131" spans="2:9">
      <c r="E131" s="1084" t="s">
        <v>2000</v>
      </c>
      <c r="G131" s="1078">
        <f>MEDIAN((Application!CU160:CU217))</f>
        <v>489600</v>
      </c>
    </row>
    <row r="132" spans="2:9" ht="15">
      <c r="D132" s="1046"/>
      <c r="E132" s="1118" t="s">
        <v>2002</v>
      </c>
      <c r="F132" s="1134"/>
      <c r="G132" s="1135">
        <f>((G130-G131)/G131)*0.25</f>
        <v>-1.4297385620915032E-2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1</v>
      </c>
    </row>
    <row r="138" spans="2:9">
      <c r="C138" s="2680" t="s">
        <v>2274</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2497668.75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909</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15</v>
      </c>
      <c r="C4" s="1162"/>
      <c r="D4" s="428">
        <f>Application!O718</f>
        <v>634</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c r="D5" s="428">
        <f>Application!O719</f>
        <v>1117</v>
      </c>
      <c r="E5" s="429"/>
      <c r="F5" s="1083"/>
      <c r="G5" s="428">
        <f t="shared" ref="G5:G38" si="2">F5*B5</f>
        <v>0</v>
      </c>
      <c r="H5" s="429"/>
      <c r="I5" s="428" t="str">
        <f t="shared" si="0"/>
        <v/>
      </c>
      <c r="J5" s="428" t="str">
        <f t="shared" si="1"/>
        <v/>
      </c>
      <c r="K5" s="204"/>
      <c r="L5" s="305"/>
    </row>
    <row r="6" spans="1:12">
      <c r="A6" s="428" t="str">
        <f>Application!B720</f>
        <v>1 Bedroom</v>
      </c>
      <c r="B6" s="1082">
        <f>Application!G720</f>
        <v>124</v>
      </c>
      <c r="C6" s="1162"/>
      <c r="D6" s="428">
        <f>Application!O720</f>
        <v>1358</v>
      </c>
      <c r="E6" s="429"/>
      <c r="F6" s="1083"/>
      <c r="G6" s="428">
        <f t="shared" si="2"/>
        <v>0</v>
      </c>
      <c r="H6" s="429"/>
      <c r="I6" s="428" t="str">
        <f t="shared" si="0"/>
        <v/>
      </c>
      <c r="J6" s="428" t="str">
        <f t="shared" si="1"/>
        <v/>
      </c>
      <c r="K6" s="204"/>
      <c r="L6" s="305"/>
    </row>
    <row r="7" spans="1:12">
      <c r="A7" s="428" t="str">
        <f>Application!B721</f>
        <v>2 Bedrooms</v>
      </c>
      <c r="B7" s="1082">
        <f>Application!G721</f>
        <v>8</v>
      </c>
      <c r="C7" s="1162"/>
      <c r="D7" s="428">
        <f>Application!O721</f>
        <v>754</v>
      </c>
      <c r="E7" s="429"/>
      <c r="F7" s="1083"/>
      <c r="G7" s="428">
        <f t="shared" si="2"/>
        <v>0</v>
      </c>
      <c r="H7" s="429"/>
      <c r="I7" s="428" t="str">
        <f t="shared" si="0"/>
        <v/>
      </c>
      <c r="J7" s="428" t="str">
        <f t="shared" si="1"/>
        <v/>
      </c>
      <c r="K7" s="204"/>
      <c r="L7" s="305"/>
    </row>
    <row r="8" spans="1:12">
      <c r="A8" s="428" t="str">
        <f>Application!B722</f>
        <v>2 Bedrooms</v>
      </c>
      <c r="B8" s="1082">
        <f>Application!G722</f>
        <v>17</v>
      </c>
      <c r="C8" s="1162"/>
      <c r="D8" s="428">
        <f>Application!O722</f>
        <v>1333</v>
      </c>
      <c r="E8" s="429"/>
      <c r="F8" s="1083"/>
      <c r="G8" s="428">
        <f t="shared" si="2"/>
        <v>0</v>
      </c>
      <c r="H8" s="429"/>
      <c r="I8" s="428" t="str">
        <f t="shared" si="0"/>
        <v/>
      </c>
      <c r="J8" s="428" t="str">
        <f t="shared" si="1"/>
        <v/>
      </c>
      <c r="K8" s="204"/>
      <c r="L8" s="305"/>
    </row>
    <row r="9" spans="1:12">
      <c r="A9" s="428" t="str">
        <f>Application!B723</f>
        <v>2 Bedrooms</v>
      </c>
      <c r="B9" s="1082">
        <f>Application!G723</f>
        <v>51</v>
      </c>
      <c r="C9" s="1162"/>
      <c r="D9" s="428">
        <f>Application!O723</f>
        <v>1623</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294953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8" t="s">
        <v>2495</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2257</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C38" workbookViewId="0">
      <selection activeCell="AH67" sqref="AH6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3578388</v>
      </c>
      <c r="G4" s="219">
        <f>E4*$C$4</f>
        <v>3667847.6999999997</v>
      </c>
      <c r="I4" s="219">
        <f>G4*$C$4</f>
        <v>3759543.8924999996</v>
      </c>
      <c r="K4" s="219">
        <f>I4*$C$4</f>
        <v>3853532.4898124994</v>
      </c>
      <c r="M4" s="219">
        <f>K4*$C$4</f>
        <v>3949870.8020578115</v>
      </c>
      <c r="O4" s="219">
        <f>M4*$C$4</f>
        <v>4048617.5721092564</v>
      </c>
      <c r="Q4" s="219">
        <f>O4*$C$4</f>
        <v>4149833.0114119872</v>
      </c>
      <c r="S4" s="219">
        <f>Q4*$C$4</f>
        <v>4253578.8366972869</v>
      </c>
      <c r="U4" s="219">
        <f>S4*$C$4</f>
        <v>4359918.3076147186</v>
      </c>
      <c r="W4" s="219">
        <f>U4*$C$4</f>
        <v>4468916.265305086</v>
      </c>
      <c r="Y4" s="219">
        <f>W4*$C$4</f>
        <v>4580639.1719377125</v>
      </c>
      <c r="AA4" s="219">
        <f>Y4*$C$4</f>
        <v>4695155.1512361551</v>
      </c>
      <c r="AC4" s="219">
        <f>AA4*$C$4</f>
        <v>4812534.0300170584</v>
      </c>
      <c r="AE4" s="219">
        <f>AC4*$C$4</f>
        <v>4932847.3807674842</v>
      </c>
      <c r="AG4" s="219">
        <f>AE4*$C$4</f>
        <v>5056168.5652866708</v>
      </c>
    </row>
    <row r="5" spans="1:34" s="210" customFormat="1" ht="14.25">
      <c r="B5" s="210" t="s">
        <v>838</v>
      </c>
      <c r="C5" s="238">
        <f>IF(Application!$D$211="Special Needs",(((0.1*Application!$T$212)+(0.05*(1-Application!$T$212)))),0.05)</f>
        <v>0.05</v>
      </c>
      <c r="E5" s="221">
        <f>-E4*$C$5</f>
        <v>-178919.40000000002</v>
      </c>
      <c r="F5" s="221"/>
      <c r="G5" s="221">
        <f>-G4*$C$5</f>
        <v>-183392.38500000001</v>
      </c>
      <c r="H5" s="221"/>
      <c r="I5" s="221">
        <f>-I4*$C$5</f>
        <v>-187977.194625</v>
      </c>
      <c r="J5" s="221"/>
      <c r="K5" s="221">
        <f>-K4*$C$5</f>
        <v>-192676.62449062499</v>
      </c>
      <c r="L5" s="221"/>
      <c r="M5" s="221">
        <f>-M4*$C$5</f>
        <v>-197493.54010289058</v>
      </c>
      <c r="N5" s="221"/>
      <c r="O5" s="221">
        <f>-O4*$C$5</f>
        <v>-202430.87860546284</v>
      </c>
      <c r="P5" s="221"/>
      <c r="Q5" s="221">
        <f>-Q4*$C$5</f>
        <v>-207491.65057059936</v>
      </c>
      <c r="R5" s="221"/>
      <c r="S5" s="221">
        <f>-S4*$C$5</f>
        <v>-212678.94183486435</v>
      </c>
      <c r="T5" s="221"/>
      <c r="U5" s="221">
        <f>-U4*$C$5</f>
        <v>-217995.91538073594</v>
      </c>
      <c r="V5" s="221"/>
      <c r="W5" s="221">
        <f>-W4*$C$5</f>
        <v>-223445.81326525431</v>
      </c>
      <c r="X5" s="221"/>
      <c r="Y5" s="221">
        <f>-Y4*$C$5</f>
        <v>-229031.95859688564</v>
      </c>
      <c r="Z5" s="221"/>
      <c r="AA5" s="221">
        <f>-AA4*$C$5</f>
        <v>-234757.75756180775</v>
      </c>
      <c r="AB5" s="221"/>
      <c r="AC5" s="221">
        <f>-AC4*$C$5</f>
        <v>-240626.70150085294</v>
      </c>
      <c r="AD5" s="221"/>
      <c r="AE5" s="221">
        <f>-AE4*$C$5</f>
        <v>-246642.36903837422</v>
      </c>
      <c r="AF5" s="221"/>
      <c r="AG5" s="221">
        <f>-AG4*$C$5</f>
        <v>-252808.42826433355</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49968</v>
      </c>
      <c r="F8" s="222"/>
      <c r="G8" s="222">
        <f>E8*$C$8</f>
        <v>51217.2</v>
      </c>
      <c r="H8" s="222"/>
      <c r="I8" s="222">
        <f>G8*$C$8</f>
        <v>52497.62999999999</v>
      </c>
      <c r="J8" s="222"/>
      <c r="K8" s="222">
        <f>I8*$C$8</f>
        <v>53810.070749999984</v>
      </c>
      <c r="L8" s="222"/>
      <c r="M8" s="222">
        <f>K8*$C$8</f>
        <v>55155.322518749977</v>
      </c>
      <c r="N8" s="222"/>
      <c r="O8" s="222">
        <f>M8*$C$8</f>
        <v>56534.205581718721</v>
      </c>
      <c r="P8" s="222"/>
      <c r="Q8" s="222">
        <f>O8*$C$8</f>
        <v>57947.560721261681</v>
      </c>
      <c r="R8" s="222"/>
      <c r="S8" s="222">
        <f>Q8*$C$8</f>
        <v>59396.24973929322</v>
      </c>
      <c r="T8" s="222"/>
      <c r="U8" s="222">
        <f>S8*$C$8</f>
        <v>60881.155982775548</v>
      </c>
      <c r="V8" s="222"/>
      <c r="W8" s="222">
        <f>U8*$C$8</f>
        <v>62403.184882344933</v>
      </c>
      <c r="X8" s="222"/>
      <c r="Y8" s="222">
        <f>W8*$C$8</f>
        <v>63963.264504403553</v>
      </c>
      <c r="Z8" s="222"/>
      <c r="AA8" s="222">
        <f>Y8*$C$8</f>
        <v>65562.346117013629</v>
      </c>
      <c r="AB8" s="222"/>
      <c r="AC8" s="222">
        <f>AA8*$C$8</f>
        <v>67201.404769938963</v>
      </c>
      <c r="AD8" s="222"/>
      <c r="AE8" s="222">
        <f>AC8*$C$8</f>
        <v>68881.43988918743</v>
      </c>
      <c r="AF8" s="222"/>
      <c r="AG8" s="222">
        <f>AE8*$C$8</f>
        <v>70603.475886417116</v>
      </c>
    </row>
    <row r="9" spans="1:34" s="210" customFormat="1" ht="14.25">
      <c r="B9" s="210" t="s">
        <v>838</v>
      </c>
      <c r="C9" s="238">
        <f>IF(Application!$D$211="Special Needs",(((0.1*Application!$T$212)+(0.05*(1-Application!$T$212)))),0.05)</f>
        <v>0.05</v>
      </c>
      <c r="E9" s="221">
        <f>-E8*$C$9</f>
        <v>-2498.4</v>
      </c>
      <c r="F9" s="221"/>
      <c r="G9" s="221">
        <f>-G8*$C$9</f>
        <v>-2560.86</v>
      </c>
      <c r="H9" s="221"/>
      <c r="I9" s="221">
        <f>-I8*$C$9</f>
        <v>-2624.8814999999995</v>
      </c>
      <c r="J9" s="221"/>
      <c r="K9" s="221">
        <f>-K8*$C$9</f>
        <v>-2690.5035374999993</v>
      </c>
      <c r="L9" s="221"/>
      <c r="M9" s="221">
        <f>-M8*$C$9</f>
        <v>-2757.7661259374991</v>
      </c>
      <c r="N9" s="221"/>
      <c r="O9" s="221">
        <f>-O8*$C$9</f>
        <v>-2826.7102790859362</v>
      </c>
      <c r="P9" s="221"/>
      <c r="Q9" s="221">
        <f>-Q8*$C$9</f>
        <v>-2897.3780360630844</v>
      </c>
      <c r="R9" s="221"/>
      <c r="S9" s="221">
        <f>-S8*$C$9</f>
        <v>-2969.8124869646613</v>
      </c>
      <c r="T9" s="221"/>
      <c r="U9" s="221">
        <f>-U8*$C$9</f>
        <v>-3044.0577991387777</v>
      </c>
      <c r="V9" s="221"/>
      <c r="W9" s="221">
        <f>-W8*$C$9</f>
        <v>-3120.159244117247</v>
      </c>
      <c r="X9" s="221"/>
      <c r="Y9" s="221">
        <f>-Y8*$C$9</f>
        <v>-3198.163225220178</v>
      </c>
      <c r="Z9" s="221"/>
      <c r="AA9" s="221">
        <f>-AA8*$C$9</f>
        <v>-3278.1173058506815</v>
      </c>
      <c r="AB9" s="221"/>
      <c r="AC9" s="221">
        <f>-AC8*$C$9</f>
        <v>-3360.0702384969481</v>
      </c>
      <c r="AD9" s="221"/>
      <c r="AE9" s="221">
        <f>-AE8*$C$9</f>
        <v>-3444.0719944593716</v>
      </c>
      <c r="AF9" s="221"/>
      <c r="AG9" s="221">
        <f>-AG8*$C$9</f>
        <v>-3530.1737943208559</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3446938.2</v>
      </c>
      <c r="G11" s="223">
        <f>SUM(G4:G10)</f>
        <v>3533111.6549999998</v>
      </c>
      <c r="I11" s="223">
        <f>SUM(I4:I10)</f>
        <v>3621439.4463749994</v>
      </c>
      <c r="K11" s="223">
        <f>SUM(K4:K10)</f>
        <v>3711975.4325343748</v>
      </c>
      <c r="M11" s="223">
        <f>SUM(M4:M10)</f>
        <v>3804774.8183477335</v>
      </c>
      <c r="O11" s="223">
        <f>SUM(O4:O10)</f>
        <v>3899894.1888064258</v>
      </c>
      <c r="Q11" s="223">
        <f>SUM(Q4:Q10)</f>
        <v>3997391.5435265866</v>
      </c>
      <c r="S11" s="223">
        <f>SUM(S4:S10)</f>
        <v>4097326.332114751</v>
      </c>
      <c r="U11" s="223">
        <f>SUM(U4:U10)</f>
        <v>4199759.4904176192</v>
      </c>
      <c r="W11" s="223">
        <f>SUM(W4:W10)</f>
        <v>4304753.4776780587</v>
      </c>
      <c r="Y11" s="223">
        <f>SUM(Y4:Y10)</f>
        <v>4412372.3146200106</v>
      </c>
      <c r="AA11" s="223">
        <f>SUM(AA4:AA10)</f>
        <v>4522681.622485511</v>
      </c>
      <c r="AC11" s="223">
        <f>SUM(AC4:AC10)</f>
        <v>4635748.663047648</v>
      </c>
      <c r="AE11" s="223">
        <f>SUM(AE4:AE10)</f>
        <v>4751642.3796238378</v>
      </c>
      <c r="AG11" s="223">
        <f>SUM(AG4:AG10)</f>
        <v>4870433.4391144337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42940</v>
      </c>
      <c r="G15" s="219">
        <f>E15*$C$14</f>
        <v>44442.899999999994</v>
      </c>
      <c r="I15" s="219">
        <f>G15*$C$14</f>
        <v>45998.401499999993</v>
      </c>
      <c r="K15" s="219">
        <f>I15*$C$14</f>
        <v>47608.345552499988</v>
      </c>
      <c r="M15" s="219">
        <f>K15*$C$14</f>
        <v>49274.637646837487</v>
      </c>
      <c r="O15" s="219">
        <f>M15*$C$14</f>
        <v>50999.249964476796</v>
      </c>
      <c r="Q15" s="219">
        <f>O15*$C$14</f>
        <v>52784.223713233478</v>
      </c>
      <c r="S15" s="219">
        <f>Q15*$C$14</f>
        <v>54631.671543196644</v>
      </c>
      <c r="U15" s="219">
        <f>S15*$C$14</f>
        <v>56543.780047208522</v>
      </c>
      <c r="W15" s="219">
        <f>U15*$C$14</f>
        <v>58522.812348860818</v>
      </c>
      <c r="Y15" s="219">
        <f>W15*$C$14</f>
        <v>60571.110781070944</v>
      </c>
      <c r="AA15" s="219">
        <f>Y15*$C$14</f>
        <v>62691.099658408421</v>
      </c>
      <c r="AC15" s="219">
        <f>AA15*$C$14</f>
        <v>64885.288146452709</v>
      </c>
      <c r="AE15" s="219">
        <f>AC15*$C$14</f>
        <v>67156.273231578554</v>
      </c>
      <c r="AG15" s="219">
        <f>AE15*$C$14</f>
        <v>69506.7427946838</v>
      </c>
    </row>
    <row r="16" spans="1:34" s="210" customFormat="1" ht="14.25">
      <c r="A16" s="210" t="s">
        <v>344</v>
      </c>
      <c r="C16" s="233"/>
      <c r="E16" s="222">
        <f>Application!W849</f>
        <v>103408</v>
      </c>
      <c r="F16" s="222"/>
      <c r="G16" s="222">
        <f t="shared" ref="G16:AG21" si="0">E16*$C$14</f>
        <v>107027.28</v>
      </c>
      <c r="H16" s="222"/>
      <c r="I16" s="222">
        <f t="shared" si="0"/>
        <v>110773.23479999999</v>
      </c>
      <c r="J16" s="222"/>
      <c r="K16" s="222">
        <f t="shared" si="0"/>
        <v>114650.29801799999</v>
      </c>
      <c r="L16" s="222"/>
      <c r="M16" s="222">
        <f t="shared" si="0"/>
        <v>118663.05844862998</v>
      </c>
      <c r="N16" s="222"/>
      <c r="O16" s="222">
        <f t="shared" si="0"/>
        <v>122816.26549433202</v>
      </c>
      <c r="P16" s="222"/>
      <c r="Q16" s="222">
        <f t="shared" si="0"/>
        <v>127114.83478663364</v>
      </c>
      <c r="R16" s="222"/>
      <c r="S16" s="222">
        <f t="shared" si="0"/>
        <v>131563.8540041658</v>
      </c>
      <c r="T16" s="222"/>
      <c r="U16" s="222">
        <f t="shared" si="0"/>
        <v>136168.5888943116</v>
      </c>
      <c r="V16" s="222"/>
      <c r="W16" s="222">
        <f t="shared" si="0"/>
        <v>140934.4895056125</v>
      </c>
      <c r="X16" s="222"/>
      <c r="Y16" s="222">
        <f t="shared" si="0"/>
        <v>145867.19663830893</v>
      </c>
      <c r="Z16" s="222"/>
      <c r="AA16" s="222">
        <f t="shared" si="0"/>
        <v>150972.54852064973</v>
      </c>
      <c r="AB16" s="222"/>
      <c r="AC16" s="222">
        <f t="shared" si="0"/>
        <v>156256.58771887244</v>
      </c>
      <c r="AD16" s="222"/>
      <c r="AE16" s="222">
        <f t="shared" si="0"/>
        <v>161725.56828903296</v>
      </c>
      <c r="AF16" s="222"/>
      <c r="AG16" s="222">
        <f t="shared" si="0"/>
        <v>167385.96317914911</v>
      </c>
    </row>
    <row r="17" spans="1:33" s="210" customFormat="1" ht="14.25">
      <c r="A17" s="210" t="s">
        <v>561</v>
      </c>
      <c r="C17" s="233"/>
      <c r="E17" s="222">
        <f>Application!W855</f>
        <v>235000</v>
      </c>
      <c r="F17" s="222"/>
      <c r="G17" s="222">
        <f t="shared" si="0"/>
        <v>243224.99999999997</v>
      </c>
      <c r="H17" s="222"/>
      <c r="I17" s="222">
        <f t="shared" si="0"/>
        <v>251737.87499999994</v>
      </c>
      <c r="J17" s="222"/>
      <c r="K17" s="222">
        <f t="shared" si="0"/>
        <v>260548.70062499991</v>
      </c>
      <c r="L17" s="222"/>
      <c r="M17" s="222">
        <f t="shared" si="0"/>
        <v>269667.90514687489</v>
      </c>
      <c r="N17" s="222"/>
      <c r="O17" s="222">
        <f t="shared" si="0"/>
        <v>279106.28182701551</v>
      </c>
      <c r="P17" s="222"/>
      <c r="Q17" s="222">
        <f t="shared" si="0"/>
        <v>288875.00169096101</v>
      </c>
      <c r="R17" s="222"/>
      <c r="S17" s="222">
        <f t="shared" si="0"/>
        <v>298985.62675014464</v>
      </c>
      <c r="T17" s="222"/>
      <c r="U17" s="222">
        <f t="shared" si="0"/>
        <v>309450.12368639966</v>
      </c>
      <c r="V17" s="222"/>
      <c r="W17" s="222">
        <f t="shared" si="0"/>
        <v>320280.8780154236</v>
      </c>
      <c r="X17" s="222"/>
      <c r="Y17" s="222">
        <f t="shared" si="0"/>
        <v>331490.70874596341</v>
      </c>
      <c r="Z17" s="222"/>
      <c r="AA17" s="222">
        <f t="shared" si="0"/>
        <v>343092.8835520721</v>
      </c>
      <c r="AB17" s="222"/>
      <c r="AC17" s="222">
        <f t="shared" si="0"/>
        <v>355101.13447639463</v>
      </c>
      <c r="AD17" s="222"/>
      <c r="AE17" s="222">
        <f t="shared" si="0"/>
        <v>367529.67418306839</v>
      </c>
      <c r="AF17" s="222"/>
      <c r="AG17" s="222">
        <f t="shared" si="0"/>
        <v>380393.21277947573</v>
      </c>
    </row>
    <row r="18" spans="1:33" s="210" customFormat="1" ht="14.25">
      <c r="A18" s="210" t="s">
        <v>842</v>
      </c>
      <c r="C18" s="233"/>
      <c r="E18" s="222">
        <f>Application!W862</f>
        <v>313000</v>
      </c>
      <c r="F18" s="222"/>
      <c r="G18" s="222">
        <f t="shared" si="0"/>
        <v>323955</v>
      </c>
      <c r="H18" s="222"/>
      <c r="I18" s="222">
        <f t="shared" si="0"/>
        <v>335293.42499999999</v>
      </c>
      <c r="J18" s="222"/>
      <c r="K18" s="222">
        <f t="shared" si="0"/>
        <v>347028.69487499999</v>
      </c>
      <c r="L18" s="222"/>
      <c r="M18" s="222">
        <f t="shared" si="0"/>
        <v>359174.69919562497</v>
      </c>
      <c r="N18" s="222"/>
      <c r="O18" s="222">
        <f t="shared" si="0"/>
        <v>371745.81366747181</v>
      </c>
      <c r="P18" s="222"/>
      <c r="Q18" s="222">
        <f t="shared" si="0"/>
        <v>384756.91714583331</v>
      </c>
      <c r="R18" s="222"/>
      <c r="S18" s="222">
        <f t="shared" si="0"/>
        <v>398223.40924593742</v>
      </c>
      <c r="T18" s="222"/>
      <c r="U18" s="222">
        <f t="shared" si="0"/>
        <v>412161.2285695452</v>
      </c>
      <c r="V18" s="222"/>
      <c r="W18" s="222">
        <f t="shared" si="0"/>
        <v>426586.87156947923</v>
      </c>
      <c r="X18" s="222"/>
      <c r="Y18" s="222">
        <f t="shared" si="0"/>
        <v>441517.412074411</v>
      </c>
      <c r="Z18" s="222"/>
      <c r="AA18" s="222">
        <f t="shared" si="0"/>
        <v>456970.52149701532</v>
      </c>
      <c r="AB18" s="222"/>
      <c r="AC18" s="222">
        <f t="shared" si="0"/>
        <v>472964.48974941083</v>
      </c>
      <c r="AD18" s="222"/>
      <c r="AE18" s="222">
        <f t="shared" si="0"/>
        <v>489518.24689064018</v>
      </c>
      <c r="AF18" s="222"/>
      <c r="AG18" s="222">
        <f t="shared" si="0"/>
        <v>506651.38553181256</v>
      </c>
    </row>
    <row r="19" spans="1:33" s="210" customFormat="1" ht="14.25">
      <c r="A19" s="210" t="s">
        <v>155</v>
      </c>
      <c r="C19" s="233"/>
      <c r="E19" s="222">
        <f>Application!W863</f>
        <v>117000</v>
      </c>
      <c r="F19" s="222"/>
      <c r="G19" s="222">
        <f t="shared" si="0"/>
        <v>121094.99999999999</v>
      </c>
      <c r="H19" s="222"/>
      <c r="I19" s="222">
        <f t="shared" si="0"/>
        <v>125333.32499999998</v>
      </c>
      <c r="J19" s="222"/>
      <c r="K19" s="222">
        <f t="shared" si="0"/>
        <v>129719.99137499997</v>
      </c>
      <c r="L19" s="222"/>
      <c r="M19" s="222">
        <f t="shared" si="0"/>
        <v>134260.19107312497</v>
      </c>
      <c r="N19" s="222"/>
      <c r="O19" s="222">
        <f t="shared" si="0"/>
        <v>138959.29776068433</v>
      </c>
      <c r="P19" s="222"/>
      <c r="Q19" s="222">
        <f t="shared" si="0"/>
        <v>143822.87318230828</v>
      </c>
      <c r="R19" s="222"/>
      <c r="S19" s="222">
        <f t="shared" si="0"/>
        <v>148856.67374368905</v>
      </c>
      <c r="T19" s="222"/>
      <c r="U19" s="222">
        <f t="shared" si="0"/>
        <v>154066.65732471817</v>
      </c>
      <c r="V19" s="222"/>
      <c r="W19" s="222">
        <f t="shared" si="0"/>
        <v>159458.9903310833</v>
      </c>
      <c r="X19" s="222"/>
      <c r="Y19" s="222">
        <f t="shared" si="0"/>
        <v>165040.05499267121</v>
      </c>
      <c r="Z19" s="222"/>
      <c r="AA19" s="222">
        <f t="shared" si="0"/>
        <v>170816.4569174147</v>
      </c>
      <c r="AB19" s="222"/>
      <c r="AC19" s="222">
        <f t="shared" si="0"/>
        <v>176795.03290952419</v>
      </c>
      <c r="AD19" s="222"/>
      <c r="AE19" s="222">
        <f t="shared" si="0"/>
        <v>182982.85906135754</v>
      </c>
      <c r="AF19" s="222"/>
      <c r="AG19" s="222">
        <f t="shared" si="0"/>
        <v>189387.25912850504</v>
      </c>
    </row>
    <row r="20" spans="1:33" s="210" customFormat="1" ht="14.25">
      <c r="A20" s="210" t="s">
        <v>390</v>
      </c>
      <c r="C20" s="233"/>
      <c r="E20" s="222">
        <f>Application!W872</f>
        <v>154000</v>
      </c>
      <c r="F20" s="222"/>
      <c r="G20" s="222">
        <f t="shared" si="0"/>
        <v>159390</v>
      </c>
      <c r="H20" s="222"/>
      <c r="I20" s="222">
        <f t="shared" si="0"/>
        <v>164968.65</v>
      </c>
      <c r="J20" s="222"/>
      <c r="K20" s="222">
        <f t="shared" si="0"/>
        <v>170742.55274999997</v>
      </c>
      <c r="L20" s="222"/>
      <c r="M20" s="222">
        <f t="shared" si="0"/>
        <v>176718.54209624996</v>
      </c>
      <c r="N20" s="222"/>
      <c r="O20" s="222">
        <f t="shared" si="0"/>
        <v>182903.69106961871</v>
      </c>
      <c r="P20" s="222"/>
      <c r="Q20" s="222">
        <f t="shared" si="0"/>
        <v>189305.32025705534</v>
      </c>
      <c r="R20" s="222"/>
      <c r="S20" s="222">
        <f t="shared" si="0"/>
        <v>195931.00646605226</v>
      </c>
      <c r="T20" s="222"/>
      <c r="U20" s="222">
        <f t="shared" si="0"/>
        <v>202788.59169236408</v>
      </c>
      <c r="V20" s="222"/>
      <c r="W20" s="222">
        <f t="shared" si="0"/>
        <v>209886.19240159681</v>
      </c>
      <c r="X20" s="222"/>
      <c r="Y20" s="222">
        <f t="shared" si="0"/>
        <v>217232.20913565269</v>
      </c>
      <c r="Z20" s="222"/>
      <c r="AA20" s="222">
        <f t="shared" si="0"/>
        <v>224835.33645540051</v>
      </c>
      <c r="AB20" s="222"/>
      <c r="AC20" s="222">
        <f t="shared" si="0"/>
        <v>232704.57323133951</v>
      </c>
      <c r="AD20" s="222"/>
      <c r="AE20" s="222">
        <f t="shared" si="0"/>
        <v>240849.23329443639</v>
      </c>
      <c r="AF20" s="222"/>
      <c r="AG20" s="222">
        <f t="shared" si="0"/>
        <v>249278.95645974163</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965348</v>
      </c>
      <c r="G22" s="223">
        <f>SUM(G15:G21)</f>
        <v>999135.17999999993</v>
      </c>
      <c r="I22" s="223">
        <f>SUM(I15:I21)</f>
        <v>1034104.9112999999</v>
      </c>
      <c r="K22" s="223">
        <f>SUM(K15:K21)</f>
        <v>1070298.5831954998</v>
      </c>
      <c r="M22" s="223">
        <f>SUM(M15:M21)</f>
        <v>1107759.0336073423</v>
      </c>
      <c r="O22" s="223">
        <f>SUM(O15:O21)</f>
        <v>1146530.5997835991</v>
      </c>
      <c r="Q22" s="223">
        <f>SUM(Q15:Q21)</f>
        <v>1186659.1707760249</v>
      </c>
      <c r="S22" s="223">
        <f>SUM(S15:S21)</f>
        <v>1228192.2417531859</v>
      </c>
      <c r="U22" s="223">
        <f>SUM(U15:U21)</f>
        <v>1271178.9702145471</v>
      </c>
      <c r="W22" s="223">
        <f>SUM(W15:W21)</f>
        <v>1315670.2341720562</v>
      </c>
      <c r="Y22" s="223">
        <f>SUM(Y15:Y21)</f>
        <v>1361718.6923680783</v>
      </c>
      <c r="AA22" s="223">
        <f>SUM(AA15:AA21)</f>
        <v>1409378.8466009609</v>
      </c>
      <c r="AC22" s="223">
        <f>SUM(AC15:AC21)</f>
        <v>1458707.1062319942</v>
      </c>
      <c r="AE22" s="223">
        <f>SUM(AE15:AE21)</f>
        <v>1509761.8549501142</v>
      </c>
      <c r="AG22" s="223">
        <f>SUM(AG15:AG21)</f>
        <v>1562603.5198733679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28260</v>
      </c>
      <c r="F27" s="222"/>
      <c r="G27" s="222">
        <f>E27*$C$27</f>
        <v>29249.1</v>
      </c>
      <c r="H27" s="222"/>
      <c r="I27" s="222">
        <f>G27*$C$27</f>
        <v>30272.818499999998</v>
      </c>
      <c r="J27" s="222"/>
      <c r="K27" s="222">
        <f>I27*$C$27</f>
        <v>31332.367147499994</v>
      </c>
      <c r="L27" s="222"/>
      <c r="M27" s="222">
        <f>K27*$C$27</f>
        <v>32428.999997662489</v>
      </c>
      <c r="N27" s="222"/>
      <c r="O27" s="222">
        <f>M27*$C$27</f>
        <v>33564.014997580671</v>
      </c>
      <c r="P27" s="222"/>
      <c r="Q27" s="222">
        <f>O27*$C$27</f>
        <v>34738.755522495994</v>
      </c>
      <c r="R27" s="222"/>
      <c r="S27" s="222">
        <f>Q27*$C$27</f>
        <v>35954.611965783348</v>
      </c>
      <c r="T27" s="222"/>
      <c r="U27" s="222">
        <f>S27*$C$27</f>
        <v>37213.023384585766</v>
      </c>
      <c r="V27" s="222"/>
      <c r="W27" s="222">
        <f>U27*$C$27</f>
        <v>38515.479203046263</v>
      </c>
      <c r="X27" s="222"/>
      <c r="Y27" s="222">
        <f>W27*$C$27</f>
        <v>39863.520975152882</v>
      </c>
      <c r="Z27" s="222"/>
      <c r="AA27" s="222">
        <f>Y27*$C$27</f>
        <v>41258.744209283228</v>
      </c>
      <c r="AB27" s="222"/>
      <c r="AC27" s="222">
        <f>AA27*$C$27</f>
        <v>42702.800256608134</v>
      </c>
      <c r="AD27" s="222"/>
      <c r="AE27" s="222">
        <f>AC27*$C$27</f>
        <v>44197.398265589414</v>
      </c>
      <c r="AF27" s="222"/>
      <c r="AG27" s="222">
        <f>AE27*$C$27</f>
        <v>45744.307204885037</v>
      </c>
    </row>
    <row r="28" spans="1:33" s="210" customFormat="1" ht="14.25">
      <c r="A28" s="210" t="s">
        <v>846</v>
      </c>
      <c r="C28" s="237"/>
      <c r="E28" s="222">
        <f>Application!AC889</f>
        <v>66600</v>
      </c>
      <c r="F28" s="222"/>
      <c r="G28" s="222">
        <f>$E$28</f>
        <v>66600</v>
      </c>
      <c r="H28" s="222"/>
      <c r="I28" s="222">
        <f>$E$28</f>
        <v>66600</v>
      </c>
      <c r="J28" s="222"/>
      <c r="K28" s="222">
        <f>$E$28</f>
        <v>66600</v>
      </c>
      <c r="L28" s="222"/>
      <c r="M28" s="222">
        <f>$E$28</f>
        <v>66600</v>
      </c>
      <c r="N28" s="222"/>
      <c r="O28" s="222">
        <f>$E$28</f>
        <v>66600</v>
      </c>
      <c r="P28" s="222"/>
      <c r="Q28" s="222">
        <f>$E$28</f>
        <v>66600</v>
      </c>
      <c r="R28" s="222"/>
      <c r="S28" s="222">
        <f>$E$28</f>
        <v>66600</v>
      </c>
      <c r="T28" s="222"/>
      <c r="U28" s="222">
        <f>$E$28</f>
        <v>66600</v>
      </c>
      <c r="V28" s="222"/>
      <c r="W28" s="222">
        <f>$E$28</f>
        <v>66600</v>
      </c>
      <c r="X28" s="222"/>
      <c r="Y28" s="222">
        <f>$E$28</f>
        <v>66600</v>
      </c>
      <c r="Z28" s="222"/>
      <c r="AA28" s="222">
        <f>$E$28</f>
        <v>66600</v>
      </c>
      <c r="AB28" s="222"/>
      <c r="AC28" s="222">
        <f>$E$28</f>
        <v>66600</v>
      </c>
      <c r="AD28" s="222"/>
      <c r="AE28" s="222">
        <f>$E$28</f>
        <v>66600</v>
      </c>
      <c r="AF28" s="222"/>
      <c r="AG28" s="222">
        <f>$E$28</f>
        <v>66600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245000</v>
      </c>
      <c r="F30" s="222"/>
      <c r="G30" s="222">
        <f>E30*$C$30</f>
        <v>249900</v>
      </c>
      <c r="H30" s="222"/>
      <c r="I30" s="222">
        <f>G30*$C$30</f>
        <v>254898</v>
      </c>
      <c r="J30" s="222"/>
      <c r="K30" s="222">
        <f>I30*$C$30</f>
        <v>259995.96</v>
      </c>
      <c r="L30" s="222"/>
      <c r="M30" s="222">
        <f>K30*$C$30</f>
        <v>265195.87920000002</v>
      </c>
      <c r="N30" s="222"/>
      <c r="O30" s="222">
        <f>M30*$C$30</f>
        <v>270499.79678400001</v>
      </c>
      <c r="P30" s="222"/>
      <c r="Q30" s="222">
        <f>O30*$C$30</f>
        <v>275909.79271968</v>
      </c>
      <c r="R30" s="222"/>
      <c r="S30" s="222">
        <f>Q30*$C$30</f>
        <v>281427.98857407359</v>
      </c>
      <c r="T30" s="222"/>
      <c r="U30" s="222">
        <f>S30*$C$30</f>
        <v>287056.54834555509</v>
      </c>
      <c r="V30" s="222"/>
      <c r="W30" s="222">
        <f>U30*$C$30</f>
        <v>292797.67931246618</v>
      </c>
      <c r="X30" s="222"/>
      <c r="Y30" s="222">
        <f>W30*$C$30</f>
        <v>298653.6328987155</v>
      </c>
      <c r="Z30" s="222"/>
      <c r="AA30" s="222">
        <f>Y30*$C$30</f>
        <v>304626.70555668982</v>
      </c>
      <c r="AB30" s="222"/>
      <c r="AC30" s="222">
        <f>AA30*$C$30</f>
        <v>310719.2396678236</v>
      </c>
      <c r="AD30" s="222"/>
      <c r="AE30" s="222">
        <f>AC30*$C$30</f>
        <v>316933.62446118006</v>
      </c>
      <c r="AF30" s="222"/>
      <c r="AG30" s="222">
        <f>AE30*$C$30</f>
        <v>323272.29695040366</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1305208</v>
      </c>
      <c r="G35" s="223">
        <f>SUM(G22:G33)</f>
        <v>1344884.2799999998</v>
      </c>
      <c r="I35" s="223">
        <f>SUM(I22:I33)</f>
        <v>1385875.7297999999</v>
      </c>
      <c r="K35" s="223">
        <f>SUM(K22:K33)</f>
        <v>1428226.9103429997</v>
      </c>
      <c r="M35" s="223">
        <f>SUM(M22:M33)</f>
        <v>1471983.9128050047</v>
      </c>
      <c r="O35" s="223">
        <f>SUM(O22:O33)</f>
        <v>1517194.4115651799</v>
      </c>
      <c r="Q35" s="223">
        <f>SUM(Q22:Q33)</f>
        <v>1563907.7190182009</v>
      </c>
      <c r="S35" s="223">
        <f>SUM(S22:S33)</f>
        <v>1612174.8422930429</v>
      </c>
      <c r="U35" s="223">
        <f>SUM(U22:U33)</f>
        <v>1662048.541944688</v>
      </c>
      <c r="W35" s="223">
        <f>SUM(W22:W33)</f>
        <v>1713583.3926875687</v>
      </c>
      <c r="Y35" s="223">
        <f>SUM(Y22:Y33)</f>
        <v>1766835.8462419468</v>
      </c>
      <c r="AA35" s="223">
        <f>SUM(AA22:AA33)</f>
        <v>1821864.296366934</v>
      </c>
      <c r="AC35" s="223">
        <f>SUM(AC22:AC33)</f>
        <v>1878729.1461564258</v>
      </c>
      <c r="AE35" s="223">
        <f>SUM(AE22:AE33)</f>
        <v>1937492.8776768837</v>
      </c>
      <c r="AG35" s="223">
        <f>SUM(AG22:AG33)</f>
        <v>1998220.1240286564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2141730.2000000002</v>
      </c>
      <c r="G37" s="223">
        <f>G11-G35</f>
        <v>2188227.375</v>
      </c>
      <c r="I37" s="223">
        <f>I11-I35</f>
        <v>2235563.7165749995</v>
      </c>
      <c r="K37" s="223">
        <f>K11-K35</f>
        <v>2283748.522191375</v>
      </c>
      <c r="M37" s="223">
        <f>M11-M35</f>
        <v>2332790.9055427285</v>
      </c>
      <c r="O37" s="223">
        <f>O11-O35</f>
        <v>2382699.7772412458</v>
      </c>
      <c r="Q37" s="223">
        <f>Q11-Q35</f>
        <v>2433483.8245083857</v>
      </c>
      <c r="S37" s="223">
        <f>S11-S35</f>
        <v>2485151.4898217078</v>
      </c>
      <c r="U37" s="223">
        <f>U11-U35</f>
        <v>2537710.948472931</v>
      </c>
      <c r="W37" s="223">
        <f>W11-W35</f>
        <v>2591170.0849904902</v>
      </c>
      <c r="Y37" s="223">
        <f>Y11-Y35</f>
        <v>2645536.4683780638</v>
      </c>
      <c r="AA37" s="223">
        <f>AA11-AA35</f>
        <v>2700817.3261185773</v>
      </c>
      <c r="AC37" s="223">
        <f>AC11-AC35</f>
        <v>2757019.5168912224</v>
      </c>
      <c r="AE37" s="223">
        <f>AE11-AE35</f>
        <v>2814149.5019469541</v>
      </c>
      <c r="AG37" s="223">
        <f>AG11-AG35</f>
        <v>2872213.3150857771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 xml:space="preserve">Citibank, N.A </v>
      </c>
      <c r="B40" s="226"/>
      <c r="C40" s="220"/>
      <c r="E40" s="222">
        <f>Application!AF627</f>
        <v>1862374</v>
      </c>
      <c r="F40" s="222"/>
      <c r="G40" s="222">
        <f>$E$40</f>
        <v>1862374</v>
      </c>
      <c r="H40" s="222"/>
      <c r="I40" s="222">
        <f>$E$40</f>
        <v>1862374</v>
      </c>
      <c r="J40" s="222"/>
      <c r="K40" s="222">
        <f>$E$40</f>
        <v>1862374</v>
      </c>
      <c r="L40" s="222"/>
      <c r="M40" s="222">
        <f>$E$40</f>
        <v>1862374</v>
      </c>
      <c r="N40" s="222"/>
      <c r="O40" s="222">
        <f>$E$40</f>
        <v>1862374</v>
      </c>
      <c r="P40" s="222"/>
      <c r="Q40" s="222">
        <f>$E$40</f>
        <v>1862374</v>
      </c>
      <c r="R40" s="222"/>
      <c r="S40" s="222">
        <f>$E$40</f>
        <v>1862374</v>
      </c>
      <c r="T40" s="222"/>
      <c r="U40" s="222">
        <f>$E$40</f>
        <v>1862374</v>
      </c>
      <c r="V40" s="222"/>
      <c r="W40" s="222">
        <f>$E$40</f>
        <v>1862374</v>
      </c>
      <c r="X40" s="222"/>
      <c r="Y40" s="222">
        <f>$E$40</f>
        <v>1862374</v>
      </c>
      <c r="Z40" s="222"/>
      <c r="AA40" s="222">
        <f>$E$40</f>
        <v>1862374</v>
      </c>
      <c r="AB40" s="222"/>
      <c r="AC40" s="222">
        <f>$E$40</f>
        <v>1862374</v>
      </c>
      <c r="AD40" s="222"/>
      <c r="AE40" s="222">
        <f>$E$40</f>
        <v>1862374</v>
      </c>
      <c r="AF40" s="222"/>
      <c r="AG40" s="222">
        <f>$E$40</f>
        <v>1862374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1862374</v>
      </c>
      <c r="G43" s="223">
        <f>SUM(G40:G42)</f>
        <v>1862374</v>
      </c>
      <c r="I43" s="223">
        <f>SUM(I40:I42)</f>
        <v>1862374</v>
      </c>
      <c r="K43" s="223">
        <f>SUM(K40:K42)</f>
        <v>1862374</v>
      </c>
      <c r="M43" s="223">
        <f>SUM(M40:M42)</f>
        <v>1862374</v>
      </c>
      <c r="O43" s="223">
        <f>SUM(O40:O42)</f>
        <v>1862374</v>
      </c>
      <c r="Q43" s="223">
        <f>SUM(Q40:Q42)</f>
        <v>1862374</v>
      </c>
      <c r="S43" s="223">
        <f>SUM(S40:S42)</f>
        <v>1862374</v>
      </c>
      <c r="U43" s="223">
        <f>SUM(U40:U42)</f>
        <v>1862374</v>
      </c>
      <c r="W43" s="223">
        <f>SUM(W40:W42)</f>
        <v>1862374</v>
      </c>
      <c r="Y43" s="223">
        <f>SUM(Y40:Y42)</f>
        <v>1862374</v>
      </c>
      <c r="AA43" s="223">
        <f>SUM(AA40:AA42)</f>
        <v>1862374</v>
      </c>
      <c r="AC43" s="223">
        <f>SUM(AC40:AC42)</f>
        <v>1862374</v>
      </c>
      <c r="AE43" s="223">
        <f>SUM(AE40:AE42)</f>
        <v>1862374</v>
      </c>
      <c r="AG43" s="223">
        <f>SUM(AG40:AG42)</f>
        <v>1862374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279356.20000000019</v>
      </c>
      <c r="G45" s="223">
        <f>G37-G43</f>
        <v>325853.375</v>
      </c>
      <c r="I45" s="223">
        <f>I37-I43</f>
        <v>373189.7165749995</v>
      </c>
      <c r="K45" s="223">
        <f>K37-K43</f>
        <v>421374.52219137503</v>
      </c>
      <c r="M45" s="223">
        <f>M37-M43</f>
        <v>470416.90554272849</v>
      </c>
      <c r="O45" s="223">
        <f>O37-O43</f>
        <v>520325.77724124584</v>
      </c>
      <c r="Q45" s="223">
        <f>Q37-Q43</f>
        <v>571109.82450838573</v>
      </c>
      <c r="S45" s="223">
        <f>S37-S43</f>
        <v>622777.48982170783</v>
      </c>
      <c r="U45" s="223">
        <f>U37-U43</f>
        <v>675336.94847293105</v>
      </c>
      <c r="W45" s="223">
        <f>W37-W43</f>
        <v>728796.08499049023</v>
      </c>
      <c r="Y45" s="223">
        <f>Y37-Y43</f>
        <v>783162.46837806376</v>
      </c>
      <c r="AA45" s="223">
        <f>AA37-AA43</f>
        <v>838443.32611857727</v>
      </c>
      <c r="AC45" s="223">
        <f>AC37-AC43</f>
        <v>894645.51689122245</v>
      </c>
      <c r="AE45" s="223">
        <f>AE37-AE43</f>
        <v>951775.50194695406</v>
      </c>
      <c r="AG45" s="223">
        <f>AG37-AG43</f>
        <v>1009839.3150857771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7.6992500184656684E-2</v>
      </c>
      <c r="G47" s="227">
        <f>G45/(G4+G6+G8)</f>
        <v>8.7617017654088261E-2</v>
      </c>
      <c r="I47" s="227">
        <f>I45/(I4+I6+I8)</f>
        <v>9.7897600110676539E-2</v>
      </c>
      <c r="K47" s="227">
        <f>K45/(K4+K6+K8)</f>
        <v>0.10784171483820813</v>
      </c>
      <c r="M47" s="227">
        <f>M45/(M4+M6+M8)</f>
        <v>0.11745663846136938</v>
      </c>
      <c r="O47" s="227">
        <f>O45/(O4+O6+O8)</f>
        <v>0.12674946151051047</v>
      </c>
      <c r="Q47" s="227">
        <f>Q45/(Q4+Q6+Q8)</f>
        <v>0.13572709287424797</v>
      </c>
      <c r="S47" s="227">
        <f>S45/(S4+S6+S8)</f>
        <v>0.14439626414263673</v>
      </c>
      <c r="U47" s="227">
        <f>U45/(U4+U6+U8)</f>
        <v>0.15276353384357433</v>
      </c>
      <c r="W47" s="227">
        <f>W45/(W4+W6+W8)</f>
        <v>0.16083529157502782</v>
      </c>
      <c r="Y47" s="227">
        <f>Y45/(Y4+Y6+Y8)</f>
        <v>0.16861776203562132</v>
      </c>
      <c r="AA47" s="227">
        <f>AA45/(AA4+AA6+AA8)</f>
        <v>0.17611700895605109</v>
      </c>
      <c r="AC47" s="227">
        <f>AC45/(AC4+AC6+AC8)</f>
        <v>0.18333893893374037</v>
      </c>
      <c r="AE47" s="227">
        <f>AE45/(AE4+AE6+AE8)</f>
        <v>0.19028930517308545</v>
      </c>
      <c r="AG47" s="227">
        <f>AG45/(AG4+AG6+AG8)</f>
        <v>0.1969737111335868</v>
      </c>
    </row>
    <row r="48" spans="1:33" s="227" customFormat="1" ht="14.25">
      <c r="A48" s="227" t="s">
        <v>852</v>
      </c>
      <c r="C48" s="220"/>
      <c r="E48" s="227">
        <f>E45/E43</f>
        <v>0.15000005369490779</v>
      </c>
      <c r="G48" s="227">
        <f>G45/G43</f>
        <v>0.17496666888605619</v>
      </c>
      <c r="I48" s="227">
        <f>I45/I43</f>
        <v>0.20038387379495176</v>
      </c>
      <c r="K48" s="227">
        <f>K45/K43</f>
        <v>0.2262566606875821</v>
      </c>
      <c r="M48" s="227">
        <f>M45/M43</f>
        <v>0.25258992315331319</v>
      </c>
      <c r="O48" s="227">
        <f>O45/O43</f>
        <v>0.27938844573713217</v>
      </c>
      <c r="Q48" s="227">
        <f>Q45/Q43</f>
        <v>0.30665689303458155</v>
      </c>
      <c r="S48" s="227">
        <f>S45/S43</f>
        <v>0.33439979822619292</v>
      </c>
      <c r="U48" s="227">
        <f>U45/U43</f>
        <v>0.36262155102730764</v>
      </c>
      <c r="W48" s="227">
        <f>W45/W43</f>
        <v>0.39132638502818995</v>
      </c>
      <c r="Y48" s="227">
        <f>Y45/Y43</f>
        <v>0.42051836439837742</v>
      </c>
      <c r="AA48" s="227">
        <f>AA45/AA43</f>
        <v>0.45020136992815474</v>
      </c>
      <c r="AC48" s="227">
        <f>AC45/AC43</f>
        <v>0.48037908437898214</v>
      </c>
      <c r="AE48" s="227">
        <f>AE45/AE43</f>
        <v>0.51105497711359482</v>
      </c>
      <c r="AG48" s="227">
        <f>AG45/AG43</f>
        <v>0.54223228797533529</v>
      </c>
    </row>
    <row r="49" spans="1:34" s="228" customFormat="1" ht="14.25">
      <c r="A49" s="228" t="s">
        <v>850</v>
      </c>
      <c r="C49" s="229"/>
      <c r="E49" s="228">
        <f>E37/E43</f>
        <v>1.1500000536949078</v>
      </c>
      <c r="G49" s="228">
        <f>G37/G43</f>
        <v>1.1749666688860563</v>
      </c>
      <c r="I49" s="228">
        <f>I37/I43</f>
        <v>1.2003838737949517</v>
      </c>
      <c r="K49" s="228">
        <f>K37/K43</f>
        <v>1.2262566606875822</v>
      </c>
      <c r="M49" s="228">
        <f>M37/M43</f>
        <v>1.2525899231533131</v>
      </c>
      <c r="O49" s="228">
        <f>O37/O43</f>
        <v>1.2793884457371323</v>
      </c>
      <c r="Q49" s="228">
        <f>Q37/Q43</f>
        <v>1.3066568930345814</v>
      </c>
      <c r="S49" s="228">
        <f>S37/S43</f>
        <v>1.334399798226193</v>
      </c>
      <c r="U49" s="228">
        <f>U37/U43</f>
        <v>1.3626215510273076</v>
      </c>
      <c r="W49" s="228">
        <f>W37/W43</f>
        <v>1.3913263850281898</v>
      </c>
      <c r="Y49" s="228">
        <f>Y37/Y43</f>
        <v>1.4205183643983774</v>
      </c>
      <c r="AA49" s="228">
        <f>AA37/AA43</f>
        <v>1.4502013699281548</v>
      </c>
      <c r="AC49" s="228">
        <f>AC37/AC43</f>
        <v>1.4803790843789821</v>
      </c>
      <c r="AE49" s="228">
        <f>AE37/AE43</f>
        <v>1.5110549771135948</v>
      </c>
      <c r="AG49" s="228">
        <f>AG37/AG43</f>
        <v>1.5422322879753352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2751</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10000</v>
      </c>
      <c r="G53" s="960">
        <f>E53*$C$53</f>
        <v>10300</v>
      </c>
      <c r="I53" s="960">
        <f>G53*$C$53</f>
        <v>10609</v>
      </c>
      <c r="K53" s="960">
        <f>I53*$C$53</f>
        <v>10927.27</v>
      </c>
      <c r="M53" s="960">
        <f>K53*$C$53</f>
        <v>11255.088100000001</v>
      </c>
      <c r="O53" s="960">
        <f>M53*$C$53</f>
        <v>11592.740743</v>
      </c>
      <c r="Q53" s="960">
        <f>O53*$C$53</f>
        <v>11940.52296529</v>
      </c>
      <c r="S53" s="960">
        <f>Q53*$C$53</f>
        <v>12298.7386542487</v>
      </c>
      <c r="U53" s="960">
        <f>S53*$C$53</f>
        <v>12667.700813876161</v>
      </c>
      <c r="W53" s="960">
        <f>U53*$C$53</f>
        <v>13047.731838292446</v>
      </c>
      <c r="Y53" s="960">
        <f>W53*$C$53</f>
        <v>13439.163793441219</v>
      </c>
      <c r="AA53" s="960">
        <f>Y53*$C$53</f>
        <v>13842.338707244457</v>
      </c>
      <c r="AC53" s="960">
        <f>AA53*$C$53</f>
        <v>14257.60886846179</v>
      </c>
      <c r="AE53" s="960">
        <f>AC53*$C$53</f>
        <v>14685.337134515645</v>
      </c>
      <c r="AG53" s="960">
        <f>AE53*$C$53</f>
        <v>15125.897248551115</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15000</v>
      </c>
      <c r="F58" s="960"/>
      <c r="G58" s="960">
        <f>SUM(G53:G57)</f>
        <v>15450</v>
      </c>
      <c r="H58" s="960"/>
      <c r="I58" s="960">
        <f>SUM(I53:I57)</f>
        <v>15913.5</v>
      </c>
      <c r="J58" s="960"/>
      <c r="K58" s="960">
        <f>SUM(K53:K57)</f>
        <v>16390.904999999999</v>
      </c>
      <c r="L58" s="960"/>
      <c r="M58" s="960">
        <f>SUM(M53:M57)</f>
        <v>16882.632150000001</v>
      </c>
      <c r="N58" s="960"/>
      <c r="O58" s="960">
        <f>SUM(O53:O57)</f>
        <v>17389.1111145</v>
      </c>
      <c r="P58" s="960"/>
      <c r="Q58" s="960">
        <f>SUM(Q53:Q57)</f>
        <v>17910.784447934999</v>
      </c>
      <c r="R58" s="960"/>
      <c r="S58" s="960">
        <f>SUM(S53:S57)</f>
        <v>18448.10798137305</v>
      </c>
      <c r="T58" s="960"/>
      <c r="U58" s="960">
        <f>SUM(U53:U57)</f>
        <v>19001.551220814243</v>
      </c>
      <c r="V58" s="960"/>
      <c r="W58" s="960">
        <f>SUM(W53:W57)</f>
        <v>19571.597757438671</v>
      </c>
      <c r="X58" s="960"/>
      <c r="Y58" s="960">
        <f>SUM(Y53:Y57)</f>
        <v>20158.745690161828</v>
      </c>
      <c r="Z58" s="960"/>
      <c r="AA58" s="960">
        <f>SUM(AA53:AA57)</f>
        <v>20763.508060866683</v>
      </c>
      <c r="AB58" s="960"/>
      <c r="AC58" s="960">
        <f>SUM(AC53:AC57)</f>
        <v>21386.413302692687</v>
      </c>
      <c r="AD58" s="960"/>
      <c r="AE58" s="960">
        <f>SUM(AE53:AE57)</f>
        <v>22028.005701773465</v>
      </c>
      <c r="AF58" s="960"/>
      <c r="AG58" s="960">
        <f>SUM(AG53:AG57)</f>
        <v>22688.845872826671</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264356.20000000019</v>
      </c>
      <c r="G60" s="962">
        <f>G45-G58</f>
        <v>310403.375</v>
      </c>
      <c r="I60" s="962">
        <f>I45-I58</f>
        <v>357276.2165749995</v>
      </c>
      <c r="K60" s="962">
        <f>K45-K58</f>
        <v>404983.617191375</v>
      </c>
      <c r="M60" s="962">
        <f>M45-M58</f>
        <v>453534.27339272847</v>
      </c>
      <c r="O60" s="962">
        <f>O45-O58</f>
        <v>502936.66612674587</v>
      </c>
      <c r="Q60" s="962">
        <f>Q45-Q58</f>
        <v>553199.04006045079</v>
      </c>
      <c r="S60" s="962">
        <f>S45-S58</f>
        <v>604329.38184033474</v>
      </c>
      <c r="U60" s="962">
        <f>U45-U58</f>
        <v>656335.39725211682</v>
      </c>
      <c r="W60" s="962">
        <f>W45-W58</f>
        <v>709224.48723305156</v>
      </c>
      <c r="Y60" s="962">
        <f>Y45-Y58</f>
        <v>763003.72268790193</v>
      </c>
      <c r="AA60" s="962">
        <f>AA45-AA58</f>
        <v>817679.81805771054</v>
      </c>
      <c r="AC60" s="962">
        <f>AC45-AC58</f>
        <v>873259.10358852975</v>
      </c>
      <c r="AE60" s="962">
        <f>AE45-AE58</f>
        <v>929747.49624518061</v>
      </c>
      <c r="AG60" s="962">
        <f>AG45-AG58</f>
        <v>987150.46921295044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264356.20000000019</v>
      </c>
      <c r="G62" s="962">
        <f>G60*$C$62</f>
        <v>310403.375</v>
      </c>
      <c r="I62" s="962">
        <f>I60*$C$62</f>
        <v>357276.2165749995</v>
      </c>
      <c r="K62" s="962">
        <f>K60*$C$62</f>
        <v>404983.617191375</v>
      </c>
      <c r="M62" s="962">
        <f>M60*$C$62</f>
        <v>453534.27339272847</v>
      </c>
      <c r="O62" s="962">
        <v>178419</v>
      </c>
      <c r="Q62" s="962">
        <v>0</v>
      </c>
      <c r="S62" s="962">
        <v>0</v>
      </c>
      <c r="U62" s="962">
        <v>0</v>
      </c>
      <c r="W62" s="962">
        <v>0</v>
      </c>
      <c r="Y62" s="962">
        <v>0</v>
      </c>
      <c r="AA62" s="962">
        <v>0</v>
      </c>
      <c r="AC62" s="962">
        <v>0</v>
      </c>
      <c r="AE62" s="962">
        <v>0</v>
      </c>
      <c r="AG62" s="962">
        <v>0</v>
      </c>
    </row>
    <row r="63" spans="1:34" s="962" customFormat="1">
      <c r="A63" s="2691" t="s">
        <v>1184</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2722</v>
      </c>
      <c r="B66" s="964"/>
      <c r="C66" s="963"/>
      <c r="E66" s="964">
        <v>0</v>
      </c>
      <c r="G66" s="960">
        <v>0</v>
      </c>
      <c r="I66" s="960">
        <v>0</v>
      </c>
      <c r="K66" s="960">
        <v>0</v>
      </c>
      <c r="M66" s="960">
        <v>0</v>
      </c>
      <c r="O66" s="960">
        <f>(O60-O62)*$C$65</f>
        <v>162258.83306337293</v>
      </c>
      <c r="Q66" s="960">
        <f>Q60*$C$65</f>
        <v>276599.52003022539</v>
      </c>
      <c r="S66" s="960">
        <f>S60*$C$65</f>
        <v>302164.69092016737</v>
      </c>
      <c r="U66" s="960">
        <f>U60*$C$65</f>
        <v>328167.69862605841</v>
      </c>
      <c r="W66" s="960">
        <f>W60*$C$65</f>
        <v>354612.24361652578</v>
      </c>
      <c r="Y66" s="960">
        <f>Y60*$C$65</f>
        <v>381501.86134395096</v>
      </c>
      <c r="AA66" s="960">
        <f>AA60*$C$65</f>
        <v>408839.90902885527</v>
      </c>
      <c r="AC66" s="960">
        <f>AC60*$C$65</f>
        <v>436629.55179426487</v>
      </c>
      <c r="AE66" s="960">
        <f>AE60*$C$65</f>
        <v>464873.7481225903</v>
      </c>
      <c r="AG66" s="960">
        <f>AG60*$C$65</f>
        <v>493575.23460647522</v>
      </c>
    </row>
    <row r="67" spans="1:34" s="960" customFormat="1">
      <c r="A67" s="965"/>
      <c r="B67" s="965"/>
      <c r="C67" s="970"/>
      <c r="E67" s="964">
        <v>0</v>
      </c>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162258.83306337293</v>
      </c>
      <c r="Q70" s="960">
        <f>SUM(Q66:Q69)</f>
        <v>276599.52003022539</v>
      </c>
      <c r="S70" s="960">
        <f>SUM(S66:S69)</f>
        <v>302164.69092016737</v>
      </c>
      <c r="U70" s="960">
        <f>SUM(U66:U69)</f>
        <v>328167.69862605841</v>
      </c>
      <c r="W70" s="960">
        <f>SUM(W66:W69)</f>
        <v>354612.24361652578</v>
      </c>
      <c r="Y70" s="960">
        <f>SUM(Y66:Y69)</f>
        <v>381501.86134395096</v>
      </c>
      <c r="AA70" s="960">
        <f>SUM(AA66:AA69)</f>
        <v>408839.90902885527</v>
      </c>
      <c r="AC70" s="960">
        <f>SUM(AC66:AC69)</f>
        <v>436629.55179426487</v>
      </c>
      <c r="AE70" s="960">
        <f>SUM(AE66:AE69)</f>
        <v>464873.7481225903</v>
      </c>
      <c r="AG70" s="960">
        <f>SUM(AG66:AG69)</f>
        <v>493575.23460647522</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162258.83306337293</v>
      </c>
      <c r="Q72" s="962">
        <f>Q60-Q62-Q70</f>
        <v>276599.52003022539</v>
      </c>
      <c r="S72" s="962">
        <f>S60-S62-S70</f>
        <v>302164.69092016737</v>
      </c>
      <c r="U72" s="962">
        <f>U60-U62-U70</f>
        <v>328167.69862605841</v>
      </c>
      <c r="W72" s="962">
        <f>W60-W62-W70</f>
        <v>354612.24361652578</v>
      </c>
      <c r="Y72" s="962">
        <f>Y60-Y62-Y70</f>
        <v>381501.86134395096</v>
      </c>
      <c r="AA72" s="962">
        <f>AA60-AA62-AA70</f>
        <v>408839.90902885527</v>
      </c>
      <c r="AC72" s="962">
        <f>AC60-AC62-AC70</f>
        <v>436629.55179426487</v>
      </c>
      <c r="AE72" s="962">
        <f>AE60-AE62-AE70</f>
        <v>464873.7481225903</v>
      </c>
      <c r="AG72" s="962">
        <f>AG60-AG62-AG70</f>
        <v>493575.23460647522</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9" t="s">
        <v>1721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3000000</v>
      </c>
      <c r="C5" s="266">
        <f>'Sources and Uses Budget'!$C4</f>
        <v>3000000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3000000</v>
      </c>
      <c r="C9" s="270">
        <f>SUM(C5:C8)</f>
        <v>3000000</v>
      </c>
      <c r="D9" s="270">
        <f t="shared" si="0"/>
        <v>0</v>
      </c>
      <c r="E9" s="268"/>
      <c r="F9" s="267"/>
    </row>
    <row r="10" spans="1:6" s="352" customFormat="1">
      <c r="A10" s="364" t="s">
        <v>594</v>
      </c>
      <c r="B10" s="266">
        <f>'Sources and Uses Budget'!$C9</f>
        <v>33200000</v>
      </c>
      <c r="C10" s="266">
        <f>'Sources and Uses Budget'!$C9</f>
        <v>33200000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33200000</v>
      </c>
      <c r="C12" s="270">
        <f>SUM(C10:C11)</f>
        <v>33200000</v>
      </c>
      <c r="D12" s="270">
        <f t="shared" si="0"/>
        <v>0</v>
      </c>
      <c r="E12" s="268"/>
      <c r="F12" s="267"/>
    </row>
    <row r="13" spans="1:6" s="352" customFormat="1">
      <c r="A13" s="365" t="s">
        <v>84</v>
      </c>
      <c r="B13" s="270">
        <f>SUM(B9+B12)</f>
        <v>36200000</v>
      </c>
      <c r="C13" s="270">
        <f>SUM(C9+C12)</f>
        <v>36200000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13320757</v>
      </c>
      <c r="C19" s="266">
        <f>'Sources and Uses Budget'!$C18</f>
        <v>13320757</v>
      </c>
      <c r="D19" s="270">
        <f t="shared" si="0"/>
        <v>0</v>
      </c>
      <c r="E19" s="268"/>
      <c r="F19" s="267"/>
    </row>
    <row r="20" spans="1:6" s="352" customFormat="1">
      <c r="A20" s="145" t="s">
        <v>600</v>
      </c>
      <c r="B20" s="266">
        <f>'Sources and Uses Budget'!$C19</f>
        <v>799200</v>
      </c>
      <c r="C20" s="266">
        <f>'Sources and Uses Budget'!$C19</f>
        <v>799200</v>
      </c>
      <c r="D20" s="270">
        <f t="shared" si="0"/>
        <v>0</v>
      </c>
      <c r="E20" s="268"/>
      <c r="F20" s="267"/>
    </row>
    <row r="21" spans="1:6" s="352" customFormat="1">
      <c r="A21" s="145" t="s">
        <v>137</v>
      </c>
      <c r="B21" s="266">
        <f>'Sources and Uses Budget'!$C20</f>
        <v>265643</v>
      </c>
      <c r="C21" s="266">
        <f>'Sources and Uses Budget'!$C20</f>
        <v>265643</v>
      </c>
      <c r="D21" s="270">
        <f t="shared" si="0"/>
        <v>0</v>
      </c>
      <c r="E21" s="268"/>
      <c r="F21" s="267"/>
    </row>
    <row r="22" spans="1:6" s="352" customFormat="1">
      <c r="A22" s="145" t="s">
        <v>138</v>
      </c>
      <c r="B22" s="266">
        <f>'Sources and Uses Budget'!$C21</f>
        <v>799200</v>
      </c>
      <c r="C22" s="266">
        <f>'Sources and Uses Budget'!$C21</f>
        <v>799200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15184800</v>
      </c>
      <c r="C27" s="270">
        <f>SUM(C18:C26)</f>
        <v>15184800</v>
      </c>
      <c r="D27" s="270">
        <f>SUM(D18:D26)</f>
        <v>0</v>
      </c>
      <c r="E27" s="268"/>
      <c r="F27" s="267"/>
    </row>
    <row r="28" spans="1:6" s="352" customFormat="1">
      <c r="A28" s="271" t="s">
        <v>141</v>
      </c>
      <c r="B28" s="266">
        <f>'Sources and Uses Budget'!$C$27</f>
        <v>100000</v>
      </c>
      <c r="C28" s="266">
        <f>'Sources and Uses Budget'!$C$27</f>
        <v>100000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50000</v>
      </c>
      <c r="C41" s="266">
        <f>'Sources and Uses Budget'!$C40</f>
        <v>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50000</v>
      </c>
      <c r="C43" s="270">
        <f>SUM(C41:C42)</f>
        <v>50000</v>
      </c>
      <c r="D43" s="270">
        <f t="shared" si="0"/>
        <v>0</v>
      </c>
      <c r="E43" s="268"/>
      <c r="F43" s="267"/>
    </row>
    <row r="44" spans="1:6" s="352" customFormat="1">
      <c r="A44" s="271" t="s">
        <v>148</v>
      </c>
      <c r="B44" s="266">
        <f>'Sources and Uses Budget'!$C43</f>
        <v>50000</v>
      </c>
      <c r="C44" s="266">
        <f>'Sources and Uses Budget'!$C43</f>
        <v>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3742675</v>
      </c>
      <c r="C46" s="266">
        <f>'Sources and Uses Budget'!$C45</f>
        <v>3742675</v>
      </c>
      <c r="D46" s="270">
        <f t="shared" si="0"/>
        <v>0</v>
      </c>
      <c r="E46" s="268"/>
      <c r="F46" s="267"/>
    </row>
    <row r="47" spans="1:6" s="352" customFormat="1">
      <c r="A47" s="145" t="s">
        <v>151</v>
      </c>
      <c r="B47" s="266">
        <f>'Sources and Uses Budget'!$C46</f>
        <v>316575</v>
      </c>
      <c r="C47" s="266">
        <f>'Sources and Uses Budget'!$C46</f>
        <v>316575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Inspectiona nd Monitoring</v>
      </c>
      <c r="B54" s="266">
        <f>'Sources and Uses Budget'!$C53</f>
        <v>26000</v>
      </c>
      <c r="C54" s="266">
        <f>'Sources and Uses Budget'!$C53</f>
        <v>26000</v>
      </c>
      <c r="D54" s="270">
        <f t="shared" si="0"/>
        <v>0</v>
      </c>
      <c r="E54" s="268"/>
      <c r="F54" s="267"/>
    </row>
    <row r="55" spans="1:6" s="353" customFormat="1">
      <c r="A55" s="271" t="s">
        <v>157</v>
      </c>
      <c r="B55" s="273">
        <f>SUM(B46:B54)</f>
        <v>4160250</v>
      </c>
      <c r="C55" s="273">
        <f>SUM(C46:C54)</f>
        <v>4160250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Costs of Issuance</v>
      </c>
      <c r="B62" s="266">
        <f>'Sources and Uses Budget'!$C61</f>
        <v>148199</v>
      </c>
      <c r="C62" s="266">
        <f>'Sources and Uses Budget'!$C61</f>
        <v>148199</v>
      </c>
      <c r="D62" s="270">
        <f t="shared" si="0"/>
        <v>0</v>
      </c>
      <c r="E62" s="268"/>
      <c r="F62" s="267"/>
    </row>
    <row r="63" spans="1:6" s="352" customFormat="1" ht="13.7" customHeight="1">
      <c r="A63" s="271" t="s">
        <v>301</v>
      </c>
      <c r="B63" s="270">
        <f>SUM(B57:B62)</f>
        <v>158199</v>
      </c>
      <c r="C63" s="270">
        <f>SUM(C57:C62)</f>
        <v>158199</v>
      </c>
      <c r="D63" s="270">
        <f t="shared" si="0"/>
        <v>0</v>
      </c>
      <c r="E63" s="268"/>
      <c r="F63" s="267"/>
    </row>
    <row r="64" spans="1:6" s="352" customFormat="1">
      <c r="A64" s="274" t="s">
        <v>302</v>
      </c>
      <c r="B64" s="270">
        <f>SUM(B9+B12+B14+B15+B17+B26+B28+B39+B43+B44+B55+B63)</f>
        <v>40718449</v>
      </c>
      <c r="C64" s="270">
        <f>SUM(C9+C12+C14+C15+C17+C26+C28+C39+C43+C44+C55+C63)</f>
        <v>40718449</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Borrower Counsel</v>
      </c>
      <c r="B70" s="266">
        <f>'Sources and Uses Budget'!$C69</f>
        <v>129500</v>
      </c>
      <c r="C70" s="266">
        <f>'Sources and Uses Budget'!$C69</f>
        <v>129500</v>
      </c>
      <c r="D70" s="270">
        <f t="shared" si="0"/>
        <v>0</v>
      </c>
      <c r="E70" s="268"/>
      <c r="F70" s="267"/>
    </row>
    <row r="71" spans="1:6" s="352" customFormat="1">
      <c r="A71" s="149" t="s">
        <v>1645</v>
      </c>
      <c r="B71" s="270">
        <f>SUM(B66:B70)</f>
        <v>189500</v>
      </c>
      <c r="C71" s="270">
        <f>SUM(C66:C70)</f>
        <v>189500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941962</v>
      </c>
      <c r="C76" s="266">
        <f>'Sources and Uses Budget'!$C75</f>
        <v>941962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941962</v>
      </c>
      <c r="C78" s="270">
        <f>SUM(C73:C77)</f>
        <v>941962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759240</v>
      </c>
      <c r="C80" s="266">
        <f>'Sources and Uses Budget'!$C79</f>
        <v>759240</v>
      </c>
      <c r="D80" s="270">
        <f t="shared" si="1"/>
        <v>0</v>
      </c>
      <c r="E80" s="268"/>
      <c r="F80" s="267"/>
    </row>
    <row r="81" spans="1:6" s="352" customFormat="1">
      <c r="A81" s="510" t="s">
        <v>58</v>
      </c>
      <c r="B81" s="266">
        <f>'Sources and Uses Budget'!$C80</f>
        <v>125000</v>
      </c>
      <c r="C81" s="266">
        <f>'Sources and Uses Budget'!$C80</f>
        <v>125000</v>
      </c>
      <c r="D81" s="270">
        <f>C81-B81</f>
        <v>0</v>
      </c>
      <c r="E81" s="268"/>
      <c r="F81" s="267"/>
    </row>
    <row r="82" spans="1:6" s="352" customFormat="1">
      <c r="A82" s="271" t="s">
        <v>1209</v>
      </c>
      <c r="B82" s="270">
        <f>SUM(B80:B81)</f>
        <v>884240</v>
      </c>
      <c r="C82" s="270">
        <f>SUM(C80:C81)</f>
        <v>884240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120000</v>
      </c>
      <c r="C84" s="266">
        <f>'Sources and Uses Budget'!$C83</f>
        <v>120000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100000</v>
      </c>
      <c r="C87" s="266">
        <f>'Sources and Uses Budget'!$C86</f>
        <v>100000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300000</v>
      </c>
      <c r="C90" s="266">
        <f>'Sources and Uses Budget'!$C89</f>
        <v>300000</v>
      </c>
      <c r="D90" s="270">
        <f t="shared" si="1"/>
        <v>0</v>
      </c>
      <c r="E90" s="268"/>
      <c r="F90" s="267"/>
    </row>
    <row r="91" spans="1:6" s="352" customFormat="1">
      <c r="A91" s="269" t="s">
        <v>773</v>
      </c>
      <c r="B91" s="266">
        <f>'Sources and Uses Budget'!$C90</f>
        <v>5000</v>
      </c>
      <c r="C91" s="266">
        <f>'Sources and Uses Budget'!$C90</f>
        <v>5000</v>
      </c>
      <c r="D91" s="270">
        <f t="shared" si="1"/>
        <v>0</v>
      </c>
      <c r="E91" s="268"/>
      <c r="F91" s="267"/>
    </row>
    <row r="92" spans="1:6" s="352" customFormat="1">
      <c r="A92" s="269" t="s">
        <v>372</v>
      </c>
      <c r="B92" s="266">
        <f>'Sources and Uses Budget'!$C91</f>
        <v>90000</v>
      </c>
      <c r="C92" s="266">
        <f>'Sources and Uses Budget'!$C91</f>
        <v>90000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630000</v>
      </c>
      <c r="C97" s="270">
        <f>SUM(C84:C96)</f>
        <v>630000</v>
      </c>
      <c r="D97" s="270">
        <f t="shared" si="1"/>
        <v>0</v>
      </c>
      <c r="E97" s="268"/>
      <c r="F97" s="267"/>
    </row>
    <row r="98" spans="1:6" s="352" customFormat="1">
      <c r="A98" s="271" t="s">
        <v>775</v>
      </c>
      <c r="B98" s="270">
        <f>SUM(B64+B71+B78+B82+B97)</f>
        <v>43364151</v>
      </c>
      <c r="C98" s="270">
        <f>SUM(C64+C71+C78+C82+C97)</f>
        <v>43364151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4169506</v>
      </c>
      <c r="C100" s="266">
        <f>'Sources and Uses Budget'!$C99</f>
        <v>4169506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4169506</v>
      </c>
      <c r="C105" s="270">
        <f>SUM(C100:C104)</f>
        <v>4169506</v>
      </c>
      <c r="D105" s="270">
        <f t="shared" si="1"/>
        <v>0</v>
      </c>
      <c r="E105" s="268"/>
      <c r="F105" s="267"/>
    </row>
    <row r="106" spans="1:6" s="352" customFormat="1">
      <c r="A106" s="271" t="s">
        <v>780</v>
      </c>
      <c r="B106" s="273">
        <f>SUM(B98+B105)</f>
        <v>47533657</v>
      </c>
      <c r="C106" s="273">
        <f>SUM(C98+C105)</f>
        <v>47533657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457" zoomScale="90" zoomScaleNormal="90" workbookViewId="0">
      <selection activeCell="B478" sqref="B47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2752</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25">
      <c r="A20" s="484"/>
      <c r="B20" s="485" t="s">
        <v>2752</v>
      </c>
      <c r="D20" s="1301" t="s">
        <v>1922</v>
      </c>
      <c r="E20" s="1301"/>
      <c r="F20" s="1301"/>
      <c r="I20" s="490"/>
    </row>
    <row r="21" spans="1:9" ht="14.25">
      <c r="A21" s="484"/>
      <c r="D21" s="1301"/>
      <c r="E21" s="1301"/>
      <c r="F21" s="1301"/>
      <c r="I21" s="490"/>
    </row>
    <row r="22" spans="1:9" ht="14.25">
      <c r="A22" s="484"/>
      <c r="D22" s="392"/>
      <c r="E22" s="96" t="s">
        <v>1918</v>
      </c>
      <c r="F22" s="392"/>
      <c r="I22" s="490"/>
    </row>
    <row r="23" spans="1:9" ht="14.25">
      <c r="A23" s="484"/>
      <c r="B23" s="484"/>
      <c r="D23" s="446"/>
      <c r="I23" s="490"/>
    </row>
    <row r="24" spans="1:9" ht="14.25">
      <c r="A24" s="484"/>
      <c r="B24" s="485" t="s">
        <v>2753</v>
      </c>
      <c r="D24" s="1301" t="s">
        <v>1091</v>
      </c>
      <c r="E24" s="1301"/>
      <c r="F24" s="1301"/>
      <c r="I24" s="490"/>
    </row>
    <row r="25" spans="1:9" ht="14.25">
      <c r="A25" s="484"/>
      <c r="B25" s="484"/>
      <c r="D25" s="1301"/>
      <c r="E25" s="1301"/>
      <c r="F25" s="1301"/>
      <c r="I25" s="490"/>
    </row>
    <row r="26" spans="1:9">
      <c r="I26" s="490"/>
    </row>
    <row r="27" spans="1:9" ht="14.25">
      <c r="A27" s="484"/>
      <c r="B27" s="485" t="s">
        <v>2752</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2752</v>
      </c>
      <c r="D33" s="1301" t="s">
        <v>2048</v>
      </c>
      <c r="E33" s="1301"/>
      <c r="F33" s="1301"/>
      <c r="I33" s="490"/>
    </row>
    <row r="34" spans="1:9">
      <c r="D34" s="1301"/>
      <c r="E34" s="1301"/>
      <c r="F34" s="1301"/>
      <c r="I34" s="490"/>
    </row>
    <row r="35" spans="1:9" ht="14.25">
      <c r="A35" s="484"/>
      <c r="B35" s="484"/>
      <c r="D35" s="447"/>
      <c r="I35" s="490"/>
    </row>
    <row r="36" spans="1:9" ht="14.45" customHeight="1">
      <c r="A36" s="484"/>
      <c r="B36" s="485" t="s">
        <v>2752</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2753</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2753</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2752</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2752</v>
      </c>
      <c r="D56" s="1324" t="s">
        <v>1095</v>
      </c>
      <c r="E56" s="1324"/>
      <c r="F56" s="1324"/>
      <c r="I56" s="490"/>
    </row>
    <row r="57" spans="1:9" ht="14.25">
      <c r="A57" s="484"/>
      <c r="B57" s="484"/>
      <c r="D57" s="1324"/>
      <c r="E57" s="1324"/>
      <c r="F57" s="1324"/>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2753</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2753</v>
      </c>
      <c r="D65" s="1301" t="s">
        <v>1097</v>
      </c>
      <c r="E65" s="1301"/>
      <c r="F65" s="1301"/>
      <c r="I65" s="490"/>
    </row>
    <row r="66" spans="1:9">
      <c r="D66" s="1301"/>
      <c r="E66" s="1301"/>
      <c r="F66" s="1301"/>
      <c r="I66" s="490"/>
    </row>
    <row r="67" spans="1:9">
      <c r="I67" s="490"/>
    </row>
    <row r="68" spans="1:9" ht="14.25">
      <c r="A68" s="484"/>
      <c r="B68" s="485" t="s">
        <v>2752</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2752</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2752</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2752</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2752</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2752</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2753</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2753</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2753</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2752</v>
      </c>
      <c r="C128" s="402"/>
      <c r="D128" s="1323" t="s">
        <v>2049</v>
      </c>
      <c r="E128" s="1323"/>
      <c r="F128" s="1323"/>
      <c r="I128" s="490"/>
    </row>
    <row r="129" spans="1:9" ht="14.25">
      <c r="A129" s="484"/>
      <c r="B129" s="484"/>
      <c r="C129" s="402"/>
      <c r="D129" s="1323"/>
      <c r="E129" s="1323"/>
      <c r="F129" s="1323"/>
      <c r="I129" s="490"/>
    </row>
    <row r="130" spans="1:9">
      <c r="I130" s="490"/>
    </row>
    <row r="131" spans="1:9" ht="14.25">
      <c r="A131" s="484"/>
      <c r="B131" s="485" t="s">
        <v>2753</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2752</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2753</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2753</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2753</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2753</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2753</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2753</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2753</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2753</v>
      </c>
      <c r="D209" s="386" t="s">
        <v>1894</v>
      </c>
      <c r="E209" s="385"/>
      <c r="F209" s="385"/>
      <c r="I209" s="490"/>
    </row>
    <row r="210" spans="1:9" ht="14.25">
      <c r="A210" s="484"/>
      <c r="B210" s="484"/>
      <c r="D210" s="1288" t="s">
        <v>1901</v>
      </c>
      <c r="E210" s="1288"/>
      <c r="F210" s="1288"/>
      <c r="I210" s="490"/>
    </row>
    <row r="211" spans="1:9">
      <c r="D211" s="385"/>
      <c r="E211" s="1325" t="s">
        <v>1927</v>
      </c>
      <c r="F211" s="1325"/>
      <c r="I211" s="490"/>
    </row>
    <row r="212" spans="1:9">
      <c r="D212" s="447"/>
      <c r="I212" s="490"/>
    </row>
    <row r="213" spans="1:9">
      <c r="B213" s="485" t="s">
        <v>2753</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ht="14.25">
      <c r="A217" s="484"/>
      <c r="B217" s="485" t="s">
        <v>2753</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2752</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2752</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2753</v>
      </c>
      <c r="D245" s="1301" t="s">
        <v>2052</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2753</v>
      </c>
      <c r="D250" s="1301" t="s">
        <v>2053</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2752</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2752</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2752</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2753</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2753</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2752</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2752</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2753</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2752</v>
      </c>
      <c r="D305" s="1299" t="s">
        <v>1129</v>
      </c>
      <c r="E305" s="1299"/>
      <c r="F305" s="1299"/>
      <c r="I305" s="490"/>
    </row>
    <row r="306" spans="1:9" ht="14.25">
      <c r="A306" s="484"/>
      <c r="B306" s="484"/>
      <c r="D306" s="494"/>
      <c r="E306" s="495"/>
      <c r="F306" s="495"/>
      <c r="I306" s="490"/>
    </row>
    <row r="307" spans="1:9" ht="13.7" customHeight="1">
      <c r="B307" s="485" t="s">
        <v>2753</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2752</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2753</v>
      </c>
      <c r="D316" s="1299" t="s">
        <v>1131</v>
      </c>
      <c r="E316" s="1299"/>
      <c r="F316" s="1299"/>
      <c r="I316" s="490"/>
    </row>
    <row r="317" spans="1:9">
      <c r="E317" s="446"/>
      <c r="F317" s="446"/>
      <c r="I317" s="490"/>
    </row>
    <row r="318" spans="1:9" ht="14.25">
      <c r="A318" s="484"/>
      <c r="B318" s="485" t="s">
        <v>2752</v>
      </c>
      <c r="D318" s="1301" t="s">
        <v>2244</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2753</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2752</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2752</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2752</v>
      </c>
      <c r="C360" s="476"/>
      <c r="D360" s="1318" t="s">
        <v>2056</v>
      </c>
      <c r="E360" s="1318"/>
      <c r="F360" s="1318"/>
      <c r="I360" s="480"/>
    </row>
    <row r="361" spans="1:9">
      <c r="A361" s="476"/>
      <c r="B361" s="476"/>
      <c r="C361" s="476"/>
      <c r="D361" s="447"/>
      <c r="E361" s="447"/>
      <c r="F361" s="446"/>
      <c r="I361" s="490"/>
    </row>
    <row r="362" spans="1:9">
      <c r="A362" s="476"/>
      <c r="B362" s="485" t="s">
        <v>2753</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2752</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2753</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2753</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2752</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2752</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2752</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25">
      <c r="A435" s="484"/>
      <c r="B435" s="485" t="s">
        <v>2753</v>
      </c>
      <c r="C435" s="487"/>
      <c r="D435" s="1301" t="s">
        <v>2058</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2753</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2752</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2752</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2753</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2752</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2753</v>
      </c>
      <c r="C486" s="402"/>
      <c r="D486" s="1301"/>
      <c r="E486" s="1301"/>
      <c r="F486" s="1301"/>
      <c r="I486" s="490"/>
    </row>
    <row r="487" spans="1:9">
      <c r="A487" s="402"/>
      <c r="C487" s="402"/>
      <c r="D487" s="1301"/>
      <c r="E487" s="1301"/>
      <c r="F487" s="1301"/>
      <c r="I487" s="490"/>
    </row>
    <row r="488" spans="1:9">
      <c r="A488" s="402"/>
      <c r="B488" s="485" t="s">
        <v>2753</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2753</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2752</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2752</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2752</v>
      </c>
      <c r="D509" s="1299" t="s">
        <v>1143</v>
      </c>
      <c r="E509" s="1299"/>
      <c r="F509" s="1299"/>
      <c r="I509" s="490"/>
    </row>
    <row r="510" spans="1:9" ht="14.25">
      <c r="A510" s="484"/>
      <c r="B510" s="484"/>
      <c r="D510" s="446"/>
      <c r="I510" s="490"/>
    </row>
    <row r="511" spans="1:9" ht="14.25">
      <c r="A511" s="484"/>
      <c r="B511" s="485" t="s">
        <v>2753</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2753</v>
      </c>
      <c r="D514" s="1299" t="s">
        <v>1145</v>
      </c>
      <c r="E514" s="1299"/>
      <c r="F514" s="1299"/>
      <c r="I514" s="490"/>
    </row>
    <row r="515" spans="1:9">
      <c r="D515" s="446"/>
      <c r="E515" s="446"/>
      <c r="F515" s="446"/>
      <c r="I515" s="490"/>
    </row>
    <row r="516" spans="1:9">
      <c r="B516" s="485" t="s">
        <v>2753</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2752</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2752</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2753</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2752</v>
      </c>
      <c r="C548" s="487"/>
      <c r="D548" s="1299" t="s">
        <v>884</v>
      </c>
      <c r="E548" s="1299"/>
      <c r="F548" s="1299"/>
      <c r="I548" s="490"/>
    </row>
    <row r="549" spans="1:9" ht="13.7" customHeight="1">
      <c r="A549" s="487"/>
      <c r="B549" s="487"/>
      <c r="C549" s="487"/>
      <c r="D549" s="446"/>
      <c r="I549" s="490"/>
    </row>
    <row r="550" spans="1:9" ht="14.25">
      <c r="A550" s="484"/>
      <c r="B550" s="485" t="s">
        <v>2752</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2752</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2752</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2752</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2753</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2753</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2752</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2752</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2752</v>
      </c>
      <c r="C578" s="487"/>
      <c r="D578" s="1301" t="s">
        <v>2062</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2752</v>
      </c>
      <c r="D588" s="1313" t="s">
        <v>888</v>
      </c>
      <c r="E588" s="1313"/>
      <c r="F588" s="1313"/>
      <c r="I588" s="490"/>
    </row>
    <row r="589" spans="1:9">
      <c r="A589" s="490"/>
      <c r="B589" s="490"/>
      <c r="D589" s="476"/>
      <c r="I589" s="490"/>
    </row>
    <row r="590" spans="1:9">
      <c r="A590" s="490"/>
      <c r="B590" s="485" t="s">
        <v>2752</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2753</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2752</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2753</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2752</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2752</v>
      </c>
      <c r="D620" s="1307" t="s">
        <v>1111</v>
      </c>
      <c r="E620" s="1307"/>
      <c r="F620" s="1307"/>
      <c r="I620" s="490"/>
    </row>
    <row r="621" spans="1:9">
      <c r="D621" s="1307"/>
      <c r="E621" s="1307"/>
      <c r="F621" s="1307"/>
      <c r="I621" s="490"/>
    </row>
    <row r="622" spans="1:9">
      <c r="I622" s="490"/>
    </row>
    <row r="623" spans="1:9">
      <c r="B623" s="485" t="s">
        <v>2752</v>
      </c>
      <c r="D623" s="1307" t="s">
        <v>1112</v>
      </c>
      <c r="E623" s="1307"/>
      <c r="F623" s="1307"/>
      <c r="I623" s="490"/>
    </row>
    <row r="624" spans="1:9">
      <c r="C624" s="500"/>
      <c r="D624" s="1307"/>
      <c r="E624" s="1307"/>
      <c r="F624" s="1307"/>
      <c r="I624" s="490"/>
    </row>
    <row r="625" spans="1:9">
      <c r="C625" s="500"/>
      <c r="I625" s="490"/>
    </row>
    <row r="626" spans="1:9">
      <c r="B626" s="485" t="s">
        <v>2753</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2752</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2753</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2753</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2753</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2752</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2753</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2753</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2753</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2752</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2753</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2752</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2753</v>
      </c>
      <c r="C698" s="483"/>
      <c r="D698" s="1299" t="s">
        <v>2468</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2753</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2753</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2753</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2753</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2753</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2753</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2753</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2752</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2752</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2753</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2753</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2753</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2753</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2752</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2753</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2753</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2752</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2753</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2753</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2753</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2752</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2752</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2753</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2753</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2753</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2752</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2752</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2753</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2753</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2753</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2752</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2752</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2752</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2753</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2753</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2753</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2753</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2753</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2752</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2753</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2753</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2753</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2753</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2752</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2752</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2753</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2753</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2753</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2753</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2752</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2752</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2753</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2753</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2753</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2753</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2752</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2753</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2753</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2753</v>
      </c>
      <c r="C1062" s="402"/>
      <c r="D1062" s="402" t="s">
        <v>1812</v>
      </c>
      <c r="I1062" s="490"/>
    </row>
    <row r="1063" spans="1:9">
      <c r="A1063" s="402"/>
      <c r="B1063" s="402"/>
      <c r="C1063" s="402"/>
      <c r="I1063" s="490"/>
    </row>
    <row r="1064" spans="1:9">
      <c r="A1064" s="402"/>
      <c r="B1064" s="485" t="s">
        <v>2753</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2752</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2753</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2753</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2753</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2753</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2753</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2752</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2753</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2752</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2753</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90" workbookViewId="0">
      <selection activeCell="AH181" sqref="AH181:AH18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Northern (Butte, El Dorado, Placer, Sacramento, San Joaquin, Shasta, Solano, Sutter, Yuba, and Yolo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23</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2509</v>
      </c>
      <c r="BE8" s="1249">
        <f>SUMIF($AC$718:$AC$752,"&lt;=35%",$G$718:G$752)-SUM($BE$5:BE7)</f>
        <v>0</v>
      </c>
    </row>
    <row r="9" spans="1:58" ht="12.95"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2501</v>
      </c>
      <c r="BE9" s="1249">
        <f>SUMIF($AC$718:$AC$752,"&lt;=40%",$G$718:G$752)-SUM($BE$5:BE8)</f>
        <v>0</v>
      </c>
    </row>
    <row r="10" spans="1:58" ht="12.95" customHeight="1">
      <c r="A10" s="1373" t="s">
        <v>2458</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2510</v>
      </c>
      <c r="BE10" s="1249">
        <f>SUMIF($AC$718:$AC$752,"&lt;=45%",$G$718:G$752)-SUM($BE$5:BE9)</f>
        <v>0</v>
      </c>
    </row>
    <row r="11" spans="1:58" ht="12.95" customHeight="1">
      <c r="A11" s="1373" t="s">
        <v>2604</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2502</v>
      </c>
      <c r="BE11" s="1249">
        <f>SUMIF($AC$718:$AC$752,"&lt;=50%",$G$718:G$752)-SUM($BE$5:BE10)</f>
        <v>22</v>
      </c>
    </row>
    <row r="12" spans="1:58" ht="12.95"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2511</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175</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 xml:space="preserve">Season by Vintage </v>
      </c>
    </row>
    <row r="17" spans="1:58" ht="12.95" customHeight="1">
      <c r="BD17" s="1247" t="s">
        <v>2518</v>
      </c>
      <c r="BE17" s="1249">
        <f>Application!AA934</f>
        <v>0</v>
      </c>
    </row>
    <row r="18" spans="1:58" ht="12.95" customHeight="1">
      <c r="A18" s="57" t="s">
        <v>101</v>
      </c>
      <c r="C18" s="4"/>
      <c r="D18" s="4"/>
      <c r="E18" s="4"/>
      <c r="F18" s="4"/>
      <c r="G18" s="4"/>
      <c r="H18" s="1417"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2519</v>
      </c>
      <c r="BE18" s="1249">
        <f>'CalHFA Addendum'!N11</f>
        <v>0</v>
      </c>
    </row>
    <row r="19" spans="1:58" ht="12.95" customHeight="1">
      <c r="BD19" s="1247" t="s">
        <v>2520</v>
      </c>
      <c r="BE19" s="1249">
        <f>Application!M26</f>
        <v>2550856</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2521</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2522</v>
      </c>
      <c r="BE21" s="1249">
        <f>Application!AM554</f>
        <v>16651125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62718457</v>
      </c>
      <c r="BF22" s="3" t="s">
        <v>2595</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3000000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221954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419">
        <f>'Basis &amp; Credits'!AB56</f>
        <v>2550856</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2098</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2527</v>
      </c>
      <c r="BE29" s="1249"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2528</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669</v>
      </c>
      <c r="P33" s="1332"/>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2596</v>
      </c>
      <c r="BE33" s="1249" t="str">
        <f>Application!D220</f>
        <v>Capital Region: El Dorado, Placer, Sacramento, Sutter, Yuba, and Yolo Counties</v>
      </c>
    </row>
    <row r="34" spans="1:57" ht="12.95"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2530</v>
      </c>
      <c r="BE34" s="1249" t="str">
        <f>Application!I185</f>
        <v xml:space="preserve">7301 Bilby Road </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2531</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2532</v>
      </c>
      <c r="BE36" s="1249" t="str">
        <f>Application!I189</f>
        <v xml:space="preserve">Elk Grove </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2533</v>
      </c>
      <c r="BE37" s="1249" t="str">
        <f>Application!T189</f>
        <v>Sacramento</v>
      </c>
    </row>
    <row r="38" spans="1:57" ht="12.95" customHeight="1">
      <c r="A38" s="3"/>
      <c r="AZ38" s="20"/>
      <c r="BD38" s="1248" t="s">
        <v>2534</v>
      </c>
      <c r="BE38" s="1249">
        <f>Application!I190</f>
        <v>95757</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222</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220</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0.5586363636363636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0.55861821575250792</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282515.57207207207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 xml:space="preserve">Hearthstone /PWC JV, LLC </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 xml:space="preserve">Socorro Vasquez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 xml:space="preserve">Hearthstone Housing Foundation </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 xml:space="preserve">To-be-formed LLC </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 xml:space="preserve">Michael Gancar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 xml:space="preserve">Vintage Housing Holdings, LLC </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Vintage Housing Development,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369 San Miguel Drive, Suite 135</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Newport Beach, CA 92660</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Michael Gancar</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mgancar@vintagehousing.com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0.85</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Yes</v>
      </c>
    </row>
    <row r="65" spans="1:57" ht="12.95"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2593</v>
      </c>
      <c r="BE65" s="1249" t="str">
        <f>Z205</f>
        <v>$500M</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2558</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2561</v>
      </c>
      <c r="BE69" s="1249" t="str">
        <f>Application!W700</f>
        <v xml:space="preserve">California Municipal Finance Authority </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2562</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20</v>
      </c>
    </row>
    <row r="72" spans="1:57" ht="12.95"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2564</v>
      </c>
      <c r="BE72" s="1249">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87" t="s">
        <v>2159</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2567</v>
      </c>
      <c r="BE75" s="1249">
        <f>'Points System'!AF808</f>
        <v>10</v>
      </c>
    </row>
    <row r="76" spans="1:57"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2568</v>
      </c>
      <c r="BE76" s="1249">
        <f>'Points System'!AF811</f>
        <v>0</v>
      </c>
    </row>
    <row r="77" spans="1:57"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2571</v>
      </c>
      <c r="BE79" s="1249">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2572</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2.1593167276008036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 xml:space="preserve">City of Elk Grove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Sarah Bontrager</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Housing and Public Services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 xml:space="preserve">8401 Laguna Palms Way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Elk Grove</v>
      </c>
    </row>
    <row r="89" spans="1:57" ht="12.95" customHeight="1">
      <c r="A89" s="1786" t="s">
        <v>2163</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2581</v>
      </c>
      <c r="BE89" s="1249">
        <f>Application!O158</f>
        <v>95758</v>
      </c>
    </row>
    <row r="90" spans="1:57"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2582</v>
      </c>
      <c r="BE90" s="1249" t="str">
        <f>Application!H16</f>
        <v xml:space="preserve">Vintage Housing Holdings, LLC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369 San Miguel Drive, Suite 135</v>
      </c>
    </row>
    <row r="92" spans="1:57" ht="12.95" customHeight="1">
      <c r="A92" s="1787" t="s">
        <v>2164</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2584</v>
      </c>
      <c r="BE92" s="1249" t="str">
        <f>Application!M234</f>
        <v xml:space="preserve">Newport Beach </v>
      </c>
    </row>
    <row r="93" spans="1:57"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2585</v>
      </c>
      <c r="BE93" s="1249" t="str">
        <f>Application!W234</f>
        <v>CA</v>
      </c>
    </row>
    <row r="94" spans="1:57"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2586</v>
      </c>
      <c r="BE94" s="1249">
        <f>Application!AC234</f>
        <v>92660</v>
      </c>
    </row>
    <row r="95" spans="1:57"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2587</v>
      </c>
      <c r="BE95" s="1249" t="str">
        <f>Application!M235</f>
        <v>Michael Gancar</v>
      </c>
    </row>
    <row r="96" spans="1:57"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2588</v>
      </c>
      <c r="BE96" s="1249" t="str">
        <f>Application!M237</f>
        <v>mgancar@vintagehousing.com</v>
      </c>
    </row>
    <row r="97" spans="1:57"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2589</v>
      </c>
      <c r="BE97" s="1249" t="str">
        <f>Application!M248</f>
        <v>coco@hearthstonehousing.org</v>
      </c>
    </row>
    <row r="98" spans="1:57"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2590</v>
      </c>
      <c r="BE98" s="1249" t="str">
        <f>Application!M256</f>
        <v>mgancar@vintagehousing.com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88" t="s">
        <v>2165</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2592</v>
      </c>
      <c r="BE100" s="1249" t="str">
        <f>Application!L279</f>
        <v>sstrain@sabelhauslaw.com</v>
      </c>
    </row>
    <row r="101" spans="1:57" ht="12.9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2597</v>
      </c>
      <c r="BE101">
        <f>'Sources and Uses Budget'!C105</f>
        <v>62718457</v>
      </c>
    </row>
    <row r="102" spans="1:57" ht="12.9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2598</v>
      </c>
      <c r="BE102" t="b">
        <f>T197="Yes"</f>
        <v>0</v>
      </c>
    </row>
    <row r="103" spans="1:57" ht="12.9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8" t="s">
        <v>2166</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9">
        <v>1</v>
      </c>
      <c r="H113" s="1789"/>
      <c r="I113" s="3" t="s">
        <v>182</v>
      </c>
      <c r="L113" s="1789" t="s">
        <v>2730</v>
      </c>
      <c r="M113" s="1789"/>
      <c r="N113" s="1789"/>
      <c r="O113" s="1789"/>
      <c r="P113" s="1795" t="s">
        <v>2239</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t="s">
        <v>2616</v>
      </c>
      <c r="D115" s="1800"/>
      <c r="E115" s="1800"/>
      <c r="F115" s="1800"/>
      <c r="G115" s="1800"/>
      <c r="H115" s="1800"/>
      <c r="I115" s="1800"/>
      <c r="J115" s="1800"/>
      <c r="K115" s="180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9"/>
      <c r="Z117" s="1789"/>
      <c r="AA117" s="1789"/>
      <c r="AB117" s="1789"/>
      <c r="AC117" s="1789"/>
      <c r="AD117" s="1789"/>
      <c r="AE117" s="1789"/>
      <c r="AF117" s="1789"/>
      <c r="AG117" s="1789"/>
      <c r="AH117" s="1789"/>
      <c r="AI117" s="1789"/>
      <c r="AJ117" s="1789"/>
      <c r="AK117" s="178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9" t="s">
        <v>2733</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Sacramento</v>
      </c>
      <c r="DH122" s="1655"/>
      <c r="DI122" s="1655"/>
      <c r="DJ122" s="1655"/>
      <c r="DK122" s="1655"/>
      <c r="DL122" s="1655"/>
      <c r="DM122" s="1656"/>
    </row>
    <row r="123" spans="1:117" ht="12.95" customHeight="1">
      <c r="A123" s="3"/>
      <c r="B123" s="3"/>
      <c r="T123" s="3"/>
      <c r="U123" s="3"/>
      <c r="V123" s="3"/>
      <c r="W123" s="3"/>
      <c r="X123" s="3"/>
      <c r="Y123" s="1789" t="s">
        <v>2734</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417" t="s">
        <v>2614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546" t="s">
        <v>2714</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8" t="s">
        <v>2731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2" t="s">
        <v>2615</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2616</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2">
        <v>95758</v>
      </c>
      <c r="P158" s="1792"/>
      <c r="Q158" s="1792"/>
      <c r="R158" s="179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1" t="s">
        <v>2617</v>
      </c>
      <c r="P159" s="1781"/>
      <c r="Q159" s="1781"/>
      <c r="R159" s="1781"/>
      <c r="S159" s="1781"/>
      <c r="T159" s="1781"/>
      <c r="V159" s="97" t="s">
        <v>271</v>
      </c>
      <c r="W159" s="1793"/>
      <c r="X159" s="179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1" t="s">
        <v>2618</v>
      </c>
      <c r="P160" s="1781"/>
      <c r="Q160" s="1781"/>
      <c r="R160" s="1781"/>
      <c r="S160" s="1781"/>
      <c r="T160" s="178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5" t="s">
        <v>2732</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1" t="s">
        <v>2216</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c r="V175" s="1332"/>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426"/>
      <c r="V176" s="1426"/>
      <c r="W176" s="1" t="s">
        <v>306</v>
      </c>
      <c r="X176" s="1784"/>
      <c r="Y176" s="1784"/>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c r="S177" s="1332"/>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2079</v>
      </c>
      <c r="AE178" s="27" t="s">
        <v>305</v>
      </c>
      <c r="AF178" s="1783"/>
      <c r="AG178" s="1783"/>
      <c r="AH178" s="1" t="s">
        <v>306</v>
      </c>
      <c r="AI178" s="1804"/>
      <c r="AJ178" s="1804"/>
      <c r="AK178" s="1804"/>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332" t="s">
        <v>545</v>
      </c>
      <c r="Y180" s="1332"/>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59" t="str">
        <f>H18</f>
        <v xml:space="preserve">Season by Vintage </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49" t="s">
        <v>2619</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7" t="s">
        <v>2620</v>
      </c>
      <c r="J189" s="1372"/>
      <c r="K189" s="1372"/>
      <c r="L189" s="1372"/>
      <c r="M189" s="1372"/>
      <c r="N189" s="1372"/>
      <c r="O189" s="1372"/>
      <c r="P189" s="1372"/>
      <c r="Q189" t="s">
        <v>582</v>
      </c>
      <c r="T189" s="1372" t="s">
        <v>68</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49">
        <v>95757</v>
      </c>
      <c r="J190" s="1349"/>
      <c r="K190" s="1349"/>
      <c r="L190" s="1349"/>
      <c r="M190" s="1349"/>
      <c r="N190" s="1349"/>
      <c r="O190" t="s">
        <v>585</v>
      </c>
      <c r="T190" s="1790">
        <v>96.52</v>
      </c>
      <c r="U190" s="1790"/>
      <c r="V190" s="1790"/>
      <c r="W190" s="1790"/>
      <c r="X190" s="1790"/>
      <c r="Y190" s="1790"/>
      <c r="Z190" s="1790"/>
      <c r="AA190" s="1790"/>
      <c r="AB190" s="1790"/>
      <c r="AC190" s="1790"/>
      <c r="AD190" s="1790"/>
      <c r="AE190" s="179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3" t="s">
        <v>2621</v>
      </c>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4" t="s">
        <v>1969</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2" t="s">
        <v>545</v>
      </c>
      <c r="U195" s="1332"/>
      <c r="W195" t="s">
        <v>684</v>
      </c>
      <c r="AH195" s="1332">
        <v>7</v>
      </c>
      <c r="AI195" s="1332"/>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03" t="s">
        <v>669</v>
      </c>
      <c r="U196" s="1403"/>
      <c r="W196" t="s">
        <v>685</v>
      </c>
      <c r="AH196" s="1332">
        <v>10</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3" t="s">
        <v>669</v>
      </c>
      <c r="U197" s="1403"/>
      <c r="W197" t="s">
        <v>686</v>
      </c>
      <c r="AH197" s="1332">
        <v>8</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t="s">
        <v>591</v>
      </c>
      <c r="U198" s="1403"/>
      <c r="V198"/>
      <c r="X198" s="1414" t="s">
        <v>2513</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2" t="s">
        <v>669</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2514</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2">
        <f>M26</f>
        <v>2550856</v>
      </c>
      <c r="Q204" s="1782"/>
      <c r="R204" s="1782"/>
      <c r="S204" s="1782"/>
      <c r="T204" s="1782"/>
      <c r="U204" s="178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2" t="s">
        <v>1247</v>
      </c>
      <c r="E205" s="1359"/>
      <c r="F205" s="1359"/>
      <c r="G205" s="1359"/>
      <c r="H205" s="1359"/>
      <c r="I205" s="1359"/>
      <c r="J205" s="1359"/>
      <c r="K205" s="1359"/>
      <c r="L205" s="1359"/>
      <c r="M205" s="1359"/>
      <c r="P205" s="1782">
        <f>M27</f>
        <v>0</v>
      </c>
      <c r="Q205" s="1782"/>
      <c r="R205" s="1782"/>
      <c r="S205" s="1782"/>
      <c r="T205" s="1782"/>
      <c r="U205" s="1782"/>
      <c r="V205" s="28"/>
      <c r="W205" s="3" t="s">
        <v>1720</v>
      </c>
      <c r="Z205" s="1810" t="s">
        <v>2219</v>
      </c>
      <c r="AA205" s="1810"/>
      <c r="AB205" s="1810"/>
      <c r="AC205" s="1810"/>
      <c r="AD205" s="1810"/>
      <c r="AE205" s="1810"/>
      <c r="AF205" s="1810"/>
      <c r="AG205" s="1810"/>
      <c r="AH205" s="1810"/>
      <c r="AI205" s="1810"/>
      <c r="AJ205" s="1810"/>
      <c r="AK205" s="1810"/>
      <c r="AL205" s="1810"/>
      <c r="AM205" s="1810"/>
      <c r="AN205" s="1810"/>
      <c r="AP205" s="1335"/>
      <c r="AQ205" s="133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2622</v>
      </c>
      <c r="E208" s="1418"/>
      <c r="F208" s="1418"/>
      <c r="G208" s="1418"/>
      <c r="H208" s="1418"/>
      <c r="I208" s="1418"/>
      <c r="J208" s="1418"/>
      <c r="K208" s="1418"/>
      <c r="L208" s="1418"/>
      <c r="M208" s="1418"/>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1856</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2">
        <v>0</v>
      </c>
      <c r="R212" s="1332"/>
      <c r="T212" s="1796">
        <f>IFERROR(Q212/AG440,0)</f>
        <v>0</v>
      </c>
      <c r="U212" s="179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8" t="s">
        <v>2735</v>
      </c>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377</v>
      </c>
    </row>
    <row r="220" spans="1:108" ht="12.95" customHeight="1">
      <c r="A220" s="2"/>
      <c r="C220" s="2"/>
      <c r="D220" s="1418" t="s">
        <v>1064</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2467</v>
      </c>
      <c r="AD220" s="1811"/>
      <c r="AE220" s="1811"/>
      <c r="AF220" s="1811"/>
      <c r="AG220" s="1811"/>
      <c r="AH220" s="1811"/>
      <c r="AI220" s="1811"/>
      <c r="AJ220" s="1811"/>
      <c r="AK220" s="1811"/>
      <c r="AL220" s="1811"/>
      <c r="AM220" s="1811"/>
      <c r="AN220" s="1811"/>
      <c r="AO220" s="1811"/>
      <c r="AP220" s="1811"/>
      <c r="AQ220" s="1811"/>
      <c r="BA220" s="3"/>
      <c r="BC220" t="s">
        <v>300</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1" t="str">
        <f>H16</f>
        <v xml:space="preserve">Vintage Housing Holdings, LLC </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538</v>
      </c>
      <c r="BG232" s="241">
        <f>IF(AND(AND($M$249="nonprofit",$M$257="nonprofit",$M$265="for profit")),2,0)</f>
        <v>0</v>
      </c>
    </row>
    <row r="233" spans="1:59" ht="12.95" customHeight="1">
      <c r="D233" s="4" t="s">
        <v>85</v>
      </c>
      <c r="E233" s="4"/>
      <c r="F233" s="4"/>
      <c r="G233" s="4"/>
      <c r="H233" s="4"/>
      <c r="I233" s="4"/>
      <c r="J233" s="4"/>
      <c r="K233" s="4"/>
      <c r="M233" s="1418" t="s">
        <v>2633</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418" t="s">
        <v>2626</v>
      </c>
      <c r="N234" s="1418"/>
      <c r="O234" s="1418"/>
      <c r="P234" s="1418"/>
      <c r="Q234" s="1418"/>
      <c r="R234" s="1418"/>
      <c r="S234" s="1418"/>
      <c r="T234" s="1418"/>
      <c r="V234" s="33" t="s">
        <v>86</v>
      </c>
      <c r="W234" s="1546" t="s">
        <v>2627</v>
      </c>
      <c r="X234" s="1437"/>
      <c r="Y234" s="4" t="s">
        <v>583</v>
      </c>
      <c r="AC234" s="1418">
        <v>92660</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2642</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2635</v>
      </c>
      <c r="N236" s="1347"/>
      <c r="O236" s="1347"/>
      <c r="P236" s="1347"/>
      <c r="Q236" s="1347"/>
      <c r="R236" s="1347"/>
      <c r="S236" s="4" t="s">
        <v>206</v>
      </c>
      <c r="T236" s="4"/>
      <c r="U236" s="1437"/>
      <c r="V236" s="1437"/>
      <c r="W236" s="1437"/>
      <c r="X236" s="4" t="s">
        <v>89</v>
      </c>
      <c r="Z236" s="1347"/>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5" t="s">
        <v>2643</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307</v>
      </c>
      <c r="N238" s="1349"/>
      <c r="O238" s="1349"/>
      <c r="P238" s="1349"/>
      <c r="Q238" s="1349"/>
      <c r="R238" s="1349"/>
      <c r="S238" s="1349"/>
      <c r="T238" s="1349"/>
      <c r="U238" s="204" t="s">
        <v>906</v>
      </c>
      <c r="V238" s="204"/>
      <c r="W238" s="204"/>
      <c r="X238" s="204"/>
      <c r="Y238" s="204"/>
      <c r="Z238" s="204"/>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2623</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2624</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2625</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7" t="s">
        <v>2626</v>
      </c>
      <c r="N245" s="1418"/>
      <c r="O245" s="1418"/>
      <c r="P245" s="1418"/>
      <c r="Q245" s="1418"/>
      <c r="R245" s="1418"/>
      <c r="S245" s="1418"/>
      <c r="T245" s="1418"/>
      <c r="V245" s="33" t="s">
        <v>86</v>
      </c>
      <c r="W245" s="1546" t="s">
        <v>2627</v>
      </c>
      <c r="X245" s="1437"/>
      <c r="Y245" s="4" t="s">
        <v>583</v>
      </c>
      <c r="AC245" s="1418">
        <v>92660</v>
      </c>
      <c r="AD245" s="1418"/>
      <c r="AE245" s="1418"/>
      <c r="AF245" s="3" t="s">
        <v>1180</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2628</v>
      </c>
      <c r="N246" s="1418"/>
      <c r="O246" s="1418"/>
      <c r="P246" s="1418"/>
      <c r="Q246" s="1418"/>
      <c r="R246" s="1418"/>
      <c r="S246" s="1418"/>
      <c r="T246" s="1418"/>
      <c r="U246" s="1418"/>
      <c r="V246" s="1418"/>
      <c r="W246" s="1418"/>
      <c r="X246" s="1418"/>
      <c r="Y246" s="1418"/>
      <c r="Z246" s="1418"/>
      <c r="AA246" s="1418"/>
      <c r="AB246" s="1418"/>
      <c r="AC246" s="1418"/>
      <c r="AD246" s="1418"/>
      <c r="AE246" s="1418"/>
      <c r="AH246" s="1779">
        <v>1E-3</v>
      </c>
      <c r="AI246" s="1779"/>
      <c r="AJ246" s="1779"/>
      <c r="AK246" s="1779"/>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46" t="s">
        <v>2629</v>
      </c>
      <c r="N247" s="1347"/>
      <c r="O247" s="1347"/>
      <c r="P247" s="1347"/>
      <c r="Q247" s="1347"/>
      <c r="R247" s="1347"/>
      <c r="S247" s="4" t="s">
        <v>206</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5" t="s">
        <v>2630</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534</v>
      </c>
      <c r="N249" s="1349"/>
      <c r="O249" s="1349"/>
      <c r="P249" s="1349"/>
      <c r="Q249" s="1349"/>
      <c r="R249" s="1349"/>
      <c r="S249" s="1349"/>
      <c r="T249" s="1349"/>
      <c r="U249" s="204" t="s">
        <v>906</v>
      </c>
      <c r="V249" s="204"/>
      <c r="W249" s="204"/>
      <c r="X249" s="204"/>
      <c r="Y249" s="204"/>
      <c r="Z249" s="204"/>
      <c r="AA249" s="1776" t="s">
        <v>2631</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2632</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2636</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2633</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580</v>
      </c>
      <c r="E253" s="4"/>
      <c r="M253" s="1417" t="s">
        <v>2626</v>
      </c>
      <c r="N253" s="1418"/>
      <c r="O253" s="1418"/>
      <c r="P253" s="1418"/>
      <c r="Q253" s="1418"/>
      <c r="R253" s="1418"/>
      <c r="S253" s="1418"/>
      <c r="T253" s="1418"/>
      <c r="V253" s="33" t="s">
        <v>86</v>
      </c>
      <c r="W253" s="1546" t="s">
        <v>2627</v>
      </c>
      <c r="X253" s="1437"/>
      <c r="Y253" s="4" t="s">
        <v>583</v>
      </c>
      <c r="AC253" s="1418">
        <v>92660</v>
      </c>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2634</v>
      </c>
      <c r="N254" s="1418"/>
      <c r="O254" s="1418"/>
      <c r="P254" s="1418"/>
      <c r="Q254" s="1418"/>
      <c r="R254" s="1418"/>
      <c r="S254" s="1418"/>
      <c r="T254" s="1418"/>
      <c r="U254" s="1418"/>
      <c r="V254" s="1418"/>
      <c r="W254" s="1418"/>
      <c r="X254" s="1418"/>
      <c r="Y254" s="1418"/>
      <c r="Z254" s="1418"/>
      <c r="AA254" s="1418"/>
      <c r="AB254" s="1418"/>
      <c r="AC254" s="1418"/>
      <c r="AD254" s="1418"/>
      <c r="AE254" s="1418"/>
      <c r="AH254" s="1779">
        <v>8.9999999999999993E-3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t="s">
        <v>2635</v>
      </c>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5" t="s">
        <v>2643</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536</v>
      </c>
      <c r="N257" s="1349"/>
      <c r="O257" s="1349"/>
      <c r="P257" s="1349"/>
      <c r="Q257" s="1349"/>
      <c r="R257" s="1349"/>
      <c r="S257" s="1349"/>
      <c r="T257" s="1349"/>
      <c r="U257" s="204" t="s">
        <v>906</v>
      </c>
      <c r="V257" s="204"/>
      <c r="W257" s="204"/>
      <c r="X257" s="204"/>
      <c r="Y257" s="204"/>
      <c r="Z257" s="204"/>
      <c r="AA257" s="1776" t="s">
        <v>2612</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173</v>
      </c>
      <c r="E270" s="1418"/>
      <c r="F270" s="1418"/>
      <c r="G270" s="1418"/>
      <c r="H270" s="1418"/>
      <c r="J270" t="s">
        <v>279</v>
      </c>
      <c r="X270" s="1691">
        <v>45962</v>
      </c>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2637</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2638</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417" t="s">
        <v>68</v>
      </c>
      <c r="M276" s="1418"/>
      <c r="N276" s="1418"/>
      <c r="O276" s="1418"/>
      <c r="P276" s="1418"/>
      <c r="Q276" s="1418"/>
      <c r="R276" s="1418"/>
      <c r="S276" s="1418"/>
      <c r="U276" s="33" t="s">
        <v>86</v>
      </c>
      <c r="V276" s="1546" t="s">
        <v>2627</v>
      </c>
      <c r="W276" s="1437"/>
      <c r="X276" s="4" t="s">
        <v>583</v>
      </c>
      <c r="AB276" s="1418">
        <v>95811</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2652</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2639</v>
      </c>
      <c r="M278" s="1347"/>
      <c r="N278" s="1347"/>
      <c r="O278" s="1347"/>
      <c r="P278" s="1347"/>
      <c r="Q278" s="1347"/>
      <c r="R278" s="4" t="s">
        <v>206</v>
      </c>
      <c r="S278" s="4"/>
      <c r="T278" s="1437"/>
      <c r="U278" s="1437"/>
      <c r="V278" s="1437"/>
      <c r="W278" s="4" t="s">
        <v>89</v>
      </c>
      <c r="Y278" s="1347"/>
      <c r="Z278" s="1347"/>
      <c r="AA278" s="1347"/>
      <c r="AB278" s="1347"/>
      <c r="AC278" s="1347"/>
      <c r="AD278" s="1347"/>
    </row>
    <row r="279" spans="1:51" ht="12.95" customHeight="1">
      <c r="D279" s="4" t="s">
        <v>90</v>
      </c>
      <c r="E279" s="4"/>
      <c r="F279" s="4"/>
      <c r="L279" s="1785" t="s">
        <v>2640</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623</v>
      </c>
      <c r="E280" s="3"/>
      <c r="F280" s="3"/>
      <c r="G280" s="3"/>
      <c r="H280" s="3"/>
      <c r="I280" s="3"/>
      <c r="L280" s="1546" t="s">
        <v>2653</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2738</v>
      </c>
      <c r="I287" s="1372"/>
      <c r="J287" s="1372"/>
      <c r="K287" s="1372"/>
      <c r="L287" s="1372"/>
      <c r="M287" s="1372"/>
      <c r="N287" s="1372"/>
      <c r="O287" s="1372"/>
      <c r="P287" s="1372"/>
      <c r="Q287" s="1372"/>
      <c r="R287" s="1372"/>
      <c r="T287" s="3" t="s">
        <v>567</v>
      </c>
      <c r="V287" s="3"/>
      <c r="W287" s="3"/>
      <c r="X287" s="3"/>
      <c r="Y287" s="3"/>
      <c r="AA287" s="1372" t="s">
        <v>2649</v>
      </c>
      <c r="AB287" s="1372"/>
      <c r="AC287" s="1372"/>
      <c r="AD287" s="1372"/>
      <c r="AE287" s="1372"/>
      <c r="AF287" s="1372"/>
      <c r="AG287" s="1372"/>
      <c r="AH287" s="1372"/>
      <c r="AI287" s="1372"/>
      <c r="AJ287" s="1372"/>
      <c r="AK287" s="1372"/>
    </row>
    <row r="288" spans="1:51" ht="12.95" customHeight="1">
      <c r="B288" s="3" t="s">
        <v>471</v>
      </c>
      <c r="C288" s="3"/>
      <c r="D288" s="3"/>
      <c r="E288" s="3"/>
      <c r="F288" s="3"/>
      <c r="H288" s="1349" t="s">
        <v>2633</v>
      </c>
      <c r="I288" s="1349"/>
      <c r="J288" s="1349"/>
      <c r="K288" s="1349"/>
      <c r="L288" s="1349"/>
      <c r="M288" s="1349"/>
      <c r="N288" s="1349"/>
      <c r="O288" s="1349"/>
      <c r="P288" s="1349"/>
      <c r="Q288" s="1349"/>
      <c r="R288" s="1349"/>
      <c r="T288" s="3" t="s">
        <v>471</v>
      </c>
      <c r="V288" s="3"/>
      <c r="W288" s="3"/>
      <c r="X288" s="3"/>
      <c r="Y288" s="3"/>
      <c r="AA288" s="1349" t="s">
        <v>2644</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2641</v>
      </c>
      <c r="I289" s="1349"/>
      <c r="J289" s="1349"/>
      <c r="K289" s="1349"/>
      <c r="L289" s="1349"/>
      <c r="M289" s="1349"/>
      <c r="N289" s="1349"/>
      <c r="O289" s="1349"/>
      <c r="P289" s="1349"/>
      <c r="Q289" s="1349"/>
      <c r="R289" s="1349"/>
      <c r="T289" s="3" t="s">
        <v>75</v>
      </c>
      <c r="V289" s="3"/>
      <c r="W289" s="3"/>
      <c r="X289" s="3"/>
      <c r="Y289" s="3"/>
      <c r="AA289" s="1349" t="s">
        <v>2645</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2642</v>
      </c>
      <c r="I290" s="1349"/>
      <c r="J290" s="1349"/>
      <c r="K290" s="1349"/>
      <c r="L290" s="1349"/>
      <c r="M290" s="1349"/>
      <c r="N290" s="1349"/>
      <c r="O290" s="1349"/>
      <c r="P290" s="1349"/>
      <c r="Q290" s="1349"/>
      <c r="R290" s="1349"/>
      <c r="T290" s="3" t="s">
        <v>87</v>
      </c>
      <c r="V290" s="3"/>
      <c r="W290" s="3"/>
      <c r="X290" s="3"/>
      <c r="Y290" s="3"/>
      <c r="AA290" s="1349" t="s">
        <v>2646</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769" t="s">
        <v>2635</v>
      </c>
      <c r="I291" s="1424"/>
      <c r="J291" s="1424"/>
      <c r="K291" s="1424"/>
      <c r="L291" s="1424"/>
      <c r="M291" s="1424"/>
      <c r="N291" s="4" t="s">
        <v>206</v>
      </c>
      <c r="O291" s="4"/>
      <c r="P291" s="1418"/>
      <c r="Q291" s="1418"/>
      <c r="R291" s="1418"/>
      <c r="S291" s="3"/>
      <c r="T291" s="3" t="s">
        <v>88</v>
      </c>
      <c r="V291" s="3"/>
      <c r="W291" s="3"/>
      <c r="X291" s="3"/>
      <c r="Y291" s="3"/>
      <c r="AA291" s="1769" t="s">
        <v>2647</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2643</v>
      </c>
      <c r="I293" s="1349"/>
      <c r="J293" s="1349"/>
      <c r="K293" s="1349"/>
      <c r="L293" s="1349"/>
      <c r="M293" s="1349"/>
      <c r="N293" s="1372"/>
      <c r="O293" s="1372"/>
      <c r="P293" s="1372"/>
      <c r="Q293" s="1372"/>
      <c r="R293" s="1372"/>
      <c r="S293" s="3"/>
      <c r="T293" s="3" t="s">
        <v>76</v>
      </c>
      <c r="V293" s="3"/>
      <c r="W293" s="3"/>
      <c r="X293" s="3"/>
      <c r="Y293" s="3"/>
      <c r="AA293" s="1349" t="s">
        <v>2648</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2637</v>
      </c>
      <c r="I295" s="1372"/>
      <c r="J295" s="1372"/>
      <c r="K295" s="1372"/>
      <c r="L295" s="1372"/>
      <c r="M295" s="1372"/>
      <c r="N295" s="1372"/>
      <c r="O295" s="1372"/>
      <c r="P295" s="1372"/>
      <c r="Q295" s="1372"/>
      <c r="R295" s="1372"/>
      <c r="T295" s="3" t="s">
        <v>364</v>
      </c>
      <c r="V295" s="3"/>
      <c r="W295" s="3"/>
      <c r="X295" s="3"/>
      <c r="Y295" s="3"/>
      <c r="AA295" s="1372"/>
      <c r="AB295" s="1372"/>
      <c r="AC295" s="1372"/>
      <c r="AD295" s="1372"/>
      <c r="AE295" s="1372"/>
      <c r="AF295" s="1372"/>
      <c r="AG295" s="1372"/>
      <c r="AH295" s="1372"/>
      <c r="AI295" s="1372"/>
      <c r="AJ295" s="1372"/>
      <c r="AK295" s="1372"/>
    </row>
    <row r="296" spans="2:37" ht="12.95" customHeight="1">
      <c r="B296" s="3" t="s">
        <v>471</v>
      </c>
      <c r="C296" s="3"/>
      <c r="D296" s="3"/>
      <c r="E296" s="3"/>
      <c r="F296" s="3"/>
      <c r="H296" s="1349" t="s">
        <v>2638</v>
      </c>
      <c r="I296" s="1349"/>
      <c r="J296" s="1349"/>
      <c r="K296" s="1349"/>
      <c r="L296" s="1349"/>
      <c r="M296" s="1349"/>
      <c r="N296" s="1349"/>
      <c r="O296" s="1349"/>
      <c r="P296" s="1349"/>
      <c r="Q296" s="1349"/>
      <c r="R296" s="1349"/>
      <c r="T296" s="3" t="s">
        <v>471</v>
      </c>
      <c r="V296" s="3"/>
      <c r="W296" s="3"/>
      <c r="X296" s="3"/>
      <c r="Y296" s="3"/>
      <c r="AA296" s="1349"/>
      <c r="AB296" s="1349"/>
      <c r="AC296" s="1349"/>
      <c r="AD296" s="1349"/>
      <c r="AE296" s="1349"/>
      <c r="AF296" s="1349"/>
      <c r="AG296" s="1349"/>
      <c r="AH296" s="1349"/>
      <c r="AI296" s="1349"/>
      <c r="AJ296" s="1349"/>
      <c r="AK296" s="1349"/>
    </row>
    <row r="297" spans="2:37" ht="12.95" customHeight="1">
      <c r="B297" s="3" t="s">
        <v>472</v>
      </c>
      <c r="C297" s="3"/>
      <c r="D297" s="3"/>
      <c r="E297" s="3"/>
      <c r="F297" s="3"/>
      <c r="H297" s="1349" t="s">
        <v>2650</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5" customHeight="1">
      <c r="B298" s="3" t="s">
        <v>87</v>
      </c>
      <c r="C298" s="3"/>
      <c r="D298" s="3"/>
      <c r="E298" s="3"/>
      <c r="F298" s="3"/>
      <c r="H298" s="1349" t="s">
        <v>2651</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769" t="s">
        <v>2639</v>
      </c>
      <c r="I299" s="1424"/>
      <c r="J299" s="1424"/>
      <c r="K299" s="1424"/>
      <c r="L299" s="1424"/>
      <c r="M299" s="1424"/>
      <c r="N299" s="4" t="s">
        <v>206</v>
      </c>
      <c r="O299" s="4"/>
      <c r="P299" s="1418"/>
      <c r="Q299" s="1418"/>
      <c r="R299" s="1418"/>
      <c r="S299" s="3"/>
      <c r="T299" s="3" t="s">
        <v>88</v>
      </c>
      <c r="V299" s="3"/>
      <c r="W299" s="3"/>
      <c r="X299" s="3"/>
      <c r="Y299" s="3"/>
      <c r="AA299" s="1424"/>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2640</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2637</v>
      </c>
      <c r="I303" s="1372"/>
      <c r="J303" s="1372"/>
      <c r="K303" s="1372"/>
      <c r="L303" s="1372"/>
      <c r="M303" s="1372"/>
      <c r="N303" s="1372"/>
      <c r="O303" s="1372"/>
      <c r="P303" s="1372"/>
      <c r="Q303" s="1372"/>
      <c r="R303" s="1372"/>
      <c r="T303" s="4" t="s">
        <v>878</v>
      </c>
      <c r="V303" s="3"/>
      <c r="W303" s="3"/>
      <c r="X303" s="3"/>
      <c r="Y303" s="3"/>
      <c r="AA303" s="1372"/>
      <c r="AB303" s="1372"/>
      <c r="AC303" s="1372"/>
      <c r="AD303" s="1372"/>
      <c r="AE303" s="1372"/>
      <c r="AF303" s="1372"/>
      <c r="AG303" s="1372"/>
      <c r="AH303" s="1372"/>
      <c r="AI303" s="1372"/>
      <c r="AJ303" s="1372"/>
      <c r="AK303" s="1372"/>
    </row>
    <row r="304" spans="2:37" ht="12.95" customHeight="1">
      <c r="B304" s="3" t="s">
        <v>471</v>
      </c>
      <c r="C304" s="3"/>
      <c r="D304" s="3"/>
      <c r="E304" s="3"/>
      <c r="F304" s="3"/>
      <c r="H304" s="1349" t="s">
        <v>2638</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2.95" customHeight="1">
      <c r="B305" s="3" t="s">
        <v>472</v>
      </c>
      <c r="C305" s="3"/>
      <c r="D305" s="3"/>
      <c r="E305" s="3"/>
      <c r="F305" s="3"/>
      <c r="H305" s="1349" t="s">
        <v>2650</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2651</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769" t="s">
        <v>2639</v>
      </c>
      <c r="I307" s="1424"/>
      <c r="J307" s="1424"/>
      <c r="K307" s="1424"/>
      <c r="L307" s="1424"/>
      <c r="M307" s="1424"/>
      <c r="N307" s="4" t="s">
        <v>206</v>
      </c>
      <c r="O307" s="4"/>
      <c r="P307" s="1418"/>
      <c r="Q307" s="1418"/>
      <c r="R307" s="1418"/>
      <c r="S307" s="3"/>
      <c r="T307" s="3" t="s">
        <v>88</v>
      </c>
      <c r="V307" s="3"/>
      <c r="W307" s="3"/>
      <c r="X307" s="3"/>
      <c r="Y307" s="3"/>
      <c r="AA307" s="1424"/>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2640</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2654</v>
      </c>
      <c r="I311" s="1372"/>
      <c r="J311" s="1372"/>
      <c r="K311" s="1372"/>
      <c r="L311" s="1372"/>
      <c r="M311" s="1372"/>
      <c r="N311" s="1372"/>
      <c r="O311" s="1372"/>
      <c r="P311" s="1372"/>
      <c r="Q311" s="1372"/>
      <c r="R311" s="1372"/>
      <c r="S311" s="3"/>
      <c r="T311" s="3" t="s">
        <v>365</v>
      </c>
      <c r="V311" s="3"/>
      <c r="W311" s="3"/>
      <c r="X311" s="3"/>
      <c r="Y311" s="3"/>
      <c r="AA311" s="1372" t="s">
        <v>2660</v>
      </c>
      <c r="AB311" s="1372"/>
      <c r="AC311" s="1372"/>
      <c r="AD311" s="1372"/>
      <c r="AE311" s="1372"/>
      <c r="AF311" s="1372"/>
      <c r="AG311" s="1372"/>
      <c r="AH311" s="1372"/>
      <c r="AI311" s="1372"/>
      <c r="AJ311" s="1372"/>
      <c r="AK311" s="1372"/>
    </row>
    <row r="312" spans="2:37" ht="12.95" customHeight="1">
      <c r="B312" s="3" t="s">
        <v>471</v>
      </c>
      <c r="C312" s="3"/>
      <c r="D312" s="3"/>
      <c r="E312" s="3"/>
      <c r="F312" s="3"/>
      <c r="H312" s="1349" t="s">
        <v>2655</v>
      </c>
      <c r="I312" s="1349"/>
      <c r="J312" s="1349"/>
      <c r="K312" s="1349"/>
      <c r="L312" s="1349"/>
      <c r="M312" s="1349"/>
      <c r="N312" s="1349"/>
      <c r="O312" s="1349"/>
      <c r="P312" s="1349"/>
      <c r="Q312" s="1349"/>
      <c r="R312" s="1349"/>
      <c r="S312" s="3"/>
      <c r="T312" s="3" t="s">
        <v>471</v>
      </c>
      <c r="V312" s="3"/>
      <c r="W312" s="3"/>
      <c r="X312" s="3"/>
      <c r="Y312" s="3"/>
      <c r="AA312" s="1349" t="s">
        <v>2661</v>
      </c>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2656</v>
      </c>
      <c r="I313" s="1349"/>
      <c r="J313" s="1349"/>
      <c r="K313" s="1349"/>
      <c r="L313" s="1349"/>
      <c r="M313" s="1349"/>
      <c r="N313" s="1349"/>
      <c r="O313" s="1349"/>
      <c r="P313" s="1349"/>
      <c r="Q313" s="1349"/>
      <c r="R313" s="1349"/>
      <c r="S313" s="3"/>
      <c r="T313" s="3" t="s">
        <v>75</v>
      </c>
      <c r="V313" s="3"/>
      <c r="W313" s="3"/>
      <c r="X313" s="3"/>
      <c r="Y313" s="3"/>
      <c r="AA313" s="1349" t="s">
        <v>2641</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2657</v>
      </c>
      <c r="I314" s="1349"/>
      <c r="J314" s="1349"/>
      <c r="K314" s="1349"/>
      <c r="L314" s="1349"/>
      <c r="M314" s="1349"/>
      <c r="N314" s="1349"/>
      <c r="O314" s="1349"/>
      <c r="P314" s="1349"/>
      <c r="Q314" s="1349"/>
      <c r="R314" s="1349"/>
      <c r="S314" s="3"/>
      <c r="T314" s="3" t="s">
        <v>87</v>
      </c>
      <c r="V314" s="3"/>
      <c r="W314" s="3"/>
      <c r="X314" s="3"/>
      <c r="Y314" s="3"/>
      <c r="AA314" s="1349" t="s">
        <v>2662</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769" t="s">
        <v>2658</v>
      </c>
      <c r="I315" s="1424"/>
      <c r="J315" s="1424"/>
      <c r="K315" s="1424"/>
      <c r="L315" s="1424"/>
      <c r="M315" s="1424"/>
      <c r="N315" s="4" t="s">
        <v>206</v>
      </c>
      <c r="O315" s="4"/>
      <c r="P315" s="1418"/>
      <c r="Q315" s="1418"/>
      <c r="R315" s="1418"/>
      <c r="S315" s="3"/>
      <c r="T315" s="3" t="s">
        <v>88</v>
      </c>
      <c r="V315" s="3"/>
      <c r="W315" s="3"/>
      <c r="X315" s="3"/>
      <c r="Y315" s="3"/>
      <c r="AA315" s="1769" t="s">
        <v>2663</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2659</v>
      </c>
      <c r="I317" s="1349"/>
      <c r="J317" s="1349"/>
      <c r="K317" s="1349"/>
      <c r="L317" s="1349"/>
      <c r="M317" s="1349"/>
      <c r="N317" s="1372"/>
      <c r="O317" s="1372"/>
      <c r="P317" s="1372"/>
      <c r="Q317" s="1372"/>
      <c r="R317" s="1372"/>
      <c r="S317" s="3"/>
      <c r="T317" s="3" t="s">
        <v>76</v>
      </c>
      <c r="V317" s="3"/>
      <c r="W317" s="3"/>
      <c r="X317" s="3"/>
      <c r="Y317" s="3"/>
      <c r="AA317" s="1349" t="s">
        <v>2664</v>
      </c>
      <c r="AB317" s="1349"/>
      <c r="AC317" s="1349"/>
      <c r="AD317" s="1349"/>
      <c r="AE317" s="1349"/>
      <c r="AF317" s="1349"/>
      <c r="AG317" s="1372"/>
      <c r="AH317" s="1372"/>
      <c r="AI317" s="1372"/>
      <c r="AJ317" s="1372"/>
      <c r="AK317" s="1372"/>
    </row>
    <row r="318" spans="2:37" ht="12.95" customHeight="1"/>
    <row r="319" spans="2:37" ht="12.95" customHeight="1">
      <c r="B319" s="4" t="s">
        <v>908</v>
      </c>
      <c r="C319" s="3"/>
      <c r="D319" s="3"/>
      <c r="E319" s="3"/>
      <c r="F319" s="3"/>
      <c r="H319" s="1372" t="s">
        <v>2637</v>
      </c>
      <c r="I319" s="1372"/>
      <c r="J319" s="1372"/>
      <c r="K319" s="1372"/>
      <c r="L319" s="1372"/>
      <c r="M319" s="1372"/>
      <c r="N319" s="1372"/>
      <c r="O319" s="1372"/>
      <c r="P319" s="1372"/>
      <c r="Q319" s="1372"/>
      <c r="R319" s="1372"/>
      <c r="T319" s="3" t="s">
        <v>366</v>
      </c>
      <c r="V319" s="3"/>
      <c r="W319" s="3"/>
      <c r="X319" s="3"/>
      <c r="Y319" s="3"/>
      <c r="AA319" s="1372" t="s">
        <v>2665</v>
      </c>
      <c r="AB319" s="1372"/>
      <c r="AC319" s="1372"/>
      <c r="AD319" s="1372"/>
      <c r="AE319" s="1372"/>
      <c r="AF319" s="1372"/>
      <c r="AG319" s="1372"/>
      <c r="AH319" s="1372"/>
      <c r="AI319" s="1372"/>
      <c r="AJ319" s="1372"/>
      <c r="AK319" s="1372"/>
    </row>
    <row r="320" spans="2:37" ht="12.95" customHeight="1">
      <c r="B320" s="3" t="s">
        <v>471</v>
      </c>
      <c r="C320" s="3"/>
      <c r="D320" s="3"/>
      <c r="E320" s="3"/>
      <c r="F320" s="3"/>
      <c r="H320" s="1349" t="s">
        <v>2638</v>
      </c>
      <c r="I320" s="1349"/>
      <c r="J320" s="1349"/>
      <c r="K320" s="1349"/>
      <c r="L320" s="1349"/>
      <c r="M320" s="1349"/>
      <c r="N320" s="1349"/>
      <c r="O320" s="1349"/>
      <c r="P320" s="1349"/>
      <c r="Q320" s="1349"/>
      <c r="R320" s="1349"/>
      <c r="T320" s="3" t="s">
        <v>471</v>
      </c>
      <c r="V320" s="3"/>
      <c r="W320" s="3"/>
      <c r="X320" s="3"/>
      <c r="Y320" s="3"/>
      <c r="AA320" s="1349" t="s">
        <v>2666</v>
      </c>
      <c r="AB320" s="1349"/>
      <c r="AC320" s="1349"/>
      <c r="AD320" s="1349"/>
      <c r="AE320" s="1349"/>
      <c r="AF320" s="1349"/>
      <c r="AG320" s="1349"/>
      <c r="AH320" s="1349"/>
      <c r="AI320" s="1349"/>
      <c r="AJ320" s="1349"/>
      <c r="AK320" s="1349"/>
    </row>
    <row r="321" spans="2:37" ht="12.95" customHeight="1">
      <c r="B321" s="3" t="s">
        <v>472</v>
      </c>
      <c r="C321" s="3"/>
      <c r="D321" s="3"/>
      <c r="E321" s="3"/>
      <c r="F321" s="3"/>
      <c r="H321" s="1349" t="s">
        <v>2650</v>
      </c>
      <c r="I321" s="1349"/>
      <c r="J321" s="1349"/>
      <c r="K321" s="1349"/>
      <c r="L321" s="1349"/>
      <c r="M321" s="1349"/>
      <c r="N321" s="1349"/>
      <c r="O321" s="1349"/>
      <c r="P321" s="1349"/>
      <c r="Q321" s="1349"/>
      <c r="R321" s="1349"/>
      <c r="T321" s="3" t="s">
        <v>75</v>
      </c>
      <c r="V321" s="3"/>
      <c r="W321" s="3"/>
      <c r="X321" s="3"/>
      <c r="Y321" s="3"/>
      <c r="AA321" s="1349" t="s">
        <v>2667</v>
      </c>
      <c r="AB321" s="1349"/>
      <c r="AC321" s="1349"/>
      <c r="AD321" s="1349"/>
      <c r="AE321" s="1349"/>
      <c r="AF321" s="1349"/>
      <c r="AG321" s="1349"/>
      <c r="AH321" s="1349"/>
      <c r="AI321" s="1349"/>
      <c r="AJ321" s="1349"/>
      <c r="AK321" s="1349"/>
    </row>
    <row r="322" spans="2:37" ht="12.95" customHeight="1">
      <c r="B322" s="3" t="s">
        <v>87</v>
      </c>
      <c r="C322" s="3"/>
      <c r="D322" s="3"/>
      <c r="E322" s="3"/>
      <c r="F322" s="3"/>
      <c r="H322" s="1349" t="s">
        <v>2651</v>
      </c>
      <c r="I322" s="1349"/>
      <c r="J322" s="1349"/>
      <c r="K322" s="1349"/>
      <c r="L322" s="1349"/>
      <c r="M322" s="1349"/>
      <c r="N322" s="1349"/>
      <c r="O322" s="1349"/>
      <c r="P322" s="1349"/>
      <c r="Q322" s="1349"/>
      <c r="R322" s="1349"/>
      <c r="T322" s="3" t="s">
        <v>87</v>
      </c>
      <c r="V322" s="3"/>
      <c r="W322" s="3"/>
      <c r="X322" s="3"/>
      <c r="Y322" s="3"/>
      <c r="AA322" s="1349" t="s">
        <v>2668</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769" t="s">
        <v>2639</v>
      </c>
      <c r="I323" s="1424"/>
      <c r="J323" s="1424"/>
      <c r="K323" s="1424"/>
      <c r="L323" s="1424"/>
      <c r="M323" s="1424"/>
      <c r="N323" s="4" t="s">
        <v>206</v>
      </c>
      <c r="O323" s="4"/>
      <c r="P323" s="1418"/>
      <c r="Q323" s="1418"/>
      <c r="R323" s="1418"/>
      <c r="S323" s="3"/>
      <c r="T323" s="3" t="s">
        <v>88</v>
      </c>
      <c r="V323" s="3"/>
      <c r="W323" s="3"/>
      <c r="X323" s="3"/>
      <c r="Y323" s="3"/>
      <c r="AA323" s="1769" t="s">
        <v>2669</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t="s">
        <v>2640</v>
      </c>
      <c r="I325" s="1349"/>
      <c r="J325" s="1349"/>
      <c r="K325" s="1349"/>
      <c r="L325" s="1349"/>
      <c r="M325" s="1349"/>
      <c r="N325" s="1372"/>
      <c r="O325" s="1372"/>
      <c r="P325" s="1372"/>
      <c r="Q325" s="1372"/>
      <c r="R325" s="1372"/>
      <c r="S325" s="3"/>
      <c r="T325" s="3" t="s">
        <v>76</v>
      </c>
      <c r="V325" s="3"/>
      <c r="W325" s="3"/>
      <c r="X325" s="3"/>
      <c r="Y325" s="3"/>
      <c r="AA325" s="1349" t="s">
        <v>2670</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2665</v>
      </c>
      <c r="I327" s="1372"/>
      <c r="J327" s="1372"/>
      <c r="K327" s="1372"/>
      <c r="L327" s="1372"/>
      <c r="M327" s="1372"/>
      <c r="N327" s="1372"/>
      <c r="O327" s="1372"/>
      <c r="P327" s="1372"/>
      <c r="Q327" s="1372"/>
      <c r="R327" s="1372"/>
      <c r="T327" s="3" t="s">
        <v>368</v>
      </c>
      <c r="V327" s="3"/>
      <c r="W327" s="3"/>
      <c r="X327" s="3"/>
      <c r="Y327" s="3"/>
      <c r="AA327" s="1372" t="s">
        <v>2671</v>
      </c>
      <c r="AB327" s="1372"/>
      <c r="AC327" s="1372"/>
      <c r="AD327" s="1372"/>
      <c r="AE327" s="1372"/>
      <c r="AF327" s="1372"/>
      <c r="AG327" s="1372"/>
      <c r="AH327" s="1372"/>
      <c r="AI327" s="1372"/>
      <c r="AJ327" s="1372"/>
      <c r="AK327" s="1372"/>
    </row>
    <row r="328" spans="2:37" ht="12.95" customHeight="1">
      <c r="B328" s="3" t="s">
        <v>471</v>
      </c>
      <c r="C328" s="3"/>
      <c r="D328" s="3"/>
      <c r="E328" s="3"/>
      <c r="F328" s="3"/>
      <c r="H328" s="1349" t="s">
        <v>2678</v>
      </c>
      <c r="I328" s="1349"/>
      <c r="J328" s="1349"/>
      <c r="K328" s="1349"/>
      <c r="L328" s="1349"/>
      <c r="M328" s="1349"/>
      <c r="N328" s="1349"/>
      <c r="O328" s="1349"/>
      <c r="P328" s="1349"/>
      <c r="Q328" s="1349"/>
      <c r="R328" s="1349"/>
      <c r="T328" s="3" t="s">
        <v>471</v>
      </c>
      <c r="V328" s="3"/>
      <c r="W328" s="3"/>
      <c r="X328" s="3"/>
      <c r="Y328" s="3"/>
      <c r="AA328" s="1349" t="s">
        <v>2672</v>
      </c>
      <c r="AB328" s="1349"/>
      <c r="AC328" s="1349"/>
      <c r="AD328" s="1349"/>
      <c r="AE328" s="1349"/>
      <c r="AF328" s="1349"/>
      <c r="AG328" s="1349"/>
      <c r="AH328" s="1349"/>
      <c r="AI328" s="1349"/>
      <c r="AJ328" s="1349"/>
      <c r="AK328" s="1349"/>
    </row>
    <row r="329" spans="2:37" ht="12.95" customHeight="1">
      <c r="B329" s="3" t="s">
        <v>472</v>
      </c>
      <c r="C329" s="3"/>
      <c r="D329" s="3"/>
      <c r="E329" s="3"/>
      <c r="F329" s="3"/>
      <c r="H329" s="1349" t="s">
        <v>2667</v>
      </c>
      <c r="I329" s="1349"/>
      <c r="J329" s="1349"/>
      <c r="K329" s="1349"/>
      <c r="L329" s="1349"/>
      <c r="M329" s="1349"/>
      <c r="N329" s="1349"/>
      <c r="O329" s="1349"/>
      <c r="P329" s="1349"/>
      <c r="Q329" s="1349"/>
      <c r="R329" s="1349"/>
      <c r="T329" s="3" t="s">
        <v>75</v>
      </c>
      <c r="V329" s="3"/>
      <c r="W329" s="3"/>
      <c r="X329" s="3"/>
      <c r="Y329" s="3"/>
      <c r="AA329" s="1349" t="s">
        <v>2673</v>
      </c>
      <c r="AB329" s="1349"/>
      <c r="AC329" s="1349"/>
      <c r="AD329" s="1349"/>
      <c r="AE329" s="1349"/>
      <c r="AF329" s="1349"/>
      <c r="AG329" s="1349"/>
      <c r="AH329" s="1349"/>
      <c r="AI329" s="1349"/>
      <c r="AJ329" s="1349"/>
      <c r="AK329" s="1349"/>
    </row>
    <row r="330" spans="2:37" ht="12.95" customHeight="1">
      <c r="B330" s="3" t="s">
        <v>87</v>
      </c>
      <c r="C330" s="3"/>
      <c r="D330" s="3"/>
      <c r="E330" s="3"/>
      <c r="F330" s="3"/>
      <c r="H330" s="1349" t="s">
        <v>2679</v>
      </c>
      <c r="I330" s="1349"/>
      <c r="J330" s="1349"/>
      <c r="K330" s="1349"/>
      <c r="L330" s="1349"/>
      <c r="M330" s="1349"/>
      <c r="N330" s="1349"/>
      <c r="O330" s="1349"/>
      <c r="P330" s="1349"/>
      <c r="Q330" s="1349"/>
      <c r="R330" s="1349"/>
      <c r="T330" s="3" t="s">
        <v>87</v>
      </c>
      <c r="V330" s="3"/>
      <c r="W330" s="3"/>
      <c r="X330" s="3"/>
      <c r="Y330" s="3"/>
      <c r="AA330" s="1349" t="s">
        <v>2674</v>
      </c>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769" t="s">
        <v>2669</v>
      </c>
      <c r="I331" s="1424"/>
      <c r="J331" s="1424"/>
      <c r="K331" s="1424"/>
      <c r="L331" s="1424"/>
      <c r="M331" s="1424"/>
      <c r="N331" s="4" t="s">
        <v>206</v>
      </c>
      <c r="O331" s="4"/>
      <c r="P331" s="1418"/>
      <c r="Q331" s="1418"/>
      <c r="R331" s="1418"/>
      <c r="S331" s="3"/>
      <c r="T331" s="3" t="s">
        <v>88</v>
      </c>
      <c r="V331" s="3"/>
      <c r="W331" s="3"/>
      <c r="X331" s="3"/>
      <c r="Y331" s="3"/>
      <c r="AA331" s="1769" t="s">
        <v>2675</v>
      </c>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6" t="s">
        <v>2676</v>
      </c>
      <c r="AB332" s="1347"/>
      <c r="AC332" s="1347"/>
      <c r="AD332" s="1347"/>
      <c r="AE332" s="1347"/>
      <c r="AF332" s="1347"/>
      <c r="AG332" s="4"/>
      <c r="AH332" s="4"/>
      <c r="AI332" s="35"/>
      <c r="AJ332" s="35"/>
      <c r="AK332" s="35"/>
    </row>
    <row r="333" spans="2:37" ht="12.95" customHeight="1">
      <c r="B333" s="3" t="s">
        <v>76</v>
      </c>
      <c r="C333" s="3"/>
      <c r="D333" s="3"/>
      <c r="E333" s="3"/>
      <c r="F333" s="3"/>
      <c r="G333" s="3"/>
      <c r="H333" s="1349" t="s">
        <v>2670</v>
      </c>
      <c r="I333" s="1349"/>
      <c r="J333" s="1349"/>
      <c r="K333" s="1349"/>
      <c r="L333" s="1349"/>
      <c r="M333" s="1349"/>
      <c r="N333" s="1372"/>
      <c r="O333" s="1372"/>
      <c r="P333" s="1372"/>
      <c r="Q333" s="1372"/>
      <c r="R333" s="1372"/>
      <c r="S333" s="3"/>
      <c r="T333" s="3" t="s">
        <v>76</v>
      </c>
      <c r="V333" s="3"/>
      <c r="W333" s="3"/>
      <c r="X333" s="3"/>
      <c r="Y333" s="3"/>
      <c r="AA333" s="1349" t="s">
        <v>2677</v>
      </c>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2680</v>
      </c>
      <c r="I335" s="1372"/>
      <c r="J335" s="1372"/>
      <c r="K335" s="1372"/>
      <c r="L335" s="1372"/>
      <c r="M335" s="1372"/>
      <c r="N335" s="1372"/>
      <c r="O335" s="1372"/>
      <c r="P335" s="1372"/>
      <c r="Q335" s="1372"/>
      <c r="R335" s="1372"/>
      <c r="T335" s="204" t="s">
        <v>886</v>
      </c>
      <c r="V335" s="3"/>
      <c r="W335" s="3"/>
      <c r="X335" s="3"/>
      <c r="Y335" s="3"/>
      <c r="AA335" s="1372" t="s">
        <v>2686</v>
      </c>
      <c r="AB335" s="1372"/>
      <c r="AC335" s="1372"/>
      <c r="AD335" s="1372"/>
      <c r="AE335" s="1372"/>
      <c r="AF335" s="1372"/>
      <c r="AG335" s="1372"/>
      <c r="AH335" s="1372"/>
      <c r="AI335" s="1372"/>
      <c r="AJ335" s="1372"/>
      <c r="AK335" s="1372"/>
    </row>
    <row r="336" spans="2:37" ht="12.95" customHeight="1">
      <c r="B336" s="3" t="s">
        <v>471</v>
      </c>
      <c r="C336" s="3"/>
      <c r="D336" s="3"/>
      <c r="E336" s="3"/>
      <c r="F336" s="3"/>
      <c r="H336" s="1349" t="s">
        <v>2681</v>
      </c>
      <c r="I336" s="1349"/>
      <c r="J336" s="1349"/>
      <c r="K336" s="1349"/>
      <c r="L336" s="1349"/>
      <c r="M336" s="1349"/>
      <c r="N336" s="1349"/>
      <c r="O336" s="1349"/>
      <c r="P336" s="1349"/>
      <c r="Q336" s="1349"/>
      <c r="R336" s="1349"/>
      <c r="T336" s="3" t="s">
        <v>471</v>
      </c>
      <c r="V336" s="3"/>
      <c r="W336" s="3"/>
      <c r="X336" s="3"/>
      <c r="Y336" s="3"/>
      <c r="AA336" s="1349" t="s">
        <v>2687</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2682</v>
      </c>
      <c r="I337" s="1349"/>
      <c r="J337" s="1349"/>
      <c r="K337" s="1349"/>
      <c r="L337" s="1349"/>
      <c r="M337" s="1349"/>
      <c r="N337" s="1349"/>
      <c r="O337" s="1349"/>
      <c r="P337" s="1349"/>
      <c r="Q337" s="1349"/>
      <c r="R337" s="1349"/>
      <c r="T337" s="3" t="s">
        <v>75</v>
      </c>
      <c r="V337" s="3"/>
      <c r="W337" s="3"/>
      <c r="X337" s="3"/>
      <c r="Y337" s="3"/>
      <c r="AA337" s="1349" t="s">
        <v>2688</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2683</v>
      </c>
      <c r="I338" s="1349"/>
      <c r="J338" s="1349"/>
      <c r="K338" s="1349"/>
      <c r="L338" s="1349"/>
      <c r="M338" s="1349"/>
      <c r="N338" s="1349"/>
      <c r="O338" s="1349"/>
      <c r="P338" s="1349"/>
      <c r="Q338" s="1349"/>
      <c r="R338" s="1349"/>
      <c r="T338" s="3" t="s">
        <v>87</v>
      </c>
      <c r="V338" s="3"/>
      <c r="W338" s="3"/>
      <c r="X338" s="3"/>
      <c r="Y338" s="3"/>
      <c r="AA338" s="1349" t="s">
        <v>2691</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769" t="s">
        <v>2684</v>
      </c>
      <c r="I339" s="1424"/>
      <c r="J339" s="1424"/>
      <c r="K339" s="1424"/>
      <c r="L339" s="1424"/>
      <c r="M339" s="1424"/>
      <c r="N339" s="4" t="s">
        <v>206</v>
      </c>
      <c r="O339" s="4"/>
      <c r="P339" s="1418"/>
      <c r="Q339" s="1418"/>
      <c r="R339" s="1418"/>
      <c r="S339" s="3"/>
      <c r="T339" s="3" t="s">
        <v>88</v>
      </c>
      <c r="V339" s="3"/>
      <c r="W339" s="3"/>
      <c r="X339" s="3"/>
      <c r="Y339" s="3"/>
      <c r="AA339" s="1769" t="s">
        <v>2689</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6" t="s">
        <v>2690</v>
      </c>
      <c r="AB340" s="1347"/>
      <c r="AC340" s="1347"/>
      <c r="AD340" s="1347"/>
      <c r="AE340" s="1347"/>
      <c r="AF340" s="1347"/>
      <c r="AG340" s="4"/>
      <c r="AH340" s="4"/>
      <c r="AI340" s="35"/>
      <c r="AJ340" s="35"/>
      <c r="AK340" s="35"/>
    </row>
    <row r="341" spans="1:66" ht="12.95" customHeight="1">
      <c r="B341" s="3" t="s">
        <v>76</v>
      </c>
      <c r="C341" s="3"/>
      <c r="D341" s="3"/>
      <c r="E341" s="3"/>
      <c r="F341" s="3"/>
      <c r="G341" s="3"/>
      <c r="H341" s="1349" t="s">
        <v>2685</v>
      </c>
      <c r="I341" s="1349"/>
      <c r="J341" s="1349"/>
      <c r="K341" s="1349"/>
      <c r="L341" s="1349"/>
      <c r="M341" s="1349"/>
      <c r="N341" s="1372"/>
      <c r="O341" s="1372"/>
      <c r="P341" s="1372"/>
      <c r="Q341" s="1372"/>
      <c r="R341" s="1372"/>
      <c r="S341" s="3"/>
      <c r="T341" s="3" t="s">
        <v>76</v>
      </c>
      <c r="V341" s="3"/>
      <c r="W341" s="3"/>
      <c r="X341" s="3"/>
      <c r="Y341" s="3"/>
      <c r="AA341" s="1349" t="s">
        <v>2692</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t="s">
        <v>591</v>
      </c>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332" t="s">
        <v>591</v>
      </c>
      <c r="N355" s="1332"/>
      <c r="P355" t="s">
        <v>1650</v>
      </c>
      <c r="AJ355" s="1332" t="s">
        <v>591</v>
      </c>
      <c r="AK355" s="1332"/>
    </row>
    <row r="356" spans="1:46" ht="12.95" customHeight="1">
      <c r="D356" s="3" t="s">
        <v>1639</v>
      </c>
      <c r="M356" s="1332" t="s">
        <v>591</v>
      </c>
      <c r="N356" s="1332"/>
      <c r="P356" s="3" t="s">
        <v>1719</v>
      </c>
      <c r="AJ356" s="1447"/>
      <c r="AK356" s="1447"/>
    </row>
    <row r="357" spans="1:46" ht="12.95" customHeight="1">
      <c r="D357" s="3" t="s">
        <v>704</v>
      </c>
      <c r="M357" s="1332" t="s">
        <v>591</v>
      </c>
      <c r="N357" s="1332"/>
      <c r="P357" t="s">
        <v>1649</v>
      </c>
      <c r="AJ357" s="1332" t="s">
        <v>545</v>
      </c>
      <c r="AK357" s="1332"/>
    </row>
    <row r="358" spans="1:46" ht="12.95" customHeight="1">
      <c r="D358" s="3" t="s">
        <v>705</v>
      </c>
      <c r="M358" s="1332" t="s">
        <v>545</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545</v>
      </c>
      <c r="O363" s="1332"/>
      <c r="P363" s="40"/>
      <c r="Q363" s="40"/>
      <c r="R363" s="40"/>
      <c r="S363" s="40"/>
      <c r="T363" s="40"/>
      <c r="U363" s="40"/>
      <c r="V363" s="40"/>
      <c r="W363" s="40"/>
      <c r="X363" s="40"/>
      <c r="Y363" s="40"/>
      <c r="Z363" s="40"/>
      <c r="AC363" s="40"/>
      <c r="AD363" s="40"/>
      <c r="AE363" s="40"/>
    </row>
    <row r="364" spans="1:46" ht="12.95" customHeight="1">
      <c r="E364" t="s">
        <v>370</v>
      </c>
      <c r="Y364" s="1332" t="s">
        <v>591</v>
      </c>
      <c r="Z364" s="1332"/>
    </row>
    <row r="365" spans="1:46" ht="12.95" customHeight="1">
      <c r="D365" s="4" t="s">
        <v>978</v>
      </c>
      <c r="Q365" s="1372" t="s">
        <v>2693</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545</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663">
        <v>16</v>
      </c>
      <c r="O370" s="1663"/>
      <c r="P370" s="1663"/>
      <c r="Q370" s="1663"/>
      <c r="R370" s="4"/>
      <c r="U370" s="4" t="s">
        <v>449</v>
      </c>
      <c r="V370" s="4"/>
      <c r="W370" s="4"/>
      <c r="X370" s="4"/>
      <c r="Y370" s="4"/>
      <c r="Z370" s="4"/>
      <c r="AA370" s="4"/>
      <c r="AB370" s="4"/>
      <c r="AC370" s="1663">
        <v>1</v>
      </c>
      <c r="AD370" s="1663"/>
      <c r="AE370" s="1663"/>
      <c r="AF370" s="1663"/>
    </row>
    <row r="371" spans="1:34" ht="12.95" customHeight="1">
      <c r="E371" s="4" t="s">
        <v>450</v>
      </c>
      <c r="F371" s="4"/>
      <c r="G371" s="4"/>
      <c r="H371" s="4"/>
      <c r="I371" s="4"/>
      <c r="J371" s="4"/>
      <c r="K371" s="4"/>
      <c r="L371" s="4"/>
      <c r="N371" s="1663">
        <v>1</v>
      </c>
      <c r="O371" s="1663"/>
      <c r="P371" s="1663"/>
      <c r="Q371" s="1663"/>
      <c r="R371" s="4"/>
      <c r="U371" s="4" t="s">
        <v>0</v>
      </c>
      <c r="V371" s="4"/>
      <c r="W371" s="4"/>
      <c r="X371" s="4"/>
      <c r="Y371" s="4"/>
      <c r="Z371" s="4"/>
      <c r="AA371" s="4"/>
      <c r="AB371" s="4"/>
      <c r="AC371" s="1663">
        <v>222</v>
      </c>
      <c r="AD371" s="1663"/>
      <c r="AE371" s="1663"/>
      <c r="AF371" s="1663"/>
    </row>
    <row r="372" spans="1:34" ht="12.95" customHeight="1">
      <c r="E372" s="4" t="s">
        <v>1</v>
      </c>
      <c r="F372" s="4"/>
      <c r="G372" s="4"/>
      <c r="H372" s="4"/>
      <c r="I372" s="4"/>
      <c r="J372" s="4"/>
      <c r="K372" s="4"/>
      <c r="L372" s="4"/>
      <c r="N372" s="1663">
        <v>3</v>
      </c>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4" t="s">
        <v>2694</v>
      </c>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817">
        <v>2007</v>
      </c>
      <c r="T377" s="1817"/>
      <c r="U377" s="1" t="s">
        <v>306</v>
      </c>
      <c r="V377" s="1817">
        <v>869</v>
      </c>
      <c r="W377" s="1817"/>
      <c r="Y377" t="s">
        <v>2079</v>
      </c>
      <c r="AC377" s="27" t="s">
        <v>305</v>
      </c>
      <c r="AD377" s="1817"/>
      <c r="AE377" s="1817"/>
      <c r="AF377" s="1" t="s">
        <v>306</v>
      </c>
      <c r="AG377" s="1817"/>
      <c r="AH377" s="1817"/>
    </row>
    <row r="378" spans="1:34" ht="12.95" customHeight="1">
      <c r="E378" s="4" t="s">
        <v>987</v>
      </c>
      <c r="F378" s="4"/>
      <c r="G378" s="4"/>
      <c r="H378" s="4"/>
      <c r="I378" s="4"/>
      <c r="J378" s="4"/>
      <c r="K378" s="4"/>
      <c r="L378" s="4"/>
      <c r="N378" s="1817">
        <v>2010</v>
      </c>
      <c r="O378" s="1817"/>
      <c r="P378" s="1817"/>
    </row>
    <row r="379" spans="1:34" ht="12.95" customHeight="1">
      <c r="E379" s="204" t="s">
        <v>2085</v>
      </c>
      <c r="F379" s="4"/>
      <c r="G379" s="4"/>
      <c r="H379" s="4"/>
      <c r="I379" s="4"/>
      <c r="J379" s="4"/>
      <c r="K379" s="4"/>
      <c r="L379" s="4"/>
      <c r="AG379" s="1804" t="s">
        <v>545</v>
      </c>
      <c r="AH379" s="1804"/>
    </row>
    <row r="380" spans="1:34" ht="12.95" customHeight="1">
      <c r="E380" s="4"/>
      <c r="F380" s="4"/>
      <c r="G380" s="4" t="s">
        <v>2086</v>
      </c>
      <c r="H380" s="4"/>
      <c r="I380" s="4"/>
      <c r="J380" s="4"/>
      <c r="K380" s="4"/>
      <c r="L380" s="4"/>
      <c r="AG380" s="1804" t="s">
        <v>669</v>
      </c>
      <c r="AH380" s="1804"/>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428</v>
      </c>
      <c r="J385" s="1372" t="s">
        <v>2695</v>
      </c>
      <c r="K385" s="1372"/>
      <c r="L385" s="1372"/>
      <c r="M385" s="1372"/>
      <c r="N385" s="1372"/>
      <c r="O385" s="1372"/>
      <c r="P385" s="1372"/>
      <c r="Q385" s="1372"/>
      <c r="R385" s="1372"/>
      <c r="S385" s="1372"/>
      <c r="T385" s="1372"/>
      <c r="U385" s="1372"/>
      <c r="V385" s="8" t="s">
        <v>83</v>
      </c>
      <c r="W385" s="8"/>
      <c r="X385" s="8"/>
      <c r="Y385" s="8"/>
      <c r="Z385" s="8"/>
      <c r="AA385" s="8"/>
      <c r="AB385" s="8"/>
      <c r="AC385" s="1372" t="s">
        <v>2696</v>
      </c>
      <c r="AD385" s="1372"/>
      <c r="AE385" s="1372"/>
      <c r="AF385" s="1372"/>
      <c r="AG385" s="1372"/>
      <c r="AH385" s="1372"/>
      <c r="AI385" s="1372"/>
      <c r="AJ385" s="1372"/>
    </row>
    <row r="386" spans="4:36" ht="12.95" customHeight="1">
      <c r="D386" s="3" t="s">
        <v>1182</v>
      </c>
      <c r="J386" s="1349" t="s">
        <v>2754</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2.95" customHeight="1">
      <c r="D387" s="3" t="s">
        <v>441</v>
      </c>
      <c r="J387" s="1349" t="s">
        <v>2698</v>
      </c>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2.95" customHeight="1">
      <c r="D388" t="s">
        <v>1178</v>
      </c>
      <c r="J388" s="1403" t="s">
        <v>2755</v>
      </c>
      <c r="K388" s="1403"/>
      <c r="L388" s="1403"/>
      <c r="M388" s="1403"/>
      <c r="N388" s="1403"/>
      <c r="O388" s="1403"/>
      <c r="P388" s="1403"/>
      <c r="Q388" s="1403"/>
      <c r="R388" s="1403"/>
      <c r="S388" s="1403"/>
      <c r="T388" s="1403"/>
      <c r="U388" s="1403"/>
      <c r="V388" s="1372" t="s">
        <v>2756</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1">
        <v>45474</v>
      </c>
      <c r="R389" s="1751"/>
      <c r="S389" s="1751"/>
      <c r="T389" s="1751"/>
      <c r="U389" s="1751"/>
      <c r="V389" t="s">
        <v>309</v>
      </c>
      <c r="AI389" s="1332" t="s">
        <v>545</v>
      </c>
      <c r="AJ389" s="1332"/>
    </row>
    <row r="390" spans="4:36" ht="12.95" customHeight="1">
      <c r="D390" t="s">
        <v>5</v>
      </c>
      <c r="Q390" s="1534">
        <v>46203</v>
      </c>
      <c r="R390" s="1821"/>
      <c r="S390" s="1821"/>
      <c r="T390" s="1821"/>
      <c r="U390" s="1821"/>
      <c r="W390" s="21" t="s">
        <v>74</v>
      </c>
      <c r="AG390" s="1819"/>
      <c r="AH390" s="1819"/>
      <c r="AI390" s="1819"/>
      <c r="AJ390" s="1819"/>
    </row>
    <row r="391" spans="4:36" ht="12.95" customHeight="1">
      <c r="D391" t="s">
        <v>427</v>
      </c>
      <c r="Q391" s="1830">
        <v>36200000</v>
      </c>
      <c r="R391" s="1830"/>
      <c r="S391" s="1830"/>
      <c r="T391" s="1830"/>
      <c r="U391" s="1830"/>
      <c r="V391" s="3" t="s">
        <v>1181</v>
      </c>
      <c r="AG391" s="1820">
        <v>46082</v>
      </c>
      <c r="AH391" s="1820"/>
      <c r="AI391" s="1820"/>
      <c r="AJ391" s="1820"/>
    </row>
    <row r="392" spans="4:36" ht="12.95" customHeight="1">
      <c r="D392" t="s">
        <v>88</v>
      </c>
      <c r="I392" s="1424"/>
      <c r="J392" s="1424"/>
      <c r="K392" s="1424"/>
      <c r="L392" s="1424"/>
      <c r="M392" s="1424"/>
      <c r="N392" s="1424"/>
      <c r="Q392" s="4" t="s">
        <v>206</v>
      </c>
      <c r="S392" s="1829"/>
      <c r="T392" s="1829"/>
      <c r="U392" s="1829"/>
      <c r="V392" t="s">
        <v>73</v>
      </c>
      <c r="AI392" s="1332" t="s">
        <v>669</v>
      </c>
      <c r="AJ392" s="1332"/>
    </row>
    <row r="393" spans="4:36" ht="12.95" customHeight="1">
      <c r="D393" t="s">
        <v>310</v>
      </c>
      <c r="Q393" s="1409"/>
      <c r="R393" s="1409"/>
      <c r="S393" s="1409"/>
      <c r="T393" s="1409"/>
      <c r="U393" s="1409"/>
      <c r="V393" t="s">
        <v>311</v>
      </c>
      <c r="AG393" s="1819"/>
      <c r="AH393" s="1819"/>
      <c r="AI393" s="1819"/>
      <c r="AJ393" s="1819"/>
    </row>
    <row r="394" spans="4:36" ht="12.95" customHeight="1">
      <c r="D394" t="s">
        <v>312</v>
      </c>
      <c r="Q394" s="1755"/>
      <c r="R394" s="1755"/>
      <c r="S394" s="1755"/>
      <c r="T394" s="1755"/>
      <c r="U394" s="1755"/>
      <c r="V394" t="s">
        <v>1163</v>
      </c>
      <c r="AG394" s="1819"/>
      <c r="AH394" s="1819"/>
      <c r="AI394" s="1819"/>
      <c r="AJ394" s="1819"/>
    </row>
    <row r="395" spans="4:36" ht="12.95" customHeight="1">
      <c r="D395" t="s">
        <v>1162</v>
      </c>
      <c r="AG395" s="1819"/>
      <c r="AH395" s="1819"/>
      <c r="AI395" s="1819"/>
      <c r="AJ395" s="1819"/>
    </row>
    <row r="396" spans="4:36" ht="12.95" customHeight="1">
      <c r="AG396" s="456"/>
      <c r="AH396" s="456"/>
      <c r="AI396" s="456"/>
      <c r="AJ396" s="456"/>
    </row>
    <row r="397" spans="4:36" ht="12.95" customHeight="1">
      <c r="D397" s="3" t="s">
        <v>2142</v>
      </c>
      <c r="AG397" s="456"/>
      <c r="AH397" s="456"/>
      <c r="AI397" s="1332" t="s">
        <v>669</v>
      </c>
      <c r="AJ397" s="1332"/>
    </row>
    <row r="398" spans="4:36" ht="12.9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1660</v>
      </c>
      <c r="S401" s="1750" t="s">
        <v>669</v>
      </c>
      <c r="T401" s="1750"/>
      <c r="U401" s="1750"/>
      <c r="V401" t="s">
        <v>1661</v>
      </c>
      <c r="AG401" s="1823"/>
      <c r="AH401" s="1823"/>
      <c r="AI401" s="1823"/>
      <c r="AJ401" s="1823"/>
    </row>
    <row r="402" spans="1:36" ht="12.95" customHeight="1">
      <c r="D402" s="3" t="s">
        <v>1658</v>
      </c>
      <c r="S402" s="1750" t="s">
        <v>591</v>
      </c>
      <c r="T402" s="1750"/>
      <c r="U402" s="1750"/>
      <c r="V402" t="s">
        <v>1663</v>
      </c>
      <c r="AE402" s="1818"/>
      <c r="AF402" s="1818"/>
      <c r="AG402" s="1818"/>
      <c r="AH402" s="1818"/>
      <c r="AI402" s="1818"/>
      <c r="AJ402" s="1818"/>
    </row>
    <row r="403" spans="1:36" ht="12.95"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1665</v>
      </c>
      <c r="E405" s="477"/>
      <c r="F405" s="477"/>
      <c r="G405" s="477"/>
      <c r="H405" s="477"/>
      <c r="I405" s="477"/>
      <c r="J405" s="477"/>
      <c r="K405" s="477"/>
      <c r="L405" s="477"/>
      <c r="M405" s="477"/>
      <c r="N405" s="477"/>
      <c r="O405" s="477"/>
      <c r="P405" s="477"/>
      <c r="Q405" s="477"/>
      <c r="R405" s="477"/>
      <c r="S405" s="1828" t="s">
        <v>2726</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7" t="s">
        <v>2699</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545</v>
      </c>
      <c r="S411" s="1332"/>
      <c r="AC411" s="27" t="s">
        <v>570</v>
      </c>
      <c r="AD411" s="1663">
        <v>3</v>
      </c>
      <c r="AE411" s="1663"/>
    </row>
    <row r="412" spans="1:36" ht="12.95" customHeight="1">
      <c r="E412" t="s">
        <v>107</v>
      </c>
      <c r="R412" s="1332" t="s">
        <v>591</v>
      </c>
      <c r="S412" s="1332"/>
      <c r="AC412" s="27" t="s">
        <v>570</v>
      </c>
      <c r="AD412" s="1663"/>
      <c r="AE412" s="1663"/>
    </row>
    <row r="413" spans="1:36" ht="12.95" customHeight="1">
      <c r="E413" t="s">
        <v>108</v>
      </c>
      <c r="S413" s="1332" t="s">
        <v>591</v>
      </c>
      <c r="T413" s="1332"/>
    </row>
    <row r="414" spans="1:36" ht="12.95" customHeight="1">
      <c r="E414" t="s">
        <v>170</v>
      </c>
      <c r="H414" s="1756" t="s">
        <v>2700</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590</v>
      </c>
      <c r="B417" s="2"/>
      <c r="C417" s="2"/>
      <c r="D417" s="2" t="s">
        <v>114</v>
      </c>
      <c r="AF417" s="2" t="s">
        <v>957</v>
      </c>
    </row>
    <row r="418" spans="1:39" ht="12.95" customHeight="1">
      <c r="E418" s="1817"/>
      <c r="F418" s="1817"/>
      <c r="G418" s="1817"/>
      <c r="H418" s="13" t="s">
        <v>115</v>
      </c>
      <c r="I418" s="1817"/>
      <c r="J418" s="1817"/>
      <c r="K418" s="1817"/>
      <c r="L418" t="s">
        <v>116</v>
      </c>
      <c r="N418" s="27" t="s">
        <v>575</v>
      </c>
      <c r="P418" s="1759">
        <v>8</v>
      </c>
      <c r="Q418" s="1759"/>
      <c r="R418" s="1759"/>
      <c r="S418" t="s">
        <v>117</v>
      </c>
      <c r="W418" s="1827">
        <f>IF(E418&gt;0,(E418*I418),(P418*43560))</f>
        <v>348480</v>
      </c>
      <c r="X418" s="1827"/>
      <c r="Y418" s="1827"/>
      <c r="Z418" t="s">
        <v>118</v>
      </c>
      <c r="AF418" s="1760">
        <f>IFERROR(IF(P418&gt;0,(AG437/P418),(AG437/(W418/43560))),0)</f>
        <v>27.75</v>
      </c>
      <c r="AG418" s="1760"/>
      <c r="AH418" s="1760"/>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1736</v>
      </c>
      <c r="F421" s="1013"/>
      <c r="G421" s="1013"/>
      <c r="H421" s="1013"/>
      <c r="I421" s="1758">
        <v>8</v>
      </c>
      <c r="J421" s="1758"/>
      <c r="K421" s="1758"/>
      <c r="L421" s="1013"/>
      <c r="M421" s="118"/>
      <c r="N421" s="1013"/>
      <c r="O421" s="1013"/>
      <c r="P421" s="1441">
        <f>(DU755+DU778+DU800)/I421</f>
        <v>37.5</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591</v>
      </c>
      <c r="AF425" s="1332"/>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608</v>
      </c>
      <c r="P429" s="1"/>
      <c r="Q429" s="1332" t="s">
        <v>545</v>
      </c>
      <c r="R429" s="1332"/>
    </row>
    <row r="430" spans="1:39" ht="12.95" customHeight="1">
      <c r="F430" t="s">
        <v>609</v>
      </c>
      <c r="P430" s="1"/>
      <c r="Q430" s="1"/>
      <c r="AF430" s="1332" t="s">
        <v>591</v>
      </c>
      <c r="AG430" s="1825"/>
    </row>
    <row r="431" spans="1:39" ht="12.95" customHeight="1"/>
    <row r="432" spans="1:39" ht="12.95" customHeight="1">
      <c r="A432" s="2"/>
      <c r="B432" s="2"/>
      <c r="C432" s="2"/>
      <c r="E432" s="4" t="s">
        <v>308</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2">
        <v>222</v>
      </c>
      <c r="AH437" s="1822"/>
      <c r="AI437" s="1822"/>
      <c r="AJ437" s="1822"/>
    </row>
    <row r="438" spans="1:55" ht="12.9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6">
        <v>0</v>
      </c>
      <c r="AH438" s="1613"/>
      <c r="AI438" s="1613"/>
      <c r="AJ438" s="1613"/>
    </row>
    <row r="439" spans="1:55" ht="12.9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2">
        <v>220</v>
      </c>
      <c r="AH439" s="1822"/>
      <c r="AI439" s="1822"/>
      <c r="AJ439" s="1822"/>
    </row>
    <row r="440" spans="1:55" ht="12.9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2">
        <v>220</v>
      </c>
      <c r="AH440" s="1822"/>
      <c r="AI440" s="1822"/>
      <c r="AJ440" s="1822"/>
    </row>
    <row r="441" spans="1:55" ht="12.9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6">
        <f>IF(ISERROR(AG440/AG439),0,AG440/AG439)</f>
        <v>1</v>
      </c>
      <c r="AH441" s="1806"/>
      <c r="AI441" s="1806"/>
      <c r="AJ441" s="1806"/>
    </row>
    <row r="442" spans="1:55" ht="12.9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150540</v>
      </c>
      <c r="AH442" s="1695"/>
      <c r="AI442" s="1695"/>
      <c r="AJ442" s="1695"/>
    </row>
    <row r="443" spans="1:55" ht="12.9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150540</v>
      </c>
      <c r="AH443" s="1695"/>
      <c r="AI443" s="1695"/>
      <c r="AJ443" s="1695"/>
    </row>
    <row r="444" spans="1:55" ht="12.9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6">
        <f>IF(ISERROR(AG443/AG442),0,AG443/AG442)</f>
        <v>1</v>
      </c>
      <c r="AH444" s="1806"/>
      <c r="AI444" s="1806"/>
      <c r="AJ444" s="1806"/>
    </row>
    <row r="445" spans="1:55" ht="12.9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6">
        <f>MIN(IF(AG441&gt;AG444,AG444,AG441),1)</f>
        <v>1</v>
      </c>
      <c r="AH445" s="1806"/>
      <c r="AI445" s="1806"/>
      <c r="AJ445" s="1806"/>
    </row>
    <row r="446" spans="1:55" ht="12.95" customHeight="1">
      <c r="D446" s="1742" t="s">
        <v>2087</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0</v>
      </c>
      <c r="AH446" s="1695"/>
      <c r="AI446" s="1695"/>
      <c r="AJ446" s="1695"/>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2.9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71414</v>
      </c>
      <c r="AH448" s="1695"/>
      <c r="AI448" s="1695"/>
      <c r="AJ448" s="1695"/>
      <c r="AZ448" s="3"/>
      <c r="BA448" s="3"/>
      <c r="BB448" s="3"/>
      <c r="BC448" s="3"/>
    </row>
    <row r="449" spans="1:55" ht="12.9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2.9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6">
        <f>AG442+AG446+AG448+AG449</f>
        <v>221954</v>
      </c>
      <c r="AH450" s="1846"/>
      <c r="AI450" s="1846"/>
      <c r="AJ450" s="1846"/>
      <c r="AZ450" s="3"/>
      <c r="BA450" s="3"/>
      <c r="BB450" s="3"/>
      <c r="BC450" s="3"/>
    </row>
    <row r="451" spans="1:55" ht="12.9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282515.57207207207</v>
      </c>
      <c r="AD454" s="1813"/>
      <c r="AE454" s="1813"/>
      <c r="AF454" s="181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282515.57207207207</v>
      </c>
      <c r="AD455" s="1813"/>
      <c r="AE455" s="1813"/>
      <c r="AF455" s="181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257205.16216216216</v>
      </c>
      <c r="AD456" s="1813"/>
      <c r="AE456" s="1813"/>
      <c r="AF456" s="1813"/>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2099</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2190</v>
      </c>
      <c r="E472" s="1850"/>
      <c r="F472" s="1850"/>
      <c r="G472" s="1850"/>
      <c r="H472" s="1850"/>
      <c r="I472" s="1850"/>
      <c r="J472" s="1850"/>
      <c r="K472" s="1850"/>
      <c r="L472" s="1850"/>
      <c r="M472" s="1850"/>
      <c r="N472" s="1850"/>
      <c r="O472" s="1850"/>
      <c r="P472" s="1850"/>
      <c r="Q472" s="1850"/>
      <c r="R472" s="1850"/>
      <c r="S472" s="1850"/>
      <c r="T472" s="1850"/>
      <c r="U472" s="1850"/>
      <c r="V472" s="1851"/>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t="s">
        <v>1040</v>
      </c>
      <c r="H474" s="1698"/>
      <c r="I474" s="1698"/>
      <c r="J474" s="1698"/>
      <c r="K474" s="1698"/>
      <c r="L474" s="1698"/>
      <c r="M474" s="1698"/>
      <c r="N474" s="1698"/>
      <c r="O474" s="1698"/>
      <c r="P474" s="1698"/>
      <c r="Q474" s="1698"/>
      <c r="R474" s="1698"/>
      <c r="S474" s="1698"/>
      <c r="T474" s="1698"/>
      <c r="U474" s="1698"/>
      <c r="V474" s="1699"/>
      <c r="W474" s="1665">
        <v>220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7" t="s">
        <v>2701</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2702</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2702</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4" t="s">
        <v>397</v>
      </c>
      <c r="C489" s="1835"/>
      <c r="D489" s="1835"/>
      <c r="E489" s="1835"/>
      <c r="F489" s="1835"/>
      <c r="G489" s="1835"/>
      <c r="H489" s="1835"/>
      <c r="I489" s="1835"/>
      <c r="J489" s="1835"/>
      <c r="K489" s="1835"/>
      <c r="L489" s="1835"/>
      <c r="M489" s="1835"/>
      <c r="N489" s="1835"/>
      <c r="O489" s="1835"/>
      <c r="P489" s="1836"/>
      <c r="Q489" s="1840" t="s">
        <v>669</v>
      </c>
      <c r="R489" s="1841"/>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7"/>
      <c r="C490" s="1838"/>
      <c r="D490" s="1838"/>
      <c r="E490" s="1838"/>
      <c r="F490" s="1838"/>
      <c r="G490" s="1838"/>
      <c r="H490" s="1838"/>
      <c r="I490" s="1838"/>
      <c r="J490" s="1838"/>
      <c r="K490" s="1838"/>
      <c r="L490" s="1838"/>
      <c r="M490" s="1838"/>
      <c r="N490" s="1838"/>
      <c r="O490" s="1838"/>
      <c r="P490" s="1839"/>
      <c r="Q490" s="1842"/>
      <c r="R490" s="1843"/>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7" t="s">
        <v>669</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v>15</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0.75</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169</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1669</v>
      </c>
      <c r="C495" s="5"/>
      <c r="D495" s="5"/>
      <c r="E495" s="5"/>
      <c r="F495" s="5"/>
      <c r="G495" s="5"/>
      <c r="H495" s="5"/>
      <c r="I495" s="5"/>
      <c r="J495" s="5"/>
      <c r="K495" s="5"/>
      <c r="L495" s="5"/>
      <c r="M495" s="1446"/>
      <c r="N495" s="1447"/>
      <c r="O495" s="1447"/>
      <c r="P495" s="1448"/>
      <c r="Q495" s="121" t="s">
        <v>1670</v>
      </c>
      <c r="R495" s="5"/>
      <c r="S495" s="5"/>
      <c r="T495" s="5"/>
      <c r="U495" s="5"/>
      <c r="V495" s="5"/>
      <c r="W495" s="5"/>
      <c r="X495" s="5"/>
      <c r="Y495" s="5"/>
      <c r="Z495" s="5"/>
      <c r="AA495" s="5"/>
      <c r="AB495" s="5"/>
      <c r="AC495" s="5"/>
      <c r="AD495" s="5"/>
      <c r="AE495" s="5"/>
      <c r="AF495" s="5"/>
      <c r="AG495" s="5"/>
      <c r="AH495" s="1446">
        <v>169</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591</v>
      </c>
      <c r="AD501" s="1663"/>
      <c r="AE501" s="1663"/>
      <c r="AF501" s="1663"/>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3</v>
      </c>
      <c r="AD502" s="1663"/>
      <c r="AE502" s="1663"/>
      <c r="AF502" s="1663"/>
      <c r="AG502" s="38" t="s">
        <v>403</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591</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591</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t="s">
        <v>591</v>
      </c>
      <c r="AD505" s="1663"/>
      <c r="AE505" s="1663"/>
      <c r="AF505" s="1663"/>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t="s">
        <v>591</v>
      </c>
      <c r="AD506" s="1663"/>
      <c r="AE506" s="1663"/>
      <c r="AF506" s="1663"/>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3</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5"/>
      <c r="AC508" s="1662" t="s">
        <v>591</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2" t="s">
        <v>1184</v>
      </c>
      <c r="AD509" s="1822"/>
      <c r="AE509" s="1822"/>
      <c r="AF509" s="1822"/>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1"/>
      <c r="AD512" s="1832"/>
      <c r="AE512" s="1832"/>
      <c r="AF512" s="1833"/>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4"/>
      <c r="AZ513" s="3"/>
      <c r="BA513" s="3"/>
      <c r="BB513" s="3"/>
      <c r="BC513" s="3"/>
      <c r="BD513" s="3"/>
      <c r="BE513" s="3"/>
      <c r="BF513" s="3"/>
      <c r="BG513" s="3"/>
      <c r="BH513" s="3"/>
      <c r="BI513" s="3"/>
      <c r="BJ513" s="3"/>
      <c r="BK513" s="3"/>
      <c r="BL513" s="3"/>
      <c r="BM513" s="3"/>
      <c r="BN513" s="3" t="s">
        <v>2104</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8</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2.95" customHeight="1">
      <c r="B515" s="1673"/>
      <c r="C515" s="1433"/>
      <c r="D515" s="1433"/>
      <c r="E515" s="1433"/>
      <c r="F515" s="1433"/>
      <c r="G515" s="1433"/>
      <c r="H515" s="1434"/>
      <c r="I515" t="s">
        <v>416</v>
      </c>
      <c r="AC515" s="1662">
        <v>9</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3</v>
      </c>
      <c r="AD516" s="1663"/>
      <c r="AE516" s="1663"/>
      <c r="AF516" s="1663"/>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2108</v>
      </c>
    </row>
    <row r="518" spans="2:66" ht="12.95" customHeight="1">
      <c r="B518" s="1673"/>
      <c r="C518" s="1433"/>
      <c r="D518" s="1433"/>
      <c r="E518" s="1433"/>
      <c r="F518" s="1433"/>
      <c r="G518" s="1433"/>
      <c r="H518" s="1434"/>
      <c r="I518" t="s">
        <v>416</v>
      </c>
      <c r="AC518" s="1662">
        <v>9</v>
      </c>
      <c r="AD518" s="1663"/>
      <c r="AE518" s="1663"/>
      <c r="AF518" s="1663"/>
      <c r="AG518" s="13" t="s">
        <v>403</v>
      </c>
      <c r="AH518" s="1403">
        <v>2025</v>
      </c>
      <c r="AI518" s="1403"/>
      <c r="AJ518" s="1403"/>
      <c r="AK518" s="1404"/>
      <c r="BB518" s="3"/>
      <c r="BC518" s="3"/>
      <c r="BD518" s="3"/>
      <c r="BE518" s="3"/>
      <c r="BF518" s="3"/>
      <c r="BG518" s="3"/>
      <c r="BH518" s="3"/>
      <c r="BI518" s="3"/>
      <c r="BJ518" s="3"/>
      <c r="BK518" s="3"/>
      <c r="BL518" s="3"/>
      <c r="BM518" s="3"/>
      <c r="BN518" s="3" t="s">
        <v>2109</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8</v>
      </c>
      <c r="AD519" s="1663"/>
      <c r="AE519" s="1663"/>
      <c r="AF519" s="1663"/>
      <c r="AG519" s="38" t="s">
        <v>403</v>
      </c>
      <c r="AH519" s="1403">
        <v>2028</v>
      </c>
      <c r="AI519" s="1403"/>
      <c r="AJ519" s="1403"/>
      <c r="AK519" s="1404"/>
      <c r="BB519" s="3"/>
      <c r="BC519" s="3"/>
      <c r="BD519" s="3"/>
      <c r="BE519" s="3"/>
      <c r="BF519" s="3"/>
      <c r="BG519" s="3"/>
      <c r="BH519" s="3"/>
      <c r="BI519" s="3"/>
      <c r="BJ519" s="3"/>
      <c r="BK519" s="3"/>
      <c r="BL519" s="3"/>
      <c r="BM519" s="3"/>
      <c r="BN519" s="3" t="s">
        <v>2110</v>
      </c>
    </row>
    <row r="520" spans="2:66" ht="12.95" customHeight="1">
      <c r="B520" s="1672" t="s">
        <v>419</v>
      </c>
      <c r="C520" s="1431"/>
      <c r="D520" s="1431"/>
      <c r="E520" s="1431"/>
      <c r="F520" s="1431"/>
      <c r="G520" s="1431"/>
      <c r="H520" s="1432"/>
      <c r="I520" s="41" t="s">
        <v>420</v>
      </c>
      <c r="J520" s="42"/>
      <c r="K520" s="42"/>
      <c r="L520" s="42"/>
      <c r="M520" s="42"/>
      <c r="N520" s="42"/>
      <c r="O520" s="1749" t="s">
        <v>2703</v>
      </c>
      <c r="P520" s="1750"/>
      <c r="Q520" s="1750"/>
      <c r="R520" s="1750"/>
      <c r="S520" s="1750"/>
      <c r="T520" s="1750"/>
      <c r="U520" s="1750"/>
      <c r="V520" s="1750"/>
      <c r="W520" s="1750"/>
      <c r="X520" s="1750"/>
      <c r="Y520" s="1750"/>
      <c r="Z520" s="1750"/>
      <c r="AA520" s="1750"/>
      <c r="AB520" s="58"/>
      <c r="AC520" s="1337">
        <v>9</v>
      </c>
      <c r="AD520" s="1338"/>
      <c r="AE520" s="1338"/>
      <c r="AF520" s="1338"/>
      <c r="AG520" s="129" t="s">
        <v>403</v>
      </c>
      <c r="AH520" s="1403">
        <v>2025</v>
      </c>
      <c r="AI520" s="1403"/>
      <c r="AJ520" s="1403"/>
      <c r="AK520" s="1404"/>
      <c r="AZ520" s="3"/>
      <c r="BB520" s="3"/>
      <c r="BC520" s="3"/>
      <c r="BD520" s="3"/>
      <c r="BE520" s="3"/>
      <c r="BF520" s="3"/>
      <c r="BG520" s="3"/>
      <c r="BH520" s="3"/>
      <c r="BI520" s="3"/>
      <c r="BJ520" s="3"/>
      <c r="BK520" s="3"/>
      <c r="BL520" s="3"/>
      <c r="BM520" s="3"/>
      <c r="BN520" s="3" t="s">
        <v>2111</v>
      </c>
    </row>
    <row r="521" spans="2:66" ht="12.95" customHeight="1">
      <c r="B521" s="1673"/>
      <c r="C521" s="1433"/>
      <c r="D521" s="1433"/>
      <c r="E521" s="1433"/>
      <c r="F521" s="1433"/>
      <c r="G521" s="1433"/>
      <c r="H521" s="1434"/>
      <c r="I521" s="114" t="s">
        <v>421</v>
      </c>
      <c r="AB521" s="65"/>
      <c r="AC521" s="1662">
        <v>3</v>
      </c>
      <c r="AD521" s="1663"/>
      <c r="AE521" s="1663"/>
      <c r="AF521" s="1663"/>
      <c r="AG521" s="13" t="s">
        <v>403</v>
      </c>
      <c r="AH521" s="1403">
        <v>2026</v>
      </c>
      <c r="AI521" s="1403"/>
      <c r="AJ521" s="1403"/>
      <c r="AK521" s="1404"/>
      <c r="AZ521" s="3"/>
      <c r="BB521" s="3"/>
      <c r="BC521" s="3"/>
      <c r="BD521" s="3"/>
      <c r="BE521" s="3"/>
      <c r="BF521" s="3"/>
      <c r="BG521" s="3"/>
      <c r="BH521" s="3"/>
      <c r="BI521" s="3"/>
      <c r="BJ521" s="3"/>
      <c r="BK521" s="3"/>
      <c r="BL521" s="3"/>
      <c r="BM521" s="3"/>
      <c r="BN521" s="3" t="s">
        <v>2112</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403</v>
      </c>
      <c r="AH522" s="1403"/>
      <c r="AI522" s="1403"/>
      <c r="AJ522" s="1403"/>
      <c r="AK522" s="1404"/>
      <c r="AZ522" s="3"/>
      <c r="BA522" s="3"/>
      <c r="BB522" s="3"/>
      <c r="BC522" s="3"/>
      <c r="BD522" s="3"/>
      <c r="BE522" s="3"/>
      <c r="BF522" s="3"/>
      <c r="BG522" s="3"/>
      <c r="BH522" s="3"/>
      <c r="BI522" s="3"/>
      <c r="BJ522" s="3"/>
      <c r="BK522" s="3"/>
      <c r="BL522" s="3"/>
      <c r="BM522" s="3"/>
      <c r="BN522" s="3" t="s">
        <v>2113</v>
      </c>
    </row>
    <row r="523" spans="2:66" ht="12.95" customHeight="1">
      <c r="B523" s="1673"/>
      <c r="C523" s="1433"/>
      <c r="D523" s="1433"/>
      <c r="E523" s="1433"/>
      <c r="F523" s="1433"/>
      <c r="G523" s="1433"/>
      <c r="H523" s="1434"/>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2" t="s">
        <v>591</v>
      </c>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2.95" customHeight="1">
      <c r="B524" s="1673"/>
      <c r="C524" s="1433"/>
      <c r="D524" s="1433"/>
      <c r="E524" s="1433"/>
      <c r="F524" s="1433"/>
      <c r="G524" s="1433"/>
      <c r="H524" s="1434"/>
      <c r="I524" t="s">
        <v>421</v>
      </c>
      <c r="AC524" s="1662" t="s">
        <v>591</v>
      </c>
      <c r="AD524" s="1663"/>
      <c r="AE524" s="1663"/>
      <c r="AF524" s="1663"/>
      <c r="AG524" s="13" t="s">
        <v>403</v>
      </c>
      <c r="AH524" s="1403"/>
      <c r="AI524" s="1403"/>
      <c r="AJ524" s="1403"/>
      <c r="AK524" s="1404"/>
      <c r="AZ524" s="3"/>
      <c r="BA524" s="3"/>
      <c r="BB524" s="3"/>
      <c r="BC524" s="3"/>
      <c r="BD524" s="3"/>
      <c r="BE524" s="3"/>
      <c r="BF524" s="3"/>
      <c r="BG524" s="3"/>
      <c r="BH524" s="3"/>
      <c r="BI524" s="3"/>
      <c r="BJ524" s="3"/>
      <c r="BK524" s="3"/>
      <c r="BL524" s="3"/>
      <c r="BM524" s="3"/>
      <c r="BN524" s="3" t="s">
        <v>2115</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403</v>
      </c>
      <c r="AH525" s="1403"/>
      <c r="AI525" s="1403"/>
      <c r="AJ525" s="1403"/>
      <c r="AK525" s="1404"/>
      <c r="AZ525" s="3"/>
      <c r="BA525" s="3"/>
      <c r="BB525" s="3"/>
      <c r="BC525" s="3"/>
      <c r="BD525" s="3"/>
      <c r="BE525" s="3"/>
      <c r="BF525" s="3"/>
      <c r="BG525" s="3"/>
      <c r="BH525" s="3"/>
      <c r="BI525" s="3"/>
      <c r="BJ525" s="3"/>
      <c r="BK525" s="3"/>
      <c r="BL525" s="3"/>
      <c r="BM525" s="3"/>
      <c r="BN525" s="3" t="s">
        <v>2116</v>
      </c>
    </row>
    <row r="526" spans="2:66" ht="12.95" customHeight="1">
      <c r="B526" s="1673"/>
      <c r="C526" s="1433"/>
      <c r="D526" s="1433"/>
      <c r="E526" s="1433"/>
      <c r="F526" s="1433"/>
      <c r="G526" s="1433"/>
      <c r="H526" s="1434"/>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2" t="s">
        <v>591</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2.95" customHeight="1">
      <c r="B527" s="1673"/>
      <c r="C527" s="1433"/>
      <c r="D527" s="1433"/>
      <c r="E527" s="1433"/>
      <c r="F527" s="1433"/>
      <c r="G527" s="1433"/>
      <c r="H527" s="1434"/>
      <c r="I527" t="s">
        <v>421</v>
      </c>
      <c r="AC527" s="1662" t="s">
        <v>591</v>
      </c>
      <c r="AD527" s="1663"/>
      <c r="AE527" s="1663"/>
      <c r="AF527" s="1663"/>
      <c r="AG527" s="13" t="s">
        <v>403</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403</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2.95" customHeight="1">
      <c r="B529" s="1673"/>
      <c r="C529" s="1433"/>
      <c r="D529" s="1433"/>
      <c r="E529" s="1433"/>
      <c r="F529" s="1433"/>
      <c r="G529" s="1433"/>
      <c r="H529" s="1434"/>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591</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2.95" customHeight="1">
      <c r="B530" s="1673"/>
      <c r="C530" s="1433"/>
      <c r="D530" s="1433"/>
      <c r="E530" s="1433"/>
      <c r="F530" s="1433"/>
      <c r="G530" s="1433"/>
      <c r="H530" s="1434"/>
      <c r="I530" t="s">
        <v>421</v>
      </c>
      <c r="AC530" s="1662" t="s">
        <v>591</v>
      </c>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2.95" customHeight="1">
      <c r="B532" s="1673"/>
      <c r="C532" s="1433"/>
      <c r="D532" s="1433"/>
      <c r="E532" s="1433"/>
      <c r="F532" s="1433"/>
      <c r="G532" s="1433"/>
      <c r="H532" s="1434"/>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591</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2.95" customHeight="1">
      <c r="B533" s="1673"/>
      <c r="C533" s="1433"/>
      <c r="D533" s="1433"/>
      <c r="E533" s="1433"/>
      <c r="F533" s="1433"/>
      <c r="G533" s="1433"/>
      <c r="H533" s="1434"/>
      <c r="I533" t="s">
        <v>421</v>
      </c>
      <c r="AC533" s="1662" t="s">
        <v>591</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2.95" customHeight="1">
      <c r="B535" s="1673"/>
      <c r="C535" s="1433"/>
      <c r="D535" s="1433"/>
      <c r="E535" s="1433"/>
      <c r="F535" s="1433"/>
      <c r="G535" s="1433"/>
      <c r="H535" s="1434"/>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591</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2.95" customHeight="1">
      <c r="B536" s="1673"/>
      <c r="C536" s="1433"/>
      <c r="D536" s="1433"/>
      <c r="E536" s="1433"/>
      <c r="F536" s="1433"/>
      <c r="G536" s="1433"/>
      <c r="H536" s="1434"/>
      <c r="I536" t="s">
        <v>421</v>
      </c>
      <c r="AC536" s="1662" t="s">
        <v>591</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2.9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3</v>
      </c>
      <c r="AD538" s="1663"/>
      <c r="AE538" s="1663"/>
      <c r="AF538" s="1663"/>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563</v>
      </c>
      <c r="AC539" s="1662">
        <v>3</v>
      </c>
      <c r="AD539" s="1663"/>
      <c r="AE539" s="1663"/>
      <c r="AF539" s="1663"/>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564</v>
      </c>
      <c r="AC540" s="1662">
        <v>3</v>
      </c>
      <c r="AD540" s="1663"/>
      <c r="AE540" s="1663"/>
      <c r="AF540" s="1663"/>
      <c r="AG540" s="38" t="s">
        <v>403</v>
      </c>
      <c r="AH540" s="1403">
        <v>2028</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565</v>
      </c>
      <c r="AC541" s="1662">
        <v>3</v>
      </c>
      <c r="AD541" s="1663"/>
      <c r="AE541" s="1663"/>
      <c r="AF541" s="1663"/>
      <c r="AG541" s="38" t="s">
        <v>403</v>
      </c>
      <c r="AH541" s="1403">
        <v>2028</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6</v>
      </c>
      <c r="AD542" s="1663"/>
      <c r="AE542" s="1663"/>
      <c r="AF542" s="1663"/>
      <c r="AG542" s="38" t="s">
        <v>403</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2102</v>
      </c>
      <c r="C551" s="1431"/>
      <c r="D551" s="1431"/>
      <c r="E551" s="1431"/>
      <c r="F551" s="1431"/>
      <c r="G551" s="1431"/>
      <c r="H551" s="1431"/>
      <c r="I551" s="1431"/>
      <c r="J551" s="1431"/>
      <c r="K551" s="1431"/>
      <c r="L551" s="1432"/>
      <c r="M551" s="1672" t="s">
        <v>2103</v>
      </c>
      <c r="N551" s="1431"/>
      <c r="O551" s="1431"/>
      <c r="P551" s="1432"/>
      <c r="Q551" s="1672" t="s">
        <v>2129</v>
      </c>
      <c r="R551" s="1431"/>
      <c r="S551" s="1432"/>
      <c r="T551" s="1672" t="s">
        <v>2130</v>
      </c>
      <c r="U551" s="1431"/>
      <c r="V551" s="1432"/>
      <c r="W551" s="1672" t="s">
        <v>453</v>
      </c>
      <c r="X551" s="1431"/>
      <c r="Y551" s="1432"/>
      <c r="Z551" s="1672" t="s">
        <v>1851</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2704</v>
      </c>
      <c r="D554" s="1693"/>
      <c r="E554" s="1693"/>
      <c r="F554" s="1693"/>
      <c r="G554" s="1693"/>
      <c r="H554" s="1693"/>
      <c r="I554" s="1693"/>
      <c r="J554" s="1693"/>
      <c r="K554" s="1693"/>
      <c r="L554" s="1693"/>
      <c r="M554" s="1693" t="s">
        <v>2119</v>
      </c>
      <c r="N554" s="1693"/>
      <c r="O554" s="1693"/>
      <c r="P554" s="1693"/>
      <c r="Q554" s="1453">
        <v>36</v>
      </c>
      <c r="R554" s="1453"/>
      <c r="S554" s="1454"/>
      <c r="T554" s="1452">
        <v>480</v>
      </c>
      <c r="U554" s="1453"/>
      <c r="V554" s="1454"/>
      <c r="W554" s="1455">
        <v>5.7500000000000002E-2</v>
      </c>
      <c r="X554" s="1456"/>
      <c r="Y554" s="1457"/>
      <c r="Z554" s="1694" t="s">
        <v>2736</v>
      </c>
      <c r="AA554" s="1694"/>
      <c r="AB554" s="1694"/>
      <c r="AC554" s="1694"/>
      <c r="AD554" s="1694"/>
      <c r="AE554" s="1675">
        <v>1</v>
      </c>
      <c r="AF554" s="1676"/>
      <c r="AG554" s="1676"/>
      <c r="AH554" s="1677"/>
      <c r="AI554" s="1678"/>
      <c r="AJ554" s="1679"/>
      <c r="AK554" s="1679"/>
      <c r="AL554" s="1680"/>
      <c r="AM554" s="1668">
        <v>16651125</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2704</v>
      </c>
      <c r="D555" s="1681"/>
      <c r="E555" s="1681"/>
      <c r="F555" s="1681"/>
      <c r="G555" s="1681"/>
      <c r="H555" s="1681"/>
      <c r="I555" s="1681"/>
      <c r="J555" s="1681"/>
      <c r="K555" s="1681"/>
      <c r="L555" s="1681"/>
      <c r="M555" s="1693" t="s">
        <v>2120</v>
      </c>
      <c r="N555" s="1693"/>
      <c r="O555" s="1693"/>
      <c r="P555" s="1693"/>
      <c r="Q555" s="1452">
        <v>36</v>
      </c>
      <c r="R555" s="1453"/>
      <c r="S555" s="1454"/>
      <c r="T555" s="1452">
        <v>480</v>
      </c>
      <c r="U555" s="1453"/>
      <c r="V555" s="1454"/>
      <c r="W555" s="1455">
        <v>5.7500000000000002E-2</v>
      </c>
      <c r="X555" s="1456"/>
      <c r="Y555" s="1457"/>
      <c r="Z555" s="1694" t="s">
        <v>2736</v>
      </c>
      <c r="AA555" s="1694"/>
      <c r="AB555" s="1694"/>
      <c r="AC555" s="1694"/>
      <c r="AD555" s="1694"/>
      <c r="AE555" s="1675">
        <v>1</v>
      </c>
      <c r="AF555" s="1676"/>
      <c r="AG555" s="1676"/>
      <c r="AH555" s="1677"/>
      <c r="AI555" s="1678"/>
      <c r="AJ555" s="1679"/>
      <c r="AK555" s="1679"/>
      <c r="AL555" s="1680"/>
      <c r="AM555" s="1668">
        <v>5369319</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2704</v>
      </c>
      <c r="D556" s="1681"/>
      <c r="E556" s="1681"/>
      <c r="F556" s="1681"/>
      <c r="G556" s="1681"/>
      <c r="H556" s="1681"/>
      <c r="I556" s="1681"/>
      <c r="J556" s="1681"/>
      <c r="K556" s="1681"/>
      <c r="L556" s="1681"/>
      <c r="M556" s="1693" t="s">
        <v>2118</v>
      </c>
      <c r="N556" s="1693"/>
      <c r="O556" s="1693"/>
      <c r="P556" s="1693"/>
      <c r="Q556" s="1452">
        <v>36</v>
      </c>
      <c r="R556" s="1453"/>
      <c r="S556" s="1454"/>
      <c r="T556" s="1452">
        <v>480</v>
      </c>
      <c r="U556" s="1453"/>
      <c r="V556" s="1454"/>
      <c r="W556" s="1455">
        <v>5.7500000000000002E-2</v>
      </c>
      <c r="X556" s="1456"/>
      <c r="Y556" s="1457"/>
      <c r="Z556" s="1694" t="s">
        <v>2736</v>
      </c>
      <c r="AA556" s="1694"/>
      <c r="AB556" s="1694"/>
      <c r="AC556" s="1694"/>
      <c r="AD556" s="1694"/>
      <c r="AE556" s="1675">
        <v>1</v>
      </c>
      <c r="AF556" s="1676"/>
      <c r="AG556" s="1676"/>
      <c r="AH556" s="1677"/>
      <c r="AI556" s="1678"/>
      <c r="AJ556" s="1679"/>
      <c r="AK556" s="1679"/>
      <c r="AL556" s="1680"/>
      <c r="AM556" s="1668">
        <v>21716219</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581</v>
      </c>
      <c r="C557" s="1681" t="s">
        <v>2614</v>
      </c>
      <c r="D557" s="1681"/>
      <c r="E557" s="1681"/>
      <c r="F557" s="1681"/>
      <c r="G557" s="1681"/>
      <c r="H557" s="1681"/>
      <c r="I557" s="1681"/>
      <c r="J557" s="1681"/>
      <c r="K557" s="1681"/>
      <c r="L557" s="1681"/>
      <c r="M557" s="1693" t="s">
        <v>2115</v>
      </c>
      <c r="N557" s="1693"/>
      <c r="O557" s="1693"/>
      <c r="P557" s="1693"/>
      <c r="Q557" s="1452">
        <v>30</v>
      </c>
      <c r="R557" s="1453"/>
      <c r="S557" s="1454"/>
      <c r="T557" s="1452"/>
      <c r="U557" s="1453"/>
      <c r="V557" s="1454"/>
      <c r="W557" s="1455">
        <v>0.03</v>
      </c>
      <c r="X557" s="1456"/>
      <c r="Y557" s="1457"/>
      <c r="Z557" s="1694" t="s">
        <v>2736</v>
      </c>
      <c r="AA557" s="1694"/>
      <c r="AB557" s="1694"/>
      <c r="AC557" s="1694"/>
      <c r="AD557" s="1694"/>
      <c r="AE557" s="1675">
        <v>2</v>
      </c>
      <c r="AF557" s="1676"/>
      <c r="AG557" s="1676"/>
      <c r="AH557" s="1677"/>
      <c r="AI557" s="1678"/>
      <c r="AJ557" s="1679"/>
      <c r="AK557" s="1679"/>
      <c r="AL557" s="1680"/>
      <c r="AM557" s="1668">
        <v>9088225</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763</v>
      </c>
      <c r="C558" s="1681" t="s">
        <v>2738</v>
      </c>
      <c r="D558" s="1681"/>
      <c r="E558" s="1681"/>
      <c r="F558" s="1681"/>
      <c r="G558" s="1681"/>
      <c r="H558" s="1681"/>
      <c r="I558" s="1681"/>
      <c r="J558" s="1681"/>
      <c r="K558" s="1681"/>
      <c r="L558" s="1681"/>
      <c r="M558" s="1693" t="s">
        <v>2106</v>
      </c>
      <c r="N558" s="1693"/>
      <c r="O558" s="1693"/>
      <c r="P558" s="1693"/>
      <c r="Q558" s="1452"/>
      <c r="R558" s="1453"/>
      <c r="S558" s="1454"/>
      <c r="T558" s="1452"/>
      <c r="U558" s="1453"/>
      <c r="V558" s="1454"/>
      <c r="W558" s="1455"/>
      <c r="X558" s="1456"/>
      <c r="Y558" s="1457"/>
      <c r="Z558" s="1694" t="s">
        <v>1184</v>
      </c>
      <c r="AA558" s="1694"/>
      <c r="AB558" s="1694"/>
      <c r="AC558" s="1694"/>
      <c r="AD558" s="1694"/>
      <c r="AE558" s="1675"/>
      <c r="AF558" s="1676"/>
      <c r="AG558" s="1676"/>
      <c r="AH558" s="1677"/>
      <c r="AI558" s="1678"/>
      <c r="AJ558" s="1679"/>
      <c r="AK558" s="1679"/>
      <c r="AL558" s="1680"/>
      <c r="AM558" s="1668">
        <v>4169506</v>
      </c>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1" t="s">
        <v>2660</v>
      </c>
      <c r="D559" s="1681"/>
      <c r="E559" s="1681"/>
      <c r="F559" s="1681"/>
      <c r="G559" s="1681"/>
      <c r="H559" s="1681"/>
      <c r="I559" s="1681"/>
      <c r="J559" s="1681"/>
      <c r="K559" s="1681"/>
      <c r="L559" s="1681"/>
      <c r="M559" s="1693" t="s">
        <v>2110</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v>3700812</v>
      </c>
      <c r="AN559" s="1669"/>
      <c r="AO559" s="1669"/>
      <c r="AP559" s="1669"/>
      <c r="AQ559" s="1669"/>
      <c r="AR559" s="1669"/>
      <c r="AS559" s="1670"/>
      <c r="AT559" s="1148" t="str">
        <f t="shared" si="0"/>
        <v/>
      </c>
      <c r="AU559" s="1147"/>
      <c r="BB559" s="3"/>
      <c r="BC559" s="3"/>
      <c r="BD559" s="3"/>
      <c r="BE559" s="3"/>
      <c r="BF559" s="3"/>
      <c r="BG559" s="3"/>
      <c r="BH559" s="3" t="s">
        <v>584</v>
      </c>
      <c r="BI559" s="3" t="str">
        <f>AG665</f>
        <v>No</v>
      </c>
    </row>
    <row r="560" spans="1:61" ht="12.95" customHeight="1">
      <c r="B560" s="52" t="s">
        <v>455</v>
      </c>
      <c r="C560" s="1681" t="s">
        <v>2705</v>
      </c>
      <c r="D560" s="1681"/>
      <c r="E560" s="1681"/>
      <c r="F560" s="1681"/>
      <c r="G560" s="1681"/>
      <c r="H560" s="1681"/>
      <c r="I560" s="1681"/>
      <c r="J560" s="1681"/>
      <c r="K560" s="1681"/>
      <c r="L560" s="1681"/>
      <c r="M560" s="1693" t="s">
        <v>2121</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v>1016178</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456</v>
      </c>
      <c r="C561" s="1681" t="s">
        <v>2705</v>
      </c>
      <c r="D561" s="1681"/>
      <c r="E561" s="1681"/>
      <c r="F561" s="1681"/>
      <c r="G561" s="1681"/>
      <c r="H561" s="1681"/>
      <c r="I561" s="1681"/>
      <c r="J561" s="1681"/>
      <c r="K561" s="1681"/>
      <c r="L561" s="1681"/>
      <c r="M561" s="1693" t="s">
        <v>2123</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v>1007073</v>
      </c>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62718457</v>
      </c>
      <c r="AN566" s="1616"/>
      <c r="AO566" s="1616"/>
      <c r="AP566" s="1616"/>
      <c r="AQ566" s="1616"/>
      <c r="AR566" s="1616"/>
      <c r="AS566" s="1617"/>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9" t="str">
        <f>C554</f>
        <v>Citi Bank, N.A</v>
      </c>
      <c r="H568" s="1359"/>
      <c r="I568" s="1359"/>
      <c r="J568" s="1359"/>
      <c r="K568" s="1359"/>
      <c r="L568" s="1359"/>
      <c r="M568" s="1359"/>
      <c r="N568" s="1359"/>
      <c r="O568" s="1359"/>
      <c r="P568" s="1359"/>
      <c r="Q568" s="1359"/>
      <c r="R568" s="1359"/>
      <c r="S568" s="8"/>
      <c r="T568" s="55" t="s">
        <v>113</v>
      </c>
      <c r="U568" t="s">
        <v>463</v>
      </c>
      <c r="Z568" s="1359" t="str">
        <f>C555</f>
        <v>Citi Bank, N.A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2706</v>
      </c>
      <c r="H569" s="1372"/>
      <c r="I569" s="1372"/>
      <c r="J569" s="1372"/>
      <c r="K569" s="1372"/>
      <c r="L569" s="1372"/>
      <c r="M569" s="1372"/>
      <c r="N569" s="1372"/>
      <c r="O569" s="1372"/>
      <c r="P569" s="1372"/>
      <c r="Q569" s="1372"/>
      <c r="R569" s="1372"/>
      <c r="S569" s="8"/>
      <c r="T569" s="22"/>
      <c r="U569" t="s">
        <v>85</v>
      </c>
      <c r="Z569" s="1372" t="s">
        <v>2706</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49" t="s">
        <v>2707</v>
      </c>
      <c r="H570" s="1349"/>
      <c r="I570" s="1349"/>
      <c r="J570" s="1349"/>
      <c r="K570" s="1349"/>
      <c r="L570" s="1349"/>
      <c r="M570" s="1349"/>
      <c r="N570" s="1349"/>
      <c r="O570" s="1349"/>
      <c r="P570" s="1349"/>
      <c r="Q570" s="1349"/>
      <c r="R570" s="1349"/>
      <c r="T570" s="22"/>
      <c r="U570" t="s">
        <v>580</v>
      </c>
      <c r="Z570" s="1349" t="s">
        <v>2707</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2708</v>
      </c>
      <c r="H571" s="1372"/>
      <c r="I571" s="1372"/>
      <c r="J571" s="1372"/>
      <c r="K571" s="1372"/>
      <c r="L571" s="1372"/>
      <c r="M571" s="1372"/>
      <c r="N571" s="1372"/>
      <c r="O571" s="1372"/>
      <c r="P571" s="1372"/>
      <c r="Q571" s="1372"/>
      <c r="R571" s="1372"/>
      <c r="S571" s="8"/>
      <c r="T571" s="22"/>
      <c r="U571" t="s">
        <v>17</v>
      </c>
      <c r="Z571" s="1349" t="s">
        <v>2708</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2709</v>
      </c>
      <c r="H572" s="1347"/>
      <c r="I572" s="1347"/>
      <c r="J572" s="1347"/>
      <c r="K572" s="1347"/>
      <c r="L572" s="1347"/>
      <c r="O572" s="33" t="s">
        <v>206</v>
      </c>
      <c r="P572" s="1437"/>
      <c r="Q572" s="1437"/>
      <c r="R572" s="1437"/>
      <c r="S572" s="10"/>
      <c r="T572" s="22"/>
      <c r="U572" t="s">
        <v>316</v>
      </c>
      <c r="Z572" s="1346" t="s">
        <v>2709</v>
      </c>
      <c r="AA572" s="1347"/>
      <c r="AB572" s="1347"/>
      <c r="AC572" s="1347"/>
      <c r="AD572" s="1347"/>
      <c r="AE572" s="1347"/>
      <c r="AH572" s="33" t="s">
        <v>206</v>
      </c>
      <c r="AI572" s="1437"/>
      <c r="AJ572" s="1437"/>
      <c r="AK572" s="1437"/>
      <c r="BB572" s="3"/>
      <c r="BC572" s="3"/>
      <c r="BD572" s="3"/>
      <c r="BE572" s="3"/>
      <c r="BF572" s="3"/>
      <c r="BG572" s="3"/>
      <c r="BH572" s="3"/>
      <c r="BI572" s="3"/>
    </row>
    <row r="573" spans="1:61" ht="12.95" customHeight="1">
      <c r="A573" s="22"/>
      <c r="B573" t="s">
        <v>18</v>
      </c>
      <c r="H573" s="1372" t="s">
        <v>2710</v>
      </c>
      <c r="I573" s="1372"/>
      <c r="J573" s="1372"/>
      <c r="K573" s="1372"/>
      <c r="L573" s="1372"/>
      <c r="M573" s="1372"/>
      <c r="N573" s="1372"/>
      <c r="O573" s="1372"/>
      <c r="P573" s="1372"/>
      <c r="Q573" s="1372"/>
      <c r="R573" s="1372"/>
      <c r="S573" s="8"/>
      <c r="T573" s="22"/>
      <c r="U573" t="s">
        <v>18</v>
      </c>
      <c r="AA573" s="1372" t="s">
        <v>2711</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6"/>
      <c r="N574" s="1696"/>
      <c r="O574" s="1696"/>
      <c r="P574" s="1696"/>
      <c r="Q574" s="1696"/>
      <c r="R574" s="1696"/>
      <c r="S574" s="8"/>
      <c r="T574" s="22"/>
      <c r="U574" s="320" t="s">
        <v>1185</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Citi Bank, N.A</v>
      </c>
      <c r="H577" s="1359"/>
      <c r="I577" s="1359"/>
      <c r="J577" s="1359"/>
      <c r="K577" s="1359"/>
      <c r="L577" s="1359"/>
      <c r="M577" s="1359"/>
      <c r="N577" s="1359"/>
      <c r="O577" s="1359"/>
      <c r="P577" s="1359"/>
      <c r="Q577" s="1359"/>
      <c r="R577" s="1359"/>
      <c r="T577" s="55" t="s">
        <v>581</v>
      </c>
      <c r="U577" t="s">
        <v>463</v>
      </c>
      <c r="Z577" s="1359" t="str">
        <f>C557</f>
        <v xml:space="preserve">City of Elk Grove </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2706</v>
      </c>
      <c r="H578" s="1372"/>
      <c r="I578" s="1372"/>
      <c r="J578" s="1372"/>
      <c r="K578" s="1372"/>
      <c r="L578" s="1372"/>
      <c r="M578" s="1372"/>
      <c r="N578" s="1372"/>
      <c r="O578" s="1372"/>
      <c r="P578" s="1372"/>
      <c r="Q578" s="1372"/>
      <c r="R578" s="1372"/>
      <c r="T578" s="22"/>
      <c r="U578" t="s">
        <v>85</v>
      </c>
      <c r="Z578" s="1372" t="s">
        <v>2615</v>
      </c>
      <c r="AA578" s="1372"/>
      <c r="AB578" s="1372"/>
      <c r="AC578" s="1372"/>
      <c r="AD578" s="1372"/>
      <c r="AE578" s="1372"/>
      <c r="AF578" s="1372"/>
      <c r="AG578" s="1372"/>
      <c r="AH578" s="1372"/>
      <c r="AI578" s="1372"/>
      <c r="AJ578" s="1372"/>
      <c r="AK578" s="1372"/>
      <c r="BB578" s="3"/>
      <c r="BC578" s="3"/>
    </row>
    <row r="579" spans="1:55" ht="12.95" customHeight="1">
      <c r="A579" s="22"/>
      <c r="B579" t="s">
        <v>580</v>
      </c>
      <c r="G579" s="1349" t="s">
        <v>2712</v>
      </c>
      <c r="H579" s="1349"/>
      <c r="I579" s="1349"/>
      <c r="J579" s="1349"/>
      <c r="K579" s="1349"/>
      <c r="L579" s="1349"/>
      <c r="M579" s="1349"/>
      <c r="N579" s="1349"/>
      <c r="O579" s="1349"/>
      <c r="P579" s="1349"/>
      <c r="Q579" s="1349"/>
      <c r="R579" s="1349"/>
      <c r="T579" s="22"/>
      <c r="U579" t="s">
        <v>580</v>
      </c>
      <c r="Z579" s="1349" t="s">
        <v>2616</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2708</v>
      </c>
      <c r="H580" s="1349"/>
      <c r="I580" s="1349"/>
      <c r="J580" s="1349"/>
      <c r="K580" s="1349"/>
      <c r="L580" s="1349"/>
      <c r="M580" s="1349"/>
      <c r="N580" s="1349"/>
      <c r="O580" s="1349"/>
      <c r="P580" s="1349"/>
      <c r="Q580" s="1349"/>
      <c r="R580" s="1349"/>
      <c r="T580" s="22"/>
      <c r="U580" t="s">
        <v>17</v>
      </c>
      <c r="Z580" s="1349" t="s">
        <v>2714</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2709</v>
      </c>
      <c r="H581" s="1347"/>
      <c r="I581" s="1347"/>
      <c r="J581" s="1347"/>
      <c r="K581" s="1347"/>
      <c r="L581" s="1347"/>
      <c r="O581" s="33" t="s">
        <v>206</v>
      </c>
      <c r="P581" s="1437"/>
      <c r="Q581" s="1437"/>
      <c r="R581" s="1437"/>
      <c r="T581" s="22"/>
      <c r="U581" t="s">
        <v>316</v>
      </c>
      <c r="Z581" s="1346" t="s">
        <v>2715</v>
      </c>
      <c r="AA581" s="1347"/>
      <c r="AB581" s="1347"/>
      <c r="AC581" s="1347"/>
      <c r="AD581" s="1347"/>
      <c r="AE581" s="1347"/>
      <c r="AH581" s="33" t="s">
        <v>206</v>
      </c>
      <c r="AI581" s="1437"/>
      <c r="AJ581" s="1437"/>
      <c r="AK581" s="1437"/>
      <c r="BB581" s="3"/>
      <c r="BC581" s="3"/>
    </row>
    <row r="582" spans="1:55" ht="12.95" customHeight="1">
      <c r="A582" s="22"/>
      <c r="B582" t="s">
        <v>18</v>
      </c>
      <c r="H582" s="1372" t="s">
        <v>2713</v>
      </c>
      <c r="I582" s="1372"/>
      <c r="J582" s="1372"/>
      <c r="K582" s="1372"/>
      <c r="L582" s="1372"/>
      <c r="M582" s="1372"/>
      <c r="N582" s="1372"/>
      <c r="O582" s="1372"/>
      <c r="P582" s="1372"/>
      <c r="Q582" s="1372"/>
      <c r="R582" s="1372"/>
      <c r="T582" s="22"/>
      <c r="U582" t="s">
        <v>18</v>
      </c>
      <c r="AA582" s="1372" t="s">
        <v>2716</v>
      </c>
      <c r="AB582" s="1372"/>
      <c r="AC582" s="1372"/>
      <c r="AD582" s="1372"/>
      <c r="AE582" s="1372"/>
      <c r="AF582" s="1372"/>
      <c r="AG582" s="1372"/>
      <c r="AH582" s="1372"/>
      <c r="AI582" s="1372"/>
      <c r="AJ582" s="1372"/>
      <c r="AK582" s="1372"/>
      <c r="BB582" s="3"/>
      <c r="BC582" s="3"/>
    </row>
    <row r="583" spans="1:55" ht="12.95" customHeight="1">
      <c r="A583" s="22"/>
      <c r="B583" t="s">
        <v>20</v>
      </c>
      <c r="N583" s="1332" t="s">
        <v>545</v>
      </c>
      <c r="O583" s="1332"/>
      <c r="T583" s="22"/>
      <c r="U583" t="s">
        <v>20</v>
      </c>
      <c r="AG583" s="1332" t="s">
        <v>669</v>
      </c>
      <c r="AH583" s="1332"/>
      <c r="BB583" s="3"/>
      <c r="BC583" s="3"/>
    </row>
    <row r="584" spans="1:55" ht="12.95" customHeight="1">
      <c r="A584" s="22"/>
      <c r="T584" s="22"/>
      <c r="BB584" s="3"/>
      <c r="BC584" s="3"/>
    </row>
    <row r="585" spans="1:55" ht="12.95" customHeight="1">
      <c r="A585" s="55" t="s">
        <v>763</v>
      </c>
      <c r="B585" t="s">
        <v>463</v>
      </c>
      <c r="G585" s="1359" t="str">
        <f>C558</f>
        <v>Vintage Housing Development, Inc.</v>
      </c>
      <c r="H585" s="1359"/>
      <c r="I585" s="1359"/>
      <c r="J585" s="1359"/>
      <c r="K585" s="1359"/>
      <c r="L585" s="1359"/>
      <c r="M585" s="1359"/>
      <c r="N585" s="1359"/>
      <c r="O585" s="1359"/>
      <c r="P585" s="1359"/>
      <c r="Q585" s="1359"/>
      <c r="R585" s="1359"/>
      <c r="T585" s="55" t="s">
        <v>584</v>
      </c>
      <c r="U585" t="s">
        <v>463</v>
      </c>
      <c r="Z585" s="1359" t="str">
        <f>C559</f>
        <v xml:space="preserve">R4 Capital </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2633</v>
      </c>
      <c r="H586" s="1372"/>
      <c r="I586" s="1372"/>
      <c r="J586" s="1372"/>
      <c r="K586" s="1372"/>
      <c r="L586" s="1372"/>
      <c r="M586" s="1372"/>
      <c r="N586" s="1372"/>
      <c r="O586" s="1372"/>
      <c r="P586" s="1372"/>
      <c r="Q586" s="1372"/>
      <c r="R586" s="1372"/>
      <c r="T586" s="22"/>
      <c r="U586" t="s">
        <v>85</v>
      </c>
      <c r="Z586" s="1372" t="s">
        <v>2661</v>
      </c>
      <c r="AA586" s="1372"/>
      <c r="AB586" s="1372"/>
      <c r="AC586" s="1372"/>
      <c r="AD586" s="1372"/>
      <c r="AE586" s="1372"/>
      <c r="AF586" s="1372"/>
      <c r="AG586" s="1372"/>
      <c r="AH586" s="1372"/>
      <c r="AI586" s="1372"/>
      <c r="AJ586" s="1372"/>
      <c r="AK586" s="1372"/>
      <c r="BB586" s="3"/>
      <c r="BC586" s="3"/>
    </row>
    <row r="587" spans="1:55" ht="12.95" customHeight="1">
      <c r="A587" s="22"/>
      <c r="B587" t="s">
        <v>580</v>
      </c>
      <c r="G587" s="1372" t="s">
        <v>2626</v>
      </c>
      <c r="H587" s="1372"/>
      <c r="I587" s="1372"/>
      <c r="J587" s="1372"/>
      <c r="K587" s="1372"/>
      <c r="L587" s="1372"/>
      <c r="M587" s="1372"/>
      <c r="N587" s="1372"/>
      <c r="O587" s="1372"/>
      <c r="P587" s="1372"/>
      <c r="Q587" s="1372"/>
      <c r="R587" s="1372"/>
      <c r="T587" s="22"/>
      <c r="U587" t="s">
        <v>580</v>
      </c>
      <c r="Z587" s="1349" t="s">
        <v>2717</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2697</v>
      </c>
      <c r="H588" s="1372"/>
      <c r="I588" s="1372"/>
      <c r="J588" s="1372"/>
      <c r="K588" s="1372"/>
      <c r="L588" s="1372"/>
      <c r="M588" s="1372"/>
      <c r="N588" s="1372"/>
      <c r="O588" s="1372"/>
      <c r="P588" s="1372"/>
      <c r="Q588" s="1372"/>
      <c r="R588" s="1372"/>
      <c r="T588" s="22"/>
      <c r="U588" t="s">
        <v>17</v>
      </c>
      <c r="Z588" s="1349" t="s">
        <v>2718</v>
      </c>
      <c r="AA588" s="1349"/>
      <c r="AB588" s="1349"/>
      <c r="AC588" s="1349"/>
      <c r="AD588" s="1349"/>
      <c r="AE588" s="1349"/>
      <c r="AF588" s="1349"/>
      <c r="AG588" s="1349"/>
      <c r="AH588" s="1349"/>
      <c r="AI588" s="1349"/>
      <c r="AJ588" s="1349"/>
      <c r="AK588" s="1349"/>
    </row>
    <row r="589" spans="1:55" ht="12.95" customHeight="1">
      <c r="A589" s="22"/>
      <c r="B589" t="s">
        <v>316</v>
      </c>
      <c r="G589" s="1347" t="s">
        <v>2635</v>
      </c>
      <c r="H589" s="1347"/>
      <c r="I589" s="1347"/>
      <c r="J589" s="1347"/>
      <c r="K589" s="1347"/>
      <c r="L589" s="1347"/>
      <c r="O589" s="33" t="s">
        <v>206</v>
      </c>
      <c r="P589" s="1437"/>
      <c r="Q589" s="1437"/>
      <c r="R589" s="1437"/>
      <c r="T589" s="22"/>
      <c r="U589" t="s">
        <v>316</v>
      </c>
      <c r="Z589" s="1346" t="s">
        <v>2663</v>
      </c>
      <c r="AA589" s="1347"/>
      <c r="AB589" s="1347"/>
      <c r="AC589" s="1347"/>
      <c r="AD589" s="1347"/>
      <c r="AE589" s="1347"/>
      <c r="AH589" s="33" t="s">
        <v>206</v>
      </c>
      <c r="AI589" s="1437"/>
      <c r="AJ589" s="1437"/>
      <c r="AK589" s="1437"/>
      <c r="AZ589" s="3"/>
      <c r="BA589" s="3"/>
      <c r="BB589" s="3"/>
      <c r="BC589" s="3"/>
    </row>
    <row r="590" spans="1:55" ht="12.95" customHeight="1">
      <c r="A590" s="22"/>
      <c r="B590" t="s">
        <v>18</v>
      </c>
      <c r="H590" s="1372" t="s">
        <v>2320</v>
      </c>
      <c r="I590" s="1372"/>
      <c r="J590" s="1372"/>
      <c r="K590" s="1372"/>
      <c r="L590" s="1372"/>
      <c r="M590" s="1372"/>
      <c r="N590" s="1372"/>
      <c r="O590" s="1372"/>
      <c r="P590" s="1372"/>
      <c r="Q590" s="1372"/>
      <c r="R590" s="1372"/>
      <c r="T590" s="22"/>
      <c r="U590" t="s">
        <v>18</v>
      </c>
      <c r="AA590" s="1372" t="s">
        <v>2719</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9" t="str">
        <f>C560</f>
        <v>Vintage Housing Holdings, LLC</v>
      </c>
      <c r="H593" s="1359"/>
      <c r="I593" s="1359"/>
      <c r="J593" s="1359"/>
      <c r="K593" s="1359"/>
      <c r="L593" s="1359"/>
      <c r="M593" s="1359"/>
      <c r="N593" s="1359"/>
      <c r="O593" s="1359"/>
      <c r="P593" s="1359"/>
      <c r="Q593" s="1359"/>
      <c r="R593" s="1359"/>
      <c r="T593" s="55" t="s">
        <v>456</v>
      </c>
      <c r="U593" t="s">
        <v>463</v>
      </c>
      <c r="Z593" s="1359" t="str">
        <f>C561</f>
        <v>Vintage Housing Holdings, LLC</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2633</v>
      </c>
      <c r="H594" s="1372"/>
      <c r="I594" s="1372"/>
      <c r="J594" s="1372"/>
      <c r="K594" s="1372"/>
      <c r="L594" s="1372"/>
      <c r="M594" s="1372"/>
      <c r="N594" s="1372"/>
      <c r="O594" s="1372"/>
      <c r="P594" s="1372"/>
      <c r="Q594" s="1372"/>
      <c r="R594" s="1372"/>
      <c r="S594"/>
      <c r="T594" s="22"/>
      <c r="U594" t="s">
        <v>85</v>
      </c>
      <c r="V594"/>
      <c r="W594"/>
      <c r="X594"/>
      <c r="Y594"/>
      <c r="Z594" s="1372" t="s">
        <v>2633</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t="s">
        <v>2626</v>
      </c>
      <c r="H595" s="1372"/>
      <c r="I595" s="1372"/>
      <c r="J595" s="1372"/>
      <c r="K595" s="1372"/>
      <c r="L595" s="1372"/>
      <c r="M595" s="1372"/>
      <c r="N595" s="1372"/>
      <c r="O595" s="1372"/>
      <c r="P595" s="1372"/>
      <c r="Q595" s="1372"/>
      <c r="R595" s="1372"/>
      <c r="S595"/>
      <c r="T595" s="22"/>
      <c r="U595" t="s">
        <v>580</v>
      </c>
      <c r="V595"/>
      <c r="W595"/>
      <c r="X595"/>
      <c r="Y595"/>
      <c r="Z595" s="1349" t="s">
        <v>2717</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2697</v>
      </c>
      <c r="H596" s="1372"/>
      <c r="I596" s="1372"/>
      <c r="J596" s="1372"/>
      <c r="K596" s="1372"/>
      <c r="L596" s="1372"/>
      <c r="M596" s="1372"/>
      <c r="N596" s="1372"/>
      <c r="O596" s="1372"/>
      <c r="P596" s="1372"/>
      <c r="Q596" s="1372"/>
      <c r="R596" s="1372"/>
      <c r="S596"/>
      <c r="T596" s="22"/>
      <c r="U596" t="s">
        <v>17</v>
      </c>
      <c r="V596"/>
      <c r="W596"/>
      <c r="X596"/>
      <c r="Y596"/>
      <c r="Z596" s="1349" t="s">
        <v>2739</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2635</v>
      </c>
      <c r="H597" s="1347"/>
      <c r="I597" s="1347"/>
      <c r="J597" s="1347"/>
      <c r="K597" s="1347"/>
      <c r="L597" s="1347"/>
      <c r="M597"/>
      <c r="N597"/>
      <c r="O597" s="33" t="s">
        <v>206</v>
      </c>
      <c r="P597" s="1437"/>
      <c r="Q597" s="1437"/>
      <c r="R597" s="1437"/>
      <c r="S597"/>
      <c r="T597" s="22"/>
      <c r="U597" t="s">
        <v>316</v>
      </c>
      <c r="V597"/>
      <c r="W597"/>
      <c r="X597"/>
      <c r="Y597"/>
      <c r="Z597" s="1346">
        <v>9497216775</v>
      </c>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2720</v>
      </c>
      <c r="I598" s="1372"/>
      <c r="J598" s="1372"/>
      <c r="K598" s="1372"/>
      <c r="L598" s="1372"/>
      <c r="M598" s="1372"/>
      <c r="N598" s="1372"/>
      <c r="O598" s="1372"/>
      <c r="P598" s="1372"/>
      <c r="Q598" s="1372"/>
      <c r="R598" s="1372"/>
      <c r="S598"/>
      <c r="T598" s="22"/>
      <c r="U598" t="s">
        <v>18</v>
      </c>
      <c r="V598"/>
      <c r="W598"/>
      <c r="X598"/>
      <c r="Y598"/>
      <c r="Z598"/>
      <c r="AA598" s="1372" t="s">
        <v>2740</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545</v>
      </c>
      <c r="AH599" s="1332"/>
      <c r="BB599" s="3"/>
      <c r="BC599" s="3"/>
    </row>
    <row r="600" spans="1:55" ht="12.95" customHeight="1">
      <c r="A600" s="22"/>
      <c r="T600" s="22"/>
      <c r="BB600" s="3"/>
      <c r="BC600" s="3"/>
    </row>
    <row r="601" spans="1:55" ht="12.9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6"/>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59">
        <f>C564</f>
        <v>0</v>
      </c>
      <c r="H609" s="1359"/>
      <c r="I609" s="1359"/>
      <c r="J609" s="1359"/>
      <c r="K609" s="1359"/>
      <c r="L609" s="1359"/>
      <c r="M609" s="1359"/>
      <c r="N609" s="1359"/>
      <c r="O609" s="1359"/>
      <c r="P609" s="1359"/>
      <c r="Q609" s="1359"/>
      <c r="R609" s="1359"/>
      <c r="T609" s="55" t="s">
        <v>363</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0" t="s">
        <v>2102</v>
      </c>
      <c r="C624" s="1700"/>
      <c r="D624" s="1700"/>
      <c r="E624" s="1700"/>
      <c r="F624" s="1700"/>
      <c r="G624" s="1700"/>
      <c r="H624" s="1700"/>
      <c r="I624" s="1700"/>
      <c r="J624" s="1700"/>
      <c r="K624" s="1700"/>
      <c r="L624" s="1700"/>
      <c r="M624" s="1442" t="s">
        <v>2103</v>
      </c>
      <c r="N624" s="1442"/>
      <c r="O624" s="1442"/>
      <c r="P624" s="1442"/>
      <c r="Q624" s="1442" t="s">
        <v>1852</v>
      </c>
      <c r="R624" s="1442"/>
      <c r="S624" s="1442"/>
      <c r="T624" s="1442" t="s">
        <v>1850</v>
      </c>
      <c r="U624" s="1442"/>
      <c r="V624" s="1442"/>
      <c r="W624" s="1701" t="s">
        <v>453</v>
      </c>
      <c r="X624" s="1701"/>
      <c r="Y624" s="1701"/>
      <c r="Z624" s="1431" t="s">
        <v>2132</v>
      </c>
      <c r="AA624" s="1431"/>
      <c r="AB624" s="1432"/>
      <c r="AC624" s="1682" t="s">
        <v>1676</v>
      </c>
      <c r="AD624" s="1683"/>
      <c r="AE624" s="1684"/>
      <c r="AF624" s="1672" t="s">
        <v>1930</v>
      </c>
      <c r="AG624" s="1431"/>
      <c r="AH624" s="1431"/>
      <c r="AI624" s="1431"/>
      <c r="AJ624" s="1432"/>
      <c r="AK624" s="1733" t="s">
        <v>1931</v>
      </c>
      <c r="AL624" s="1734"/>
      <c r="AM624" s="1734"/>
      <c r="AN624" s="1735"/>
      <c r="AO624" s="1442" t="s">
        <v>454</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692" t="s">
        <v>2721</v>
      </c>
      <c r="D627" s="1692"/>
      <c r="E627" s="1692"/>
      <c r="F627" s="1692"/>
      <c r="G627" s="1692"/>
      <c r="H627" s="1692"/>
      <c r="I627" s="1692"/>
      <c r="J627" s="1692"/>
      <c r="K627" s="1692"/>
      <c r="L627" s="1692"/>
      <c r="M627" s="1618" t="s">
        <v>2119</v>
      </c>
      <c r="N627" s="1618"/>
      <c r="O627" s="1618"/>
      <c r="P627" s="1618"/>
      <c r="Q627" s="1426">
        <v>216</v>
      </c>
      <c r="R627" s="1426"/>
      <c r="S627" s="1427"/>
      <c r="T627" s="1425">
        <v>480</v>
      </c>
      <c r="U627" s="1426"/>
      <c r="V627" s="1427"/>
      <c r="W627" s="1438">
        <v>0.06</v>
      </c>
      <c r="X627" s="1439"/>
      <c r="Y627" s="1440"/>
      <c r="Z627" s="1478" t="s">
        <v>2131</v>
      </c>
      <c r="AA627" s="1479"/>
      <c r="AB627" s="1480"/>
      <c r="AC627" s="1446">
        <v>1</v>
      </c>
      <c r="AD627" s="1447"/>
      <c r="AE627" s="1448"/>
      <c r="AF627" s="1475">
        <v>1862374</v>
      </c>
      <c r="AG627" s="1476"/>
      <c r="AH627" s="1476"/>
      <c r="AI627" s="1476"/>
      <c r="AJ627" s="1477"/>
      <c r="AK627" s="1428"/>
      <c r="AL627" s="1429"/>
      <c r="AM627" s="1429"/>
      <c r="AN627" s="1430"/>
      <c r="AO627" s="1481">
        <v>28206833</v>
      </c>
      <c r="AP627" s="1481"/>
      <c r="AQ627" s="1481"/>
      <c r="AR627" s="1481"/>
      <c r="AS627" s="1481"/>
      <c r="AT627" s="3"/>
      <c r="AU627" s="3"/>
      <c r="AZ627" s="3"/>
      <c r="BA627" s="3"/>
      <c r="BB627" s="3"/>
      <c r="BC627" s="3"/>
      <c r="BD627" s="3"/>
    </row>
    <row r="628" spans="2:157" ht="12.95" customHeight="1">
      <c r="B628" s="52" t="s">
        <v>113</v>
      </c>
      <c r="C628" s="1692" t="s">
        <v>2722</v>
      </c>
      <c r="D628" s="1692"/>
      <c r="E628" s="1692"/>
      <c r="F628" s="1692"/>
      <c r="G628" s="1692"/>
      <c r="H628" s="1692"/>
      <c r="I628" s="1692"/>
      <c r="J628" s="1692"/>
      <c r="K628" s="1692"/>
      <c r="L628" s="1692"/>
      <c r="M628" s="1618" t="s">
        <v>2115</v>
      </c>
      <c r="N628" s="1618"/>
      <c r="O628" s="1618"/>
      <c r="P628" s="1618"/>
      <c r="Q628" s="1425"/>
      <c r="R628" s="1426"/>
      <c r="S628" s="1427"/>
      <c r="T628" s="1425"/>
      <c r="U628" s="1426"/>
      <c r="V628" s="1427"/>
      <c r="W628" s="1438"/>
      <c r="X628" s="1439"/>
      <c r="Y628" s="1440"/>
      <c r="Z628" s="1478" t="s">
        <v>457</v>
      </c>
      <c r="AA628" s="1479"/>
      <c r="AB628" s="1480"/>
      <c r="AC628" s="1446">
        <v>2</v>
      </c>
      <c r="AD628" s="1447"/>
      <c r="AE628" s="1448"/>
      <c r="AF628" s="1475"/>
      <c r="AG628" s="1476"/>
      <c r="AH628" s="1476"/>
      <c r="AI628" s="1476"/>
      <c r="AJ628" s="1477"/>
      <c r="AK628" s="1428"/>
      <c r="AL628" s="1429"/>
      <c r="AM628" s="1429"/>
      <c r="AN628" s="1430"/>
      <c r="AO628" s="1466">
        <v>9088225</v>
      </c>
      <c r="AP628" s="1467"/>
      <c r="AQ628" s="1467"/>
      <c r="AR628" s="1467"/>
      <c r="AS628" s="1468"/>
      <c r="AT628" s="1148" t="str">
        <f>IF(AND(NOT(C627=""),C628="",NOT(C629="")),"!","")</f>
        <v/>
      </c>
      <c r="AU628" s="3"/>
      <c r="AZ628" s="3"/>
      <c r="BA628" s="3"/>
      <c r="BB628" s="3"/>
      <c r="BC628" s="3"/>
      <c r="BD628" s="3"/>
    </row>
    <row r="629" spans="2:157" ht="12.95" customHeight="1">
      <c r="B629" s="52" t="s">
        <v>119</v>
      </c>
      <c r="C629" s="1692" t="s">
        <v>2612</v>
      </c>
      <c r="D629" s="1692"/>
      <c r="E629" s="1692"/>
      <c r="F629" s="1692"/>
      <c r="G629" s="1692"/>
      <c r="H629" s="1692"/>
      <c r="I629" s="1692"/>
      <c r="J629" s="1692"/>
      <c r="K629" s="1692"/>
      <c r="L629" s="1692"/>
      <c r="M629" s="1618" t="s">
        <v>2121</v>
      </c>
      <c r="N629" s="1618"/>
      <c r="O629" s="1618"/>
      <c r="P629" s="1618"/>
      <c r="Q629" s="1425"/>
      <c r="R629" s="1426"/>
      <c r="S629" s="1427"/>
      <c r="T629" s="1425"/>
      <c r="U629" s="1426"/>
      <c r="V629" s="1427"/>
      <c r="W629" s="1438"/>
      <c r="X629" s="1439"/>
      <c r="Y629" s="1440"/>
      <c r="Z629" s="1478" t="s">
        <v>1184</v>
      </c>
      <c r="AA629" s="1479"/>
      <c r="AB629" s="1480"/>
      <c r="AC629" s="1446"/>
      <c r="AD629" s="1447"/>
      <c r="AE629" s="1448"/>
      <c r="AF629" s="1475"/>
      <c r="AG629" s="1476"/>
      <c r="AH629" s="1476"/>
      <c r="AI629" s="1476"/>
      <c r="AJ629" s="1477"/>
      <c r="AK629" s="1428"/>
      <c r="AL629" s="1429"/>
      <c r="AM629" s="1429"/>
      <c r="AN629" s="1430"/>
      <c r="AO629" s="1466">
        <v>1016178</v>
      </c>
      <c r="AP629" s="1467"/>
      <c r="AQ629" s="1467"/>
      <c r="AR629" s="1467"/>
      <c r="AS629" s="1468"/>
      <c r="AT629" s="1148" t="str">
        <f t="shared" ref="AT629:AT638" si="1">IF(AND(NOT(C628=""),C629="",NOT(C630="")),"!","")</f>
        <v/>
      </c>
      <c r="AU629" s="3"/>
      <c r="AZ629" s="3"/>
      <c r="BA629" s="3"/>
      <c r="BB629" s="3"/>
      <c r="BC629" s="3"/>
      <c r="BD629" s="3"/>
    </row>
    <row r="630" spans="2:157" ht="12.95" customHeight="1">
      <c r="B630" s="52" t="s">
        <v>581</v>
      </c>
      <c r="C630" s="1692" t="s">
        <v>2738</v>
      </c>
      <c r="D630" s="1348"/>
      <c r="E630" s="1348"/>
      <c r="F630" s="1348"/>
      <c r="G630" s="1348"/>
      <c r="H630" s="1348"/>
      <c r="I630" s="1348"/>
      <c r="J630" s="1348"/>
      <c r="K630" s="1348"/>
      <c r="L630" s="1348"/>
      <c r="M630" s="1618" t="s">
        <v>2106</v>
      </c>
      <c r="N630" s="1618"/>
      <c r="O630" s="1618"/>
      <c r="P630" s="1618"/>
      <c r="Q630" s="1425"/>
      <c r="R630" s="1426"/>
      <c r="S630" s="1427"/>
      <c r="T630" s="1425"/>
      <c r="U630" s="1426"/>
      <c r="V630" s="1427"/>
      <c r="W630" s="1438"/>
      <c r="X630" s="1439"/>
      <c r="Y630" s="1440"/>
      <c r="Z630" s="1478" t="s">
        <v>1184</v>
      </c>
      <c r="AA630" s="1479"/>
      <c r="AB630" s="1480"/>
      <c r="AC630" s="1446"/>
      <c r="AD630" s="1447"/>
      <c r="AE630" s="1448"/>
      <c r="AF630" s="1475"/>
      <c r="AG630" s="1476"/>
      <c r="AH630" s="1476"/>
      <c r="AI630" s="1476"/>
      <c r="AJ630" s="1477"/>
      <c r="AK630" s="1428"/>
      <c r="AL630" s="1429"/>
      <c r="AM630" s="1429"/>
      <c r="AN630" s="1430"/>
      <c r="AO630" s="1466">
        <v>1717872</v>
      </c>
      <c r="AP630" s="1467"/>
      <c r="AQ630" s="1467"/>
      <c r="AR630" s="1467"/>
      <c r="AS630" s="1468"/>
      <c r="AT630" s="1148" t="str">
        <f t="shared" si="1"/>
        <v/>
      </c>
      <c r="AU630" s="3"/>
      <c r="AZ630" s="3"/>
      <c r="BA630" s="3"/>
      <c r="BB630" s="3"/>
      <c r="BC630" s="3"/>
      <c r="BD630" s="3"/>
    </row>
    <row r="631" spans="2:157" ht="12.95" customHeight="1">
      <c r="B631" s="52" t="s">
        <v>763</v>
      </c>
      <c r="C631" s="1692" t="s">
        <v>2612</v>
      </c>
      <c r="D631" s="1348"/>
      <c r="E631" s="1348"/>
      <c r="F631" s="1348"/>
      <c r="G631" s="1348"/>
      <c r="H631" s="1348"/>
      <c r="I631" s="1348"/>
      <c r="J631" s="1348"/>
      <c r="K631" s="1348"/>
      <c r="L631" s="1348"/>
      <c r="M631" s="1618" t="s">
        <v>2123</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v>1007073</v>
      </c>
      <c r="AP631" s="1467"/>
      <c r="AQ631" s="1467"/>
      <c r="AR631" s="1467"/>
      <c r="AS631" s="1468"/>
      <c r="AT631" s="1148" t="str">
        <f t="shared" si="1"/>
        <v/>
      </c>
      <c r="AU631" s="3"/>
      <c r="AZ631" s="3"/>
      <c r="BA631" s="3"/>
      <c r="BB631" s="3"/>
      <c r="BC631" s="3"/>
      <c r="BD631" s="3"/>
    </row>
    <row r="632" spans="2:157" ht="12.95" customHeight="1">
      <c r="B632" s="52" t="s">
        <v>584</v>
      </c>
      <c r="C632" s="1692"/>
      <c r="D632" s="1348"/>
      <c r="E632" s="1348"/>
      <c r="F632" s="1348"/>
      <c r="G632" s="1348"/>
      <c r="H632" s="1348"/>
      <c r="I632" s="1348"/>
      <c r="J632" s="1348"/>
      <c r="K632" s="1348"/>
      <c r="L632" s="1348"/>
      <c r="M632" s="1618" t="s">
        <v>1184</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1"/>
        <v/>
      </c>
      <c r="AU632" s="3"/>
      <c r="AZ632" s="3"/>
      <c r="BA632" s="3"/>
      <c r="BB632" s="3"/>
      <c r="BC632" s="3"/>
      <c r="BD632" s="3"/>
    </row>
    <row r="633" spans="2:157" ht="12.95" customHeight="1">
      <c r="B633" s="52" t="s">
        <v>455</v>
      </c>
      <c r="C633" s="1348"/>
      <c r="D633" s="1348"/>
      <c r="E633" s="1348"/>
      <c r="F633" s="1348"/>
      <c r="G633" s="1348"/>
      <c r="H633" s="1348"/>
      <c r="I633" s="1348"/>
      <c r="J633" s="1348"/>
      <c r="K633" s="1348"/>
      <c r="L633" s="1348"/>
      <c r="M633" s="1618" t="s">
        <v>1184</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456</v>
      </c>
      <c r="C634" s="1348"/>
      <c r="D634" s="1348"/>
      <c r="E634" s="1348"/>
      <c r="F634" s="1348"/>
      <c r="G634" s="1348"/>
      <c r="H634" s="1348"/>
      <c r="I634" s="1348"/>
      <c r="J634" s="1348"/>
      <c r="K634" s="1348"/>
      <c r="L634" s="1348"/>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1"/>
        <v/>
      </c>
      <c r="AU634" s="3"/>
      <c r="AV634" s="3"/>
      <c r="AW634" s="3"/>
      <c r="AX634" s="3"/>
      <c r="AY634" s="3"/>
      <c r="AZ634" s="3"/>
      <c r="BA634" s="3" t="s">
        <v>1184</v>
      </c>
      <c r="BB634" s="3"/>
      <c r="BC634" s="3"/>
      <c r="BD634" s="3"/>
    </row>
    <row r="635" spans="2:157" ht="12.95" customHeight="1">
      <c r="B635" s="52" t="s">
        <v>461</v>
      </c>
      <c r="C635" s="1348"/>
      <c r="D635" s="1348"/>
      <c r="E635" s="1348"/>
      <c r="F635" s="1348"/>
      <c r="G635" s="1348"/>
      <c r="H635" s="1348"/>
      <c r="I635" s="1348"/>
      <c r="J635" s="1348"/>
      <c r="K635" s="1348"/>
      <c r="L635" s="1348"/>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66.041666666666671</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646</v>
      </c>
      <c r="C636" s="1348"/>
      <c r="D636" s="1348"/>
      <c r="E636" s="1348"/>
      <c r="F636" s="1348"/>
      <c r="G636" s="1348"/>
      <c r="H636" s="1348"/>
      <c r="I636" s="1348"/>
      <c r="J636" s="1348"/>
      <c r="K636" s="1348"/>
      <c r="L636" s="1348"/>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38.784722222222221</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8"/>
      <c r="D637" s="1348"/>
      <c r="E637" s="1348"/>
      <c r="F637" s="1348"/>
      <c r="G637" s="1348"/>
      <c r="H637" s="1348"/>
      <c r="I637" s="1348"/>
      <c r="J637" s="1348"/>
      <c r="K637" s="1348"/>
      <c r="L637" s="1348"/>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1169.3888888888889</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8"/>
      <c r="D638" s="1348"/>
      <c r="E638" s="1348"/>
      <c r="F638" s="1348"/>
      <c r="G638" s="1348"/>
      <c r="H638" s="1348"/>
      <c r="I638" s="1348"/>
      <c r="J638" s="1348"/>
      <c r="K638" s="1348"/>
      <c r="L638" s="1348"/>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f t="shared" si="4"/>
        <v>79.368421052631575</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41036181</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298.17105263157896</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21682276</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1089.1184210526314</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62718457</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463</v>
      </c>
      <c r="G643" s="1359" t="str">
        <f>C627</f>
        <v xml:space="preserve">Citibank, N.A </v>
      </c>
      <c r="H643" s="1359"/>
      <c r="I643" s="1359"/>
      <c r="J643" s="1359"/>
      <c r="K643" s="1359"/>
      <c r="L643" s="1359"/>
      <c r="M643" s="1359"/>
      <c r="N643" s="1359"/>
      <c r="O643" s="1359"/>
      <c r="P643" s="1359"/>
      <c r="Q643" s="1359"/>
      <c r="R643" s="1359"/>
      <c r="S643" s="8"/>
      <c r="T643" s="55" t="s">
        <v>113</v>
      </c>
      <c r="U643" t="s">
        <v>463</v>
      </c>
      <c r="Z643" s="1359" t="str">
        <f>C628</f>
        <v>City of Elk Grove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2706</v>
      </c>
      <c r="H644" s="1372"/>
      <c r="I644" s="1372"/>
      <c r="J644" s="1372"/>
      <c r="K644" s="1372"/>
      <c r="L644" s="1372"/>
      <c r="M644" s="1372"/>
      <c r="N644" s="1372"/>
      <c r="O644" s="1372"/>
      <c r="P644" s="1372"/>
      <c r="Q644" s="1372"/>
      <c r="R644" s="1372"/>
      <c r="S644" s="8"/>
      <c r="T644" s="22"/>
      <c r="U644" t="s">
        <v>85</v>
      </c>
      <c r="Z644" s="1372" t="s">
        <v>2615</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580</v>
      </c>
      <c r="G645" s="1372" t="s">
        <v>2712</v>
      </c>
      <c r="H645" s="1372"/>
      <c r="I645" s="1372"/>
      <c r="J645" s="1372"/>
      <c r="K645" s="1372"/>
      <c r="L645" s="1372"/>
      <c r="M645" s="1372"/>
      <c r="N645" s="1372"/>
      <c r="O645" s="1372"/>
      <c r="P645" s="1372"/>
      <c r="Q645" s="1372"/>
      <c r="R645" s="1372"/>
      <c r="T645" s="22"/>
      <c r="U645" t="s">
        <v>580</v>
      </c>
      <c r="Z645" s="1349" t="s">
        <v>2620</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2708</v>
      </c>
      <c r="H646" s="1372"/>
      <c r="I646" s="1372"/>
      <c r="J646" s="1372"/>
      <c r="K646" s="1372"/>
      <c r="L646" s="1372"/>
      <c r="M646" s="1372"/>
      <c r="N646" s="1372"/>
      <c r="O646" s="1372"/>
      <c r="P646" s="1372"/>
      <c r="Q646" s="1372"/>
      <c r="R646" s="1372"/>
      <c r="S646" s="8"/>
      <c r="T646" s="22"/>
      <c r="U646" t="s">
        <v>17</v>
      </c>
      <c r="Z646" s="1349" t="s">
        <v>2724</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t="s">
        <v>2635</v>
      </c>
      <c r="H647" s="1347"/>
      <c r="I647" s="1347"/>
      <c r="J647" s="1347"/>
      <c r="K647" s="1347"/>
      <c r="L647" s="1347"/>
      <c r="O647" s="33" t="s">
        <v>206</v>
      </c>
      <c r="P647" s="1437"/>
      <c r="Q647" s="1437"/>
      <c r="R647" s="1437"/>
      <c r="S647" s="10"/>
      <c r="T647" s="22"/>
      <c r="U647" t="s">
        <v>316</v>
      </c>
      <c r="Z647" s="1346" t="s">
        <v>2715</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
        <v>2723</v>
      </c>
      <c r="I648" s="1372"/>
      <c r="J648" s="1372"/>
      <c r="K648" s="1372"/>
      <c r="L648" s="1372"/>
      <c r="M648" s="1372"/>
      <c r="N648" s="1372"/>
      <c r="O648" s="1372"/>
      <c r="P648" s="1372"/>
      <c r="Q648" s="1372"/>
      <c r="R648" s="1372"/>
      <c r="S648" s="8"/>
      <c r="T648" s="22"/>
      <c r="U648" t="s">
        <v>18</v>
      </c>
      <c r="AA648" s="1372" t="s">
        <v>2741</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545</v>
      </c>
      <c r="O649" s="1332"/>
      <c r="T649" s="22"/>
      <c r="U649" t="s">
        <v>20</v>
      </c>
      <c r="AG649" s="1332" t="s">
        <v>669</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463</v>
      </c>
      <c r="G651" s="1359" t="str">
        <f>C629</f>
        <v xml:space="preserve">Vintage Housing Holdings, LLC </v>
      </c>
      <c r="H651" s="1359"/>
      <c r="I651" s="1359"/>
      <c r="J651" s="1359"/>
      <c r="K651" s="1359"/>
      <c r="L651" s="1359"/>
      <c r="M651" s="1359"/>
      <c r="N651" s="1359"/>
      <c r="O651" s="1359"/>
      <c r="P651" s="1359"/>
      <c r="Q651" s="1359"/>
      <c r="R651" s="1359"/>
      <c r="T651" s="55" t="s">
        <v>581</v>
      </c>
      <c r="U651" t="s">
        <v>463</v>
      </c>
      <c r="Z651" s="1359" t="str">
        <f>C630</f>
        <v>Vintage Housing Development, Inc.</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2633</v>
      </c>
      <c r="H652" s="1372"/>
      <c r="I652" s="1372"/>
      <c r="J652" s="1372"/>
      <c r="K652" s="1372"/>
      <c r="L652" s="1372"/>
      <c r="M652" s="1372"/>
      <c r="N652" s="1372"/>
      <c r="O652" s="1372"/>
      <c r="P652" s="1372"/>
      <c r="Q652" s="1372"/>
      <c r="R652" s="1372"/>
      <c r="T652" s="22"/>
      <c r="U652" t="s">
        <v>85</v>
      </c>
      <c r="Z652" s="1372" t="s">
        <v>2633</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580</v>
      </c>
      <c r="G653" s="1349" t="s">
        <v>2626</v>
      </c>
      <c r="H653" s="1349"/>
      <c r="I653" s="1349"/>
      <c r="J653" s="1349"/>
      <c r="K653" s="1349"/>
      <c r="L653" s="1349"/>
      <c r="M653" s="1349"/>
      <c r="N653" s="1349"/>
      <c r="O653" s="1349"/>
      <c r="P653" s="1349"/>
      <c r="Q653" s="1349"/>
      <c r="R653" s="1349"/>
      <c r="T653" s="22"/>
      <c r="U653" t="s">
        <v>580</v>
      </c>
      <c r="Z653" s="1349" t="s">
        <v>2626</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t="s">
        <v>2696</v>
      </c>
      <c r="H654" s="1349"/>
      <c r="I654" s="1349"/>
      <c r="J654" s="1349"/>
      <c r="K654" s="1349"/>
      <c r="L654" s="1349"/>
      <c r="M654" s="1349"/>
      <c r="N654" s="1349"/>
      <c r="O654" s="1349"/>
      <c r="P654" s="1349"/>
      <c r="Q654" s="1349"/>
      <c r="R654" s="1349"/>
      <c r="T654" s="22"/>
      <c r="U654" t="s">
        <v>17</v>
      </c>
      <c r="Z654" s="1349" t="s">
        <v>2696</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7" t="s">
        <v>2635</v>
      </c>
      <c r="H655" s="1347"/>
      <c r="I655" s="1347"/>
      <c r="J655" s="1347"/>
      <c r="K655" s="1347"/>
      <c r="L655" s="1347"/>
      <c r="O655" s="33" t="s">
        <v>206</v>
      </c>
      <c r="P655" s="1437"/>
      <c r="Q655" s="1437"/>
      <c r="R655" s="1437"/>
      <c r="T655" s="22"/>
      <c r="U655" t="s">
        <v>316</v>
      </c>
      <c r="Z655" s="1346" t="s">
        <v>2635</v>
      </c>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
        <v>2729</v>
      </c>
      <c r="I656" s="1372"/>
      <c r="J656" s="1372"/>
      <c r="K656" s="1372"/>
      <c r="L656" s="1372"/>
      <c r="M656" s="1372"/>
      <c r="N656" s="1372"/>
      <c r="O656" s="1372"/>
      <c r="P656" s="1372"/>
      <c r="Q656" s="1372"/>
      <c r="R656" s="1372"/>
      <c r="T656" s="22"/>
      <c r="U656" t="s">
        <v>18</v>
      </c>
      <c r="AA656" s="1372" t="s">
        <v>2725</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763</v>
      </c>
      <c r="B659" t="s">
        <v>463</v>
      </c>
      <c r="G659" s="1359" t="str">
        <f>C631</f>
        <v xml:space="preserve">Vintage Housing Holdings, LLC </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t="s">
        <v>2633</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580</v>
      </c>
      <c r="G661" s="1372" t="s">
        <v>2717</v>
      </c>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t="s">
        <v>2696</v>
      </c>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6">
        <v>9497216775</v>
      </c>
      <c r="H663" s="1347"/>
      <c r="I663" s="1347"/>
      <c r="J663" s="1347"/>
      <c r="K663" s="1347"/>
      <c r="L663" s="1347"/>
      <c r="O663" s="33" t="s">
        <v>206</v>
      </c>
      <c r="P663" s="1437"/>
      <c r="Q663" s="1437"/>
      <c r="R663" s="1437"/>
      <c r="T663" s="22"/>
      <c r="U663" t="s">
        <v>316</v>
      </c>
      <c r="Z663" s="1347"/>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2" t="s">
        <v>2740</v>
      </c>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545</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1274.2152777777778</v>
      </c>
      <c r="ED670" s="1445"/>
      <c r="EE670" s="1445"/>
      <c r="EF670" s="1445"/>
      <c r="EG670" s="1445"/>
      <c r="EH670" s="1445">
        <f>SUMIF(EH635:EL669,"&gt;0")</f>
        <v>1466.6578947368421</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362</v>
      </c>
      <c r="B683" t="s">
        <v>463</v>
      </c>
      <c r="G683" s="1359">
        <f>C637</f>
        <v>0</v>
      </c>
      <c r="H683" s="1359"/>
      <c r="I683" s="1359"/>
      <c r="J683" s="1359"/>
      <c r="K683" s="1359"/>
      <c r="L683" s="1359"/>
      <c r="M683" s="1359"/>
      <c r="N683" s="1359"/>
      <c r="O683" s="1359"/>
      <c r="P683" s="1359"/>
      <c r="Q683" s="1359"/>
      <c r="R683" s="1359"/>
      <c r="T683" s="55" t="s">
        <v>363</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669</v>
      </c>
      <c r="AF693" s="1332"/>
      <c r="AZ693" s="3"/>
    </row>
    <row r="694" spans="1:67" ht="12.95" customHeight="1">
      <c r="B694" s="135"/>
      <c r="C694" s="135"/>
      <c r="D694" s="136" t="s">
        <v>438</v>
      </c>
      <c r="E694" s="135"/>
      <c r="F694" s="135"/>
      <c r="G694" s="135"/>
      <c r="H694" s="135"/>
      <c r="AE694" s="1332" t="s">
        <v>669</v>
      </c>
      <c r="AF694" s="1332"/>
      <c r="AZ694" s="3"/>
    </row>
    <row r="695" spans="1:67" ht="12.95" customHeight="1">
      <c r="B695" s="135"/>
      <c r="C695" s="135"/>
      <c r="D695" s="136" t="s">
        <v>920</v>
      </c>
      <c r="E695" s="135"/>
      <c r="F695" s="135"/>
      <c r="G695" s="135"/>
      <c r="H695" s="135"/>
      <c r="AE695" s="1691">
        <v>45909</v>
      </c>
      <c r="AF695" s="1691"/>
      <c r="AG695" s="1691"/>
      <c r="AH695" s="1691"/>
      <c r="AI695" s="1691"/>
    </row>
    <row r="696" spans="1:67" ht="12.95" customHeight="1">
      <c r="B696" s="135"/>
      <c r="C696" s="135"/>
      <c r="D696" s="317" t="s">
        <v>983</v>
      </c>
      <c r="E696" s="135"/>
      <c r="F696" s="135"/>
      <c r="G696" s="135"/>
      <c r="H696" s="135"/>
      <c r="AE696" s="1702">
        <v>45980</v>
      </c>
      <c r="AF696" s="1702"/>
      <c r="AG696" s="1702"/>
      <c r="AH696" s="1702"/>
      <c r="AI696" s="1702"/>
    </row>
    <row r="697" spans="1:67" ht="12.95" customHeight="1">
      <c r="B697" s="135"/>
      <c r="C697" s="135"/>
    </row>
    <row r="698" spans="1:67" ht="12.95" customHeight="1">
      <c r="B698" s="135"/>
      <c r="C698" s="135"/>
      <c r="D698" s="136" t="s">
        <v>816</v>
      </c>
      <c r="E698" s="135"/>
      <c r="F698" s="135"/>
      <c r="G698" s="135"/>
      <c r="H698" s="135"/>
      <c r="AE698" s="1691">
        <v>46082</v>
      </c>
      <c r="AF698" s="1691"/>
      <c r="AG698" s="1691"/>
      <c r="AH698" s="1691"/>
      <c r="AI698" s="1691"/>
    </row>
    <row r="699" spans="1:67" ht="12.95" customHeight="1">
      <c r="B699" s="135"/>
      <c r="C699" s="135"/>
      <c r="D699" s="136" t="s">
        <v>436</v>
      </c>
      <c r="E699" s="135"/>
      <c r="F699" s="135"/>
      <c r="G699" s="135"/>
      <c r="H699" s="135"/>
      <c r="AE699" s="1661">
        <v>0.27700000000000002</v>
      </c>
      <c r="AF699" s="1661"/>
      <c r="AG699" s="1661"/>
      <c r="AH699" s="1661"/>
      <c r="AI699" s="1661"/>
    </row>
    <row r="700" spans="1:67" ht="12.95" customHeight="1">
      <c r="B700" s="135"/>
      <c r="C700" s="135"/>
      <c r="D700" s="136" t="s">
        <v>437</v>
      </c>
      <c r="E700" s="135"/>
      <c r="F700" s="135"/>
      <c r="G700" s="135"/>
      <c r="H700" s="135"/>
      <c r="W700" s="1359" t="str">
        <f>H335</f>
        <v xml:space="preserve">California Municipal Finance Authority </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669</v>
      </c>
      <c r="AF702" s="1332"/>
      <c r="AZ702" s="4" t="s">
        <v>324</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19" t="s">
        <v>1679</v>
      </c>
      <c r="L714" s="1720"/>
      <c r="M714" s="1720"/>
      <c r="N714" s="1721"/>
      <c r="O714" s="1363" t="s">
        <v>447</v>
      </c>
      <c r="P714" s="1364"/>
      <c r="Q714" s="1364"/>
      <c r="R714" s="1364"/>
      <c r="S714" s="1365"/>
      <c r="T714" s="1659" t="s">
        <v>1949</v>
      </c>
      <c r="U714" s="1364"/>
      <c r="V714" s="1364"/>
      <c r="W714" s="1365"/>
      <c r="X714" s="1659" t="s">
        <v>1951</v>
      </c>
      <c r="Y714" s="1364"/>
      <c r="Z714" s="1364"/>
      <c r="AA714" s="1364"/>
      <c r="AB714" s="1365"/>
      <c r="AC714" s="1659" t="s">
        <v>1950</v>
      </c>
      <c r="AD714" s="1364"/>
      <c r="AE714" s="1364"/>
      <c r="AF714" s="1364"/>
      <c r="AG714" s="1365"/>
      <c r="AH714" s="1659" t="s">
        <v>1952</v>
      </c>
      <c r="AI714" s="1364"/>
      <c r="AJ714" s="1365"/>
      <c r="AK714" s="1659" t="s">
        <v>1979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2.95" customHeight="1">
      <c r="A718" s="4"/>
      <c r="B718" s="1337" t="s">
        <v>325</v>
      </c>
      <c r="C718" s="1338"/>
      <c r="D718" s="1338"/>
      <c r="E718" s="1338"/>
      <c r="F718" s="1339"/>
      <c r="G718" s="1350">
        <v>15</v>
      </c>
      <c r="H718" s="1351"/>
      <c r="I718" s="1351"/>
      <c r="J718" s="1352"/>
      <c r="K718" s="1343" t="s">
        <v>2737</v>
      </c>
      <c r="L718" s="1344"/>
      <c r="M718" s="1344"/>
      <c r="N718" s="1345"/>
      <c r="O718" s="1340">
        <v>634</v>
      </c>
      <c r="P718" s="1341"/>
      <c r="Q718" s="1341"/>
      <c r="R718" s="1341"/>
      <c r="S718" s="1342"/>
      <c r="T718" s="1340">
        <v>89</v>
      </c>
      <c r="U718" s="1341"/>
      <c r="V718" s="1341"/>
      <c r="W718" s="1342"/>
      <c r="X718" s="1353">
        <f t="shared" ref="X718:X741" si="8">O718+T718</f>
        <v>723</v>
      </c>
      <c r="Y718" s="1354"/>
      <c r="Z718" s="1354"/>
      <c r="AA718" s="1354"/>
      <c r="AB718" s="1355"/>
      <c r="AC718" s="1360">
        <v>0.3</v>
      </c>
      <c r="AD718" s="1361"/>
      <c r="AE718" s="1361"/>
      <c r="AF718" s="1361"/>
      <c r="AG718" s="1362"/>
      <c r="AH718" s="1356">
        <f>IF($AC718&gt;0,($X718/$AZ718), "")</f>
        <v>0.29975124378109452</v>
      </c>
      <c r="AI718" s="1357"/>
      <c r="AJ718" s="1358"/>
      <c r="AK718" s="1337" t="s">
        <v>591</v>
      </c>
      <c r="AL718" s="1338"/>
      <c r="AM718" s="1338"/>
      <c r="AN718" s="1338"/>
      <c r="AO718" s="1339"/>
      <c r="AP718" s="3"/>
      <c r="AQ718" s="3"/>
      <c r="AR718" s="3"/>
      <c r="AS718" s="3"/>
      <c r="AZ718" s="118">
        <f t="shared" ref="AZ718:AZ752" si="9">IF($G718=0,"N/A",VLOOKUP($T$189,TC_Rent,(MATCH($B718,bedrooms,FALSE)),FALSE))</f>
        <v>2412</v>
      </c>
      <c r="BA718" s="3"/>
      <c r="BB718" s="3"/>
      <c r="BC718" s="3"/>
      <c r="BD718" s="3"/>
      <c r="BE718" s="204"/>
      <c r="BF718" s="293">
        <f t="shared" ref="BF718:BF752" si="10">G718</f>
        <v>15</v>
      </c>
      <c r="BG718" s="297">
        <f t="shared" ref="BG718:BG752" si="11">IF($BF$753=0,0,BF718/$BF$753)</f>
        <v>6.8181818181818177E-2</v>
      </c>
      <c r="BH718" s="298">
        <f t="shared" ref="BH718:BH752" si="12">IF(BG718=0,"",BG718*AC718)</f>
        <v>2.0454545454545451E-2</v>
      </c>
      <c r="BI718" s="3"/>
      <c r="BJ718" s="3"/>
      <c r="BK718" s="3"/>
      <c r="BL718" s="3"/>
      <c r="BM718" s="3"/>
      <c r="BN718" s="3"/>
      <c r="BS718" s="293">
        <f t="shared" ref="BS718:BS752" si="13">G718</f>
        <v>15</v>
      </c>
      <c r="BT718" s="297">
        <f t="shared" ref="BT718:BT752" si="14">IF($BS$753=0,0,BS718/$BS$753)</f>
        <v>6.8181818181818177E-2</v>
      </c>
      <c r="BU718" s="298">
        <f t="shared" ref="BU718:BU752" si="15">IF(BT718=0,"",BT718*AH718)</f>
        <v>2.0437584803256442E-2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15</v>
      </c>
      <c r="CN718" s="1470"/>
      <c r="CO718" s="3"/>
      <c r="CP718" s="1458">
        <f t="shared" ref="CP718:CP752" si="18">IF(B718="SRO/Studio",G718,0)</f>
        <v>0</v>
      </c>
      <c r="CQ718" s="1459"/>
      <c r="CR718" s="1459"/>
      <c r="CS718" s="1459"/>
      <c r="CT718" s="1460"/>
      <c r="CU718" s="1443">
        <f t="shared" ref="CU718:CU752" si="19">IF(B718="1 Bedroom",G718,0)</f>
        <v>15</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15</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t="str">
        <f t="shared" ref="EZ718:EZ752" si="30">IF(CP718&gt;0,O718,"")</f>
        <v/>
      </c>
      <c r="FA718" s="1465"/>
      <c r="FB718" s="1465"/>
      <c r="FC718" s="1465"/>
      <c r="FD718" s="1464"/>
      <c r="FE718" s="1463">
        <f t="shared" ref="FE718:FE752" si="31">IF(CU718&gt;0,O718,"")</f>
        <v>634</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7" t="s">
        <v>325</v>
      </c>
      <c r="C719" s="1338"/>
      <c r="D719" s="1338"/>
      <c r="E719" s="1338"/>
      <c r="F719" s="1339"/>
      <c r="G719" s="1350">
        <v>5</v>
      </c>
      <c r="H719" s="1351"/>
      <c r="I719" s="1351"/>
      <c r="J719" s="1352"/>
      <c r="K719" s="1343" t="s">
        <v>2737</v>
      </c>
      <c r="L719" s="1344"/>
      <c r="M719" s="1344"/>
      <c r="N719" s="1345"/>
      <c r="O719" s="1340">
        <v>1117</v>
      </c>
      <c r="P719" s="1341"/>
      <c r="Q719" s="1341"/>
      <c r="R719" s="1341"/>
      <c r="S719" s="1342"/>
      <c r="T719" s="1340">
        <v>89</v>
      </c>
      <c r="U719" s="1341"/>
      <c r="V719" s="1341"/>
      <c r="W719" s="1342"/>
      <c r="X719" s="1353">
        <f t="shared" si="8"/>
        <v>1206</v>
      </c>
      <c r="Y719" s="1354"/>
      <c r="Z719" s="1354"/>
      <c r="AA719" s="1354"/>
      <c r="AB719" s="1355"/>
      <c r="AC719" s="1360">
        <v>0.5</v>
      </c>
      <c r="AD719" s="1361"/>
      <c r="AE719" s="1361"/>
      <c r="AF719" s="1361"/>
      <c r="AG719" s="1362"/>
      <c r="AH719" s="1356">
        <f t="shared" ref="AH719:AH752" si="36">IF($AC719&gt;0,($X719/$AZ719), "")</f>
        <v>0.5</v>
      </c>
      <c r="AI719" s="1357"/>
      <c r="AJ719" s="1358"/>
      <c r="AK719" s="1337" t="s">
        <v>591</v>
      </c>
      <c r="AL719" s="1338"/>
      <c r="AM719" s="1338"/>
      <c r="AN719" s="1338"/>
      <c r="AO719" s="1339"/>
      <c r="AP719" s="3"/>
      <c r="AQ719" s="3"/>
      <c r="AR719" s="3"/>
      <c r="AS719" s="3"/>
      <c r="AZ719" s="118">
        <f t="shared" si="9"/>
        <v>2412</v>
      </c>
      <c r="BA719" s="3"/>
      <c r="BB719" s="3"/>
      <c r="BC719" s="3"/>
      <c r="BD719" s="3"/>
      <c r="BE719" s="204"/>
      <c r="BF719" s="294">
        <f t="shared" si="10"/>
        <v>5</v>
      </c>
      <c r="BG719" s="297">
        <f t="shared" si="11"/>
        <v>2.2727272727272728E-2</v>
      </c>
      <c r="BH719" s="298">
        <f t="shared" si="12"/>
        <v>1.1363636363636364E-2</v>
      </c>
      <c r="BI719" s="3"/>
      <c r="BJ719" s="3"/>
      <c r="BK719" s="3"/>
      <c r="BL719" s="3"/>
      <c r="BM719" s="3"/>
      <c r="BN719" s="3"/>
      <c r="BS719" s="294">
        <f t="shared" si="13"/>
        <v>5</v>
      </c>
      <c r="BT719" s="297">
        <f t="shared" si="14"/>
        <v>2.2727272727272728E-2</v>
      </c>
      <c r="BU719" s="298">
        <f t="shared" si="15"/>
        <v>1.1363636363636364E-2</v>
      </c>
      <c r="CC719" s="3"/>
      <c r="CD719" s="3"/>
      <c r="CE719" s="3"/>
      <c r="CF719" s="3"/>
      <c r="CG719" s="1463">
        <f t="shared" ref="CG719:CG752" si="37">IF(AND(AC719&lt;=0.5,AC719&gt;=0.36),1,0)</f>
        <v>1</v>
      </c>
      <c r="CH719" s="1464"/>
      <c r="CI719" s="1469">
        <f t="shared" ref="CI719:CI752" si="38">IF(CG719=1,G719,0)</f>
        <v>5</v>
      </c>
      <c r="CJ719" s="1470"/>
      <c r="CK719" s="1463">
        <f t="shared" si="16"/>
        <v>0</v>
      </c>
      <c r="CL719" s="1464"/>
      <c r="CM719" s="1469">
        <f t="shared" si="17"/>
        <v>0</v>
      </c>
      <c r="CN719" s="1470"/>
      <c r="CO719" s="3"/>
      <c r="CP719" s="1458">
        <f t="shared" si="18"/>
        <v>0</v>
      </c>
      <c r="CQ719" s="1459"/>
      <c r="CR719" s="1459"/>
      <c r="CS719" s="1459"/>
      <c r="CT719" s="1460"/>
      <c r="CU719" s="1443">
        <f t="shared" si="19"/>
        <v>5</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t="str">
        <f t="shared" si="30"/>
        <v/>
      </c>
      <c r="FA719" s="1465"/>
      <c r="FB719" s="1465"/>
      <c r="FC719" s="1465"/>
      <c r="FD719" s="1464"/>
      <c r="FE719" s="1463">
        <f t="shared" si="31"/>
        <v>1117</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7" t="s">
        <v>325</v>
      </c>
      <c r="C720" s="1338"/>
      <c r="D720" s="1338"/>
      <c r="E720" s="1338"/>
      <c r="F720" s="1339"/>
      <c r="G720" s="1350">
        <v>124</v>
      </c>
      <c r="H720" s="1351"/>
      <c r="I720" s="1351"/>
      <c r="J720" s="1352"/>
      <c r="K720" s="1343" t="s">
        <v>2737</v>
      </c>
      <c r="L720" s="1344"/>
      <c r="M720" s="1344"/>
      <c r="N720" s="1345"/>
      <c r="O720" s="1340">
        <v>1358</v>
      </c>
      <c r="P720" s="1341"/>
      <c r="Q720" s="1341"/>
      <c r="R720" s="1341"/>
      <c r="S720" s="1342"/>
      <c r="T720" s="1340">
        <v>89</v>
      </c>
      <c r="U720" s="1341"/>
      <c r="V720" s="1341"/>
      <c r="W720" s="1342"/>
      <c r="X720" s="1353">
        <f t="shared" si="8"/>
        <v>1447</v>
      </c>
      <c r="Y720" s="1354"/>
      <c r="Z720" s="1354"/>
      <c r="AA720" s="1354"/>
      <c r="AB720" s="1355"/>
      <c r="AC720" s="1360">
        <v>0.6</v>
      </c>
      <c r="AD720" s="1361"/>
      <c r="AE720" s="1361"/>
      <c r="AF720" s="1361"/>
      <c r="AG720" s="1362"/>
      <c r="AH720" s="1356">
        <f t="shared" si="36"/>
        <v>0.5999170812603648</v>
      </c>
      <c r="AI720" s="1357"/>
      <c r="AJ720" s="1358"/>
      <c r="AK720" s="1337" t="s">
        <v>591</v>
      </c>
      <c r="AL720" s="1338"/>
      <c r="AM720" s="1338"/>
      <c r="AN720" s="1338"/>
      <c r="AO720" s="1339"/>
      <c r="AP720" s="3"/>
      <c r="AQ720" s="3"/>
      <c r="AR720" s="3"/>
      <c r="AS720" s="3"/>
      <c r="AZ720" s="118">
        <f t="shared" si="9"/>
        <v>2412</v>
      </c>
      <c r="BA720" s="3"/>
      <c r="BB720" s="3"/>
      <c r="BC720" s="3"/>
      <c r="BD720" s="3"/>
      <c r="BE720" s="204"/>
      <c r="BF720" s="294">
        <f t="shared" si="10"/>
        <v>124</v>
      </c>
      <c r="BG720" s="297">
        <f t="shared" si="11"/>
        <v>0.5636363636363636</v>
      </c>
      <c r="BH720" s="298">
        <f t="shared" si="12"/>
        <v>0.33818181818181814</v>
      </c>
      <c r="BI720" s="3"/>
      <c r="BJ720" s="3"/>
      <c r="BK720" s="3"/>
      <c r="BL720" s="3"/>
      <c r="BM720" s="3"/>
      <c r="BN720" s="3"/>
      <c r="BS720" s="294">
        <f t="shared" si="13"/>
        <v>124</v>
      </c>
      <c r="BT720" s="297">
        <f t="shared" si="14"/>
        <v>0.5636363636363636</v>
      </c>
      <c r="BU720" s="298">
        <f t="shared" si="15"/>
        <v>0.33813508216493288</v>
      </c>
      <c r="CC720" s="3"/>
      <c r="CD720" s="3"/>
      <c r="CE720" s="3"/>
      <c r="CF720" s="3"/>
      <c r="CG720" s="1463">
        <f t="shared" si="37"/>
        <v>0</v>
      </c>
      <c r="CH720" s="1464"/>
      <c r="CI720" s="1469">
        <f t="shared" si="38"/>
        <v>0</v>
      </c>
      <c r="CJ720" s="1470"/>
      <c r="CK720" s="1463">
        <f t="shared" si="16"/>
        <v>0</v>
      </c>
      <c r="CL720" s="1464"/>
      <c r="CM720" s="1469">
        <f t="shared" si="17"/>
        <v>0</v>
      </c>
      <c r="CN720" s="1470"/>
      <c r="CO720" s="3"/>
      <c r="CP720" s="1458">
        <f t="shared" si="18"/>
        <v>0</v>
      </c>
      <c r="CQ720" s="1459"/>
      <c r="CR720" s="1459"/>
      <c r="CS720" s="1459"/>
      <c r="CT720" s="1460"/>
      <c r="CU720" s="1443">
        <f t="shared" si="19"/>
        <v>124</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f t="shared" si="31"/>
        <v>1358</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7" t="s">
        <v>163</v>
      </c>
      <c r="C721" s="1338"/>
      <c r="D721" s="1338"/>
      <c r="E721" s="1338"/>
      <c r="F721" s="1339"/>
      <c r="G721" s="1350">
        <v>8</v>
      </c>
      <c r="H721" s="1351"/>
      <c r="I721" s="1351"/>
      <c r="J721" s="1352"/>
      <c r="K721" s="1343">
        <v>808</v>
      </c>
      <c r="L721" s="1344"/>
      <c r="M721" s="1344"/>
      <c r="N721" s="1345"/>
      <c r="O721" s="1340">
        <v>754</v>
      </c>
      <c r="P721" s="1341"/>
      <c r="Q721" s="1341"/>
      <c r="R721" s="1341"/>
      <c r="S721" s="1342"/>
      <c r="T721" s="1340">
        <v>114</v>
      </c>
      <c r="U721" s="1341"/>
      <c r="V721" s="1341"/>
      <c r="W721" s="1342"/>
      <c r="X721" s="1353">
        <f t="shared" si="8"/>
        <v>868</v>
      </c>
      <c r="Y721" s="1354"/>
      <c r="Z721" s="1354"/>
      <c r="AA721" s="1354"/>
      <c r="AB721" s="1355"/>
      <c r="AC721" s="1360">
        <v>0.3</v>
      </c>
      <c r="AD721" s="1361"/>
      <c r="AE721" s="1361"/>
      <c r="AF721" s="1361"/>
      <c r="AG721" s="1362"/>
      <c r="AH721" s="1356">
        <f t="shared" si="36"/>
        <v>0.29993089149965446</v>
      </c>
      <c r="AI721" s="1357"/>
      <c r="AJ721" s="1358"/>
      <c r="AK721" s="1337" t="s">
        <v>591</v>
      </c>
      <c r="AL721" s="1338"/>
      <c r="AM721" s="1338"/>
      <c r="AN721" s="1338"/>
      <c r="AO721" s="1339"/>
      <c r="AP721" s="3"/>
      <c r="AQ721" s="3"/>
      <c r="AR721" s="3"/>
      <c r="AS721" s="3"/>
      <c r="AY721" s="116"/>
      <c r="AZ721" s="118">
        <f t="shared" si="9"/>
        <v>2894</v>
      </c>
      <c r="BA721" s="3"/>
      <c r="BB721" s="3"/>
      <c r="BC721" s="3"/>
      <c r="BD721" s="3"/>
      <c r="BE721" s="204"/>
      <c r="BF721" s="294">
        <f t="shared" si="10"/>
        <v>8</v>
      </c>
      <c r="BG721" s="297">
        <f t="shared" si="11"/>
        <v>3.6363636363636362E-2</v>
      </c>
      <c r="BH721" s="298">
        <f t="shared" si="12"/>
        <v>1.0909090909090908E-2</v>
      </c>
      <c r="BI721" s="3"/>
      <c r="BJ721" s="3"/>
      <c r="BK721" s="3"/>
      <c r="BL721" s="3"/>
      <c r="BM721" s="3"/>
      <c r="BN721" s="3"/>
      <c r="BS721" s="294">
        <f t="shared" si="13"/>
        <v>8</v>
      </c>
      <c r="BT721" s="297">
        <f t="shared" si="14"/>
        <v>3.6363636363636362E-2</v>
      </c>
      <c r="BU721" s="298">
        <f t="shared" si="15"/>
        <v>1.0906577872714707E-2</v>
      </c>
      <c r="CC721" s="3"/>
      <c r="CD721" s="3"/>
      <c r="CE721" s="3"/>
      <c r="CF721" s="3"/>
      <c r="CG721" s="1463">
        <f t="shared" si="37"/>
        <v>0</v>
      </c>
      <c r="CH721" s="1464"/>
      <c r="CI721" s="1469">
        <f t="shared" si="38"/>
        <v>0</v>
      </c>
      <c r="CJ721" s="1470"/>
      <c r="CK721" s="1463">
        <f t="shared" si="16"/>
        <v>1</v>
      </c>
      <c r="CL721" s="1464"/>
      <c r="CM721" s="1469">
        <f t="shared" si="17"/>
        <v>8</v>
      </c>
      <c r="CN721" s="1470"/>
      <c r="CO721" s="3"/>
      <c r="CP721" s="1458">
        <f t="shared" si="18"/>
        <v>0</v>
      </c>
      <c r="CQ721" s="1459"/>
      <c r="CR721" s="1459"/>
      <c r="CS721" s="1459"/>
      <c r="CT721" s="1460"/>
      <c r="CU721" s="1443">
        <f t="shared" si="19"/>
        <v>0</v>
      </c>
      <c r="CV721" s="1443"/>
      <c r="CW721" s="1443"/>
      <c r="CX721" s="1443"/>
      <c r="CY721" s="1443"/>
      <c r="CZ721" s="1443">
        <f t="shared" si="20"/>
        <v>8</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8</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t="str">
        <f t="shared" si="31"/>
        <v/>
      </c>
      <c r="FF721" s="1465"/>
      <c r="FG721" s="1465"/>
      <c r="FH721" s="1465"/>
      <c r="FI721" s="1464"/>
      <c r="FJ721" s="1463">
        <f t="shared" si="32"/>
        <v>754</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7" t="s">
        <v>163</v>
      </c>
      <c r="C722" s="1338"/>
      <c r="D722" s="1338"/>
      <c r="E722" s="1338"/>
      <c r="F722" s="1339"/>
      <c r="G722" s="1350">
        <v>17</v>
      </c>
      <c r="H722" s="1351"/>
      <c r="I722" s="1351"/>
      <c r="J722" s="1352"/>
      <c r="K722" s="1343">
        <v>808</v>
      </c>
      <c r="L722" s="1344"/>
      <c r="M722" s="1344"/>
      <c r="N722" s="1345"/>
      <c r="O722" s="1340">
        <v>1333</v>
      </c>
      <c r="P722" s="1341"/>
      <c r="Q722" s="1341"/>
      <c r="R722" s="1341"/>
      <c r="S722" s="1342"/>
      <c r="T722" s="1340">
        <v>114</v>
      </c>
      <c r="U722" s="1341"/>
      <c r="V722" s="1341"/>
      <c r="W722" s="1342"/>
      <c r="X722" s="1353">
        <f t="shared" si="8"/>
        <v>1447</v>
      </c>
      <c r="Y722" s="1354"/>
      <c r="Z722" s="1354"/>
      <c r="AA722" s="1354"/>
      <c r="AB722" s="1355"/>
      <c r="AC722" s="1360">
        <v>0.5</v>
      </c>
      <c r="AD722" s="1361"/>
      <c r="AE722" s="1361"/>
      <c r="AF722" s="1361"/>
      <c r="AG722" s="1362"/>
      <c r="AH722" s="1356">
        <f t="shared" si="36"/>
        <v>0.5</v>
      </c>
      <c r="AI722" s="1357"/>
      <c r="AJ722" s="1358"/>
      <c r="AK722" s="1337" t="s">
        <v>591</v>
      </c>
      <c r="AL722" s="1338"/>
      <c r="AM722" s="1338"/>
      <c r="AN722" s="1338"/>
      <c r="AO722" s="1339"/>
      <c r="AP722" s="3"/>
      <c r="AQ722" s="3"/>
      <c r="AR722" s="3"/>
      <c r="AS722" s="3"/>
      <c r="AY722" s="116"/>
      <c r="AZ722" s="118">
        <f t="shared" si="9"/>
        <v>2894</v>
      </c>
      <c r="BA722" s="3"/>
      <c r="BB722" s="3"/>
      <c r="BC722" s="3"/>
      <c r="BD722" s="3"/>
      <c r="BE722" s="204"/>
      <c r="BF722" s="294">
        <f t="shared" si="10"/>
        <v>17</v>
      </c>
      <c r="BG722" s="297">
        <f t="shared" si="11"/>
        <v>7.7272727272727271E-2</v>
      </c>
      <c r="BH722" s="298">
        <f t="shared" si="12"/>
        <v>3.8636363636363635E-2</v>
      </c>
      <c r="BI722" s="3"/>
      <c r="BJ722" s="3"/>
      <c r="BK722" s="3"/>
      <c r="BL722" s="3"/>
      <c r="BM722" s="3"/>
      <c r="BN722" s="3"/>
      <c r="BS722" s="294">
        <f t="shared" si="13"/>
        <v>17</v>
      </c>
      <c r="BT722" s="297">
        <f t="shared" si="14"/>
        <v>7.7272727272727271E-2</v>
      </c>
      <c r="BU722" s="298">
        <f t="shared" si="15"/>
        <v>3.8636363636363635E-2</v>
      </c>
      <c r="CC722" s="3"/>
      <c r="CD722" s="3"/>
      <c r="CE722" s="3"/>
      <c r="CF722" s="3"/>
      <c r="CG722" s="1463">
        <f t="shared" si="37"/>
        <v>1</v>
      </c>
      <c r="CH722" s="1464"/>
      <c r="CI722" s="1469">
        <f t="shared" si="38"/>
        <v>17</v>
      </c>
      <c r="CJ722" s="1470"/>
      <c r="CK722" s="1463">
        <f t="shared" si="16"/>
        <v>0</v>
      </c>
      <c r="CL722" s="1464"/>
      <c r="CM722" s="1469">
        <f t="shared" si="17"/>
        <v>0</v>
      </c>
      <c r="CN722" s="1470"/>
      <c r="CO722" s="3"/>
      <c r="CP722" s="1458">
        <f t="shared" si="18"/>
        <v>0</v>
      </c>
      <c r="CQ722" s="1459"/>
      <c r="CR722" s="1459"/>
      <c r="CS722" s="1459"/>
      <c r="CT722" s="1460"/>
      <c r="CU722" s="1443">
        <f t="shared" si="19"/>
        <v>0</v>
      </c>
      <c r="CV722" s="1443"/>
      <c r="CW722" s="1443"/>
      <c r="CX722" s="1443"/>
      <c r="CY722" s="1443"/>
      <c r="CZ722" s="1443">
        <f t="shared" si="20"/>
        <v>17</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t="str">
        <f t="shared" si="31"/>
        <v/>
      </c>
      <c r="FF722" s="1465"/>
      <c r="FG722" s="1465"/>
      <c r="FH722" s="1465"/>
      <c r="FI722" s="1464"/>
      <c r="FJ722" s="1463">
        <f t="shared" si="32"/>
        <v>1333</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7" t="s">
        <v>163</v>
      </c>
      <c r="C723" s="1338"/>
      <c r="D723" s="1338"/>
      <c r="E723" s="1338"/>
      <c r="F723" s="1339"/>
      <c r="G723" s="1350">
        <v>51</v>
      </c>
      <c r="H723" s="1351"/>
      <c r="I723" s="1351"/>
      <c r="J723" s="1352"/>
      <c r="K723" s="1343">
        <v>808</v>
      </c>
      <c r="L723" s="1344"/>
      <c r="M723" s="1344"/>
      <c r="N723" s="1345"/>
      <c r="O723" s="1340">
        <v>1623</v>
      </c>
      <c r="P723" s="1341"/>
      <c r="Q723" s="1341"/>
      <c r="R723" s="1341"/>
      <c r="S723" s="1342"/>
      <c r="T723" s="1340">
        <v>114</v>
      </c>
      <c r="U723" s="1341"/>
      <c r="V723" s="1341"/>
      <c r="W723" s="1342"/>
      <c r="X723" s="1353">
        <f t="shared" si="8"/>
        <v>1737</v>
      </c>
      <c r="Y723" s="1354"/>
      <c r="Z723" s="1354"/>
      <c r="AA723" s="1354"/>
      <c r="AB723" s="1355"/>
      <c r="AC723" s="1360">
        <v>0.6</v>
      </c>
      <c r="AD723" s="1361"/>
      <c r="AE723" s="1361"/>
      <c r="AF723" s="1361"/>
      <c r="AG723" s="1362"/>
      <c r="AH723" s="1356">
        <f t="shared" si="36"/>
        <v>0.60020732550103661</v>
      </c>
      <c r="AI723" s="1357"/>
      <c r="AJ723" s="1358"/>
      <c r="AK723" s="1337" t="s">
        <v>591</v>
      </c>
      <c r="AL723" s="1338"/>
      <c r="AM723" s="1338"/>
      <c r="AN723" s="1338"/>
      <c r="AO723" s="1339"/>
      <c r="AP723" s="3"/>
      <c r="AQ723" s="3"/>
      <c r="AR723" s="3"/>
      <c r="AS723" s="3"/>
      <c r="AY723" s="116"/>
      <c r="AZ723" s="118">
        <f t="shared" si="9"/>
        <v>2894</v>
      </c>
      <c r="BA723" s="3"/>
      <c r="BB723" s="3"/>
      <c r="BC723" s="3"/>
      <c r="BD723" s="3"/>
      <c r="BE723" s="204"/>
      <c r="BF723" s="294">
        <f t="shared" si="10"/>
        <v>51</v>
      </c>
      <c r="BG723" s="297">
        <f t="shared" si="11"/>
        <v>0.23181818181818181</v>
      </c>
      <c r="BH723" s="298">
        <f t="shared" si="12"/>
        <v>0.13909090909090907</v>
      </c>
      <c r="BI723" s="3"/>
      <c r="BJ723" s="3"/>
      <c r="BK723" s="3"/>
      <c r="BL723" s="3"/>
      <c r="BM723" s="3"/>
      <c r="BN723" s="3"/>
      <c r="BS723" s="294">
        <f t="shared" si="13"/>
        <v>51</v>
      </c>
      <c r="BT723" s="297">
        <f t="shared" si="14"/>
        <v>0.23181818181818181</v>
      </c>
      <c r="BU723" s="298">
        <f t="shared" si="15"/>
        <v>0.13913897091160393</v>
      </c>
      <c r="CC723" s="3"/>
      <c r="CD723" s="3"/>
      <c r="CE723" s="3"/>
      <c r="CF723" s="3"/>
      <c r="CG723" s="1463">
        <f t="shared" si="37"/>
        <v>0</v>
      </c>
      <c r="CH723" s="1464"/>
      <c r="CI723" s="1469">
        <f t="shared" si="38"/>
        <v>0</v>
      </c>
      <c r="CJ723" s="1470"/>
      <c r="CK723" s="1463">
        <f t="shared" si="16"/>
        <v>0</v>
      </c>
      <c r="CL723" s="1464"/>
      <c r="CM723" s="1469">
        <f t="shared" si="17"/>
        <v>0</v>
      </c>
      <c r="CN723" s="1470"/>
      <c r="CO723" s="3"/>
      <c r="CP723" s="1458">
        <f t="shared" si="18"/>
        <v>0</v>
      </c>
      <c r="CQ723" s="1459"/>
      <c r="CR723" s="1459"/>
      <c r="CS723" s="1459"/>
      <c r="CT723" s="1460"/>
      <c r="CU723" s="1443">
        <f t="shared" si="19"/>
        <v>0</v>
      </c>
      <c r="CV723" s="1443"/>
      <c r="CW723" s="1443"/>
      <c r="CX723" s="1443"/>
      <c r="CY723" s="1443"/>
      <c r="CZ723" s="1443">
        <f t="shared" si="20"/>
        <v>51</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t="str">
        <f t="shared" si="31"/>
        <v/>
      </c>
      <c r="FF723" s="1465"/>
      <c r="FG723" s="1465"/>
      <c r="FH723" s="1465"/>
      <c r="FI723" s="1464"/>
      <c r="FJ723" s="1463">
        <f t="shared" si="32"/>
        <v>1623</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7"/>
      <c r="C724" s="1338"/>
      <c r="D724" s="1338"/>
      <c r="E724" s="1338"/>
      <c r="F724" s="1339"/>
      <c r="G724" s="1350"/>
      <c r="H724" s="1351"/>
      <c r="I724" s="1351"/>
      <c r="J724" s="1352"/>
      <c r="K724" s="1343"/>
      <c r="L724" s="1344"/>
      <c r="M724" s="1344"/>
      <c r="N724" s="1345"/>
      <c r="O724" s="1340"/>
      <c r="P724" s="1341"/>
      <c r="Q724" s="1341"/>
      <c r="R724" s="1341"/>
      <c r="S724" s="1342"/>
      <c r="T724" s="1340"/>
      <c r="U724" s="1341"/>
      <c r="V724" s="1341"/>
      <c r="W724" s="1342"/>
      <c r="X724" s="1353">
        <f t="shared" si="8"/>
        <v>0</v>
      </c>
      <c r="Y724" s="1354"/>
      <c r="Z724" s="1354"/>
      <c r="AA724" s="1354"/>
      <c r="AB724" s="1355"/>
      <c r="AC724" s="1360"/>
      <c r="AD724" s="1361"/>
      <c r="AE724" s="1361"/>
      <c r="AF724" s="1361"/>
      <c r="AG724" s="1362"/>
      <c r="AH724" s="1356" t="str">
        <f t="shared" si="36"/>
        <v/>
      </c>
      <c r="AI724" s="1357"/>
      <c r="AJ724" s="1358"/>
      <c r="AK724" s="1337" t="s">
        <v>591</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3">
        <f t="shared" si="37"/>
        <v>0</v>
      </c>
      <c r="CH724" s="1464"/>
      <c r="CI724" s="1469">
        <f t="shared" si="38"/>
        <v>0</v>
      </c>
      <c r="CJ724" s="1470"/>
      <c r="CK724" s="1463">
        <f t="shared" si="16"/>
        <v>0</v>
      </c>
      <c r="CL724" s="1464"/>
      <c r="CM724" s="1469">
        <f t="shared" si="17"/>
        <v>0</v>
      </c>
      <c r="CN724" s="1470"/>
      <c r="CO724" s="3"/>
      <c r="CP724" s="1458">
        <f t="shared" si="18"/>
        <v>0</v>
      </c>
      <c r="CQ724" s="1459"/>
      <c r="CR724" s="1459"/>
      <c r="CS724" s="1459"/>
      <c r="CT724" s="1460"/>
      <c r="CU724" s="1443">
        <f t="shared" si="19"/>
        <v>0</v>
      </c>
      <c r="CV724" s="1443"/>
      <c r="CW724" s="1443"/>
      <c r="CX724" s="1443"/>
      <c r="CY724" s="1443"/>
      <c r="CZ724" s="1443">
        <f t="shared" si="20"/>
        <v>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t="str">
        <f t="shared" si="31"/>
        <v/>
      </c>
      <c r="FF724" s="1465"/>
      <c r="FG724" s="1465"/>
      <c r="FH724" s="1465"/>
      <c r="FI724" s="1464"/>
      <c r="FJ724" s="1463" t="str">
        <f t="shared" si="32"/>
        <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7"/>
      <c r="C725" s="1338"/>
      <c r="D725" s="1338"/>
      <c r="E725" s="1338"/>
      <c r="F725" s="1339"/>
      <c r="G725" s="1350"/>
      <c r="H725" s="1351"/>
      <c r="I725" s="1351"/>
      <c r="J725" s="1352"/>
      <c r="K725" s="1343"/>
      <c r="L725" s="1344"/>
      <c r="M725" s="1344"/>
      <c r="N725" s="1345"/>
      <c r="O725" s="1340"/>
      <c r="P725" s="1341"/>
      <c r="Q725" s="1341"/>
      <c r="R725" s="1341"/>
      <c r="S725" s="1342"/>
      <c r="T725" s="1340"/>
      <c r="U725" s="1341"/>
      <c r="V725" s="1341"/>
      <c r="W725" s="1342"/>
      <c r="X725" s="1353">
        <f t="shared" si="8"/>
        <v>0</v>
      </c>
      <c r="Y725" s="1354"/>
      <c r="Z725" s="1354"/>
      <c r="AA725" s="1354"/>
      <c r="AB725" s="1355"/>
      <c r="AC725" s="1360"/>
      <c r="AD725" s="1361"/>
      <c r="AE725" s="1361"/>
      <c r="AF725" s="1361"/>
      <c r="AG725" s="1362"/>
      <c r="AH725" s="1356" t="str">
        <f t="shared" si="36"/>
        <v/>
      </c>
      <c r="AI725" s="1357"/>
      <c r="AJ725" s="1358"/>
      <c r="AK725" s="1337" t="s">
        <v>591</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0</v>
      </c>
      <c r="CV725" s="1443"/>
      <c r="CW725" s="1443"/>
      <c r="CX725" s="1443"/>
      <c r="CY725" s="1443"/>
      <c r="CZ725" s="1443">
        <f t="shared" si="20"/>
        <v>0</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t="str">
        <f t="shared" si="32"/>
        <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591</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0</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t="str">
        <f t="shared" si="32"/>
        <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591</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t="str">
        <f t="shared" si="32"/>
        <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591</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3">
        <f t="shared" si="37"/>
        <v>0</v>
      </c>
      <c r="CH728" s="1464"/>
      <c r="CI728" s="1469">
        <f t="shared" si="38"/>
        <v>0</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591</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220</v>
      </c>
      <c r="H753" s="1622"/>
      <c r="I753" s="1622"/>
      <c r="J753" s="1623"/>
      <c r="K753" s="902" t="s">
        <v>124</v>
      </c>
      <c r="L753" s="5"/>
      <c r="M753" s="5"/>
      <c r="N753" s="46"/>
      <c r="O753" s="1353">
        <f>SUMPRODUCT(G718:G752,O718:O752)</f>
        <v>294953</v>
      </c>
      <c r="P753" s="1354"/>
      <c r="Q753" s="1354"/>
      <c r="R753" s="1354"/>
      <c r="S753" s="1355"/>
      <c r="T753"/>
      <c r="U753"/>
      <c r="V753"/>
      <c r="W753"/>
      <c r="X753" s="904" t="s">
        <v>900</v>
      </c>
      <c r="Y753" s="903"/>
      <c r="Z753" s="903"/>
      <c r="AA753" s="903"/>
      <c r="AB753" s="905"/>
      <c r="AC753" s="1604">
        <f>BH753</f>
        <v>0.5586363636363636</v>
      </c>
      <c r="AD753" s="1605"/>
      <c r="AE753" s="1605"/>
      <c r="AF753" s="1605"/>
      <c r="AG753" s="1606"/>
      <c r="AH753" s="1604">
        <f>IFERROR(BU753,"")</f>
        <v>0.55861821575250792</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220</v>
      </c>
      <c r="BG753" s="300">
        <f>SUM(BG718:BG752)</f>
        <v>1</v>
      </c>
      <c r="BH753" s="300">
        <f>SUM(BH718:BH752)</f>
        <v>0.5586363636363636</v>
      </c>
      <c r="BI753"/>
      <c r="BJ753"/>
      <c r="BK753"/>
      <c r="BL753"/>
      <c r="BO753"/>
      <c r="BP753"/>
      <c r="BQ753"/>
      <c r="BR753"/>
      <c r="BS753" s="859">
        <f>SUM(BS718:BS752)</f>
        <v>220</v>
      </c>
      <c r="BT753" s="300">
        <f>SUM(BT718:BT752)</f>
        <v>1</v>
      </c>
      <c r="BU753" s="300">
        <f>SUM(BU718:BU752)</f>
        <v>0.55861821575250792</v>
      </c>
      <c r="CI753" s="1463">
        <f>SUM(CI718:CJ752)</f>
        <v>22</v>
      </c>
      <c r="CJ753" s="1464"/>
      <c r="CM753" s="1463">
        <f>SUM(CM718:CN752)</f>
        <v>23</v>
      </c>
      <c r="CN753" s="1464"/>
      <c r="CP753" s="1463">
        <f>SUM(CP718:CT752)</f>
        <v>0</v>
      </c>
      <c r="CQ753" s="1465"/>
      <c r="CR753" s="1465"/>
      <c r="CS753" s="1465"/>
      <c r="CT753" s="1464"/>
      <c r="CU753" s="1461">
        <f>SUM(CU718:CY752)</f>
        <v>144</v>
      </c>
      <c r="CV753" s="1461"/>
      <c r="CW753" s="1461"/>
      <c r="CX753" s="1461"/>
      <c r="CY753" s="1461"/>
      <c r="CZ753" s="1461">
        <f>SUM(CZ718:DD752)</f>
        <v>76</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15</v>
      </c>
      <c r="EA753" s="1461"/>
      <c r="EB753" s="1461"/>
      <c r="EC753" s="1461"/>
      <c r="ED753" s="1461"/>
      <c r="EE753" s="1461">
        <f>SUM(EE718:EI752)</f>
        <v>8</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3109</v>
      </c>
      <c r="FF753" s="1461"/>
      <c r="FG753" s="1461"/>
      <c r="FH753" s="1461"/>
      <c r="FI753" s="1461"/>
      <c r="FJ753" s="1461">
        <f>SUM(FJ718:FN752)</f>
        <v>3710</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1893</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1860</v>
      </c>
      <c r="DO754" s="1463">
        <f>CP753+CU753+CZ753+DE753+DJ753+DO753</f>
        <v>220</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144</v>
      </c>
      <c r="CZ755" s="3"/>
      <c r="DA755" s="3"/>
      <c r="DB755" s="3"/>
      <c r="DC755" s="3"/>
      <c r="DD755" s="861">
        <f>CZ753*2</f>
        <v>152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296</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1">
        <f>DU755</f>
        <v>296</v>
      </c>
      <c r="P756" s="1461"/>
      <c r="Q756" s="1461"/>
      <c r="R756" s="1461"/>
      <c r="S756" s="969"/>
      <c r="T756" s="969"/>
      <c r="U756" s="118" t="s">
        <v>1892</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19" t="s">
        <v>285</v>
      </c>
      <c r="P769" s="1619"/>
      <c r="Q769" s="1619"/>
      <c r="R769" s="1619"/>
      <c r="S769" s="1619"/>
      <c r="T769" s="1719" t="s">
        <v>1679</v>
      </c>
      <c r="U769" s="1720"/>
      <c r="V769" s="1720"/>
      <c r="W769" s="1721"/>
      <c r="X769" s="1363" t="s">
        <v>447</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2</v>
      </c>
      <c r="P773" s="1613"/>
      <c r="Q773" s="1613"/>
      <c r="R773" s="1613"/>
      <c r="S773" s="1613"/>
      <c r="T773" s="1343">
        <v>807</v>
      </c>
      <c r="U773" s="1344"/>
      <c r="V773" s="1344"/>
      <c r="W773" s="1345"/>
      <c r="X773" s="1340">
        <v>1623</v>
      </c>
      <c r="Y773" s="1341"/>
      <c r="Z773" s="1341"/>
      <c r="AA773" s="1341"/>
      <c r="AB773" s="1342"/>
      <c r="AC773" s="1353">
        <f>X773*O773</f>
        <v>3246</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3">
        <f>SUM(AC773:AG776)</f>
        <v>3246</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2</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19" t="s">
        <v>285</v>
      </c>
      <c r="P783" s="1619"/>
      <c r="Q783" s="1619"/>
      <c r="R783" s="1619"/>
      <c r="S783" s="1619"/>
      <c r="T783" s="1719" t="s">
        <v>1679</v>
      </c>
      <c r="U783" s="1720"/>
      <c r="V783" s="1720"/>
      <c r="W783" s="1721"/>
      <c r="X783" s="1363" t="s">
        <v>447</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298199</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3578388</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144</v>
      </c>
      <c r="CV802" s="1473"/>
      <c r="CW802" s="1473"/>
      <c r="CX802" s="1473"/>
      <c r="CY802" s="1474"/>
      <c r="CZ802" s="1472">
        <f>CZ753+CZ777+CZ797</f>
        <v>78</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296</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31968</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2750</v>
      </c>
      <c r="Q816" s="1594"/>
      <c r="R816" s="1594"/>
      <c r="S816" s="1594"/>
      <c r="T816" s="1594"/>
      <c r="U816" s="1594"/>
      <c r="V816" s="1594"/>
      <c r="W816" s="1594"/>
      <c r="X816" s="1594"/>
      <c r="Y816" s="1595"/>
      <c r="Z816" s="1466">
        <v>18000</v>
      </c>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49968</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3628356</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v>14</v>
      </c>
      <c r="R825" s="1642"/>
      <c r="S825" s="1642"/>
      <c r="T825" s="1642"/>
      <c r="U825" s="1642">
        <v>18</v>
      </c>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v>7</v>
      </c>
      <c r="R827" s="1642"/>
      <c r="S827" s="1642"/>
      <c r="T827" s="1642"/>
      <c r="U827" s="1642">
        <v>11</v>
      </c>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2"/>
      <c r="N828" s="1642"/>
      <c r="O828" s="1642"/>
      <c r="P828" s="1642"/>
      <c r="Q828" s="1642">
        <v>28</v>
      </c>
      <c r="R828" s="1642"/>
      <c r="S828" s="1642"/>
      <c r="T828" s="1642"/>
      <c r="U828" s="1642">
        <v>39</v>
      </c>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2"/>
      <c r="N829" s="1642"/>
      <c r="O829" s="1642"/>
      <c r="P829" s="1642"/>
      <c r="Q829" s="1642">
        <v>26</v>
      </c>
      <c r="R829" s="1642"/>
      <c r="S829" s="1642"/>
      <c r="T829" s="1642"/>
      <c r="U829" s="1642">
        <v>26</v>
      </c>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2742</v>
      </c>
      <c r="G831" s="1594"/>
      <c r="H831" s="1594"/>
      <c r="I831" s="1594"/>
      <c r="J831" s="1594"/>
      <c r="K831" s="1594"/>
      <c r="L831" s="1594"/>
      <c r="M831" s="1642"/>
      <c r="N831" s="1642"/>
      <c r="O831" s="1642"/>
      <c r="P831" s="1642"/>
      <c r="Q831" s="1642">
        <v>14</v>
      </c>
      <c r="R831" s="1642"/>
      <c r="S831" s="1642"/>
      <c r="T831" s="1642"/>
      <c r="U831" s="1642">
        <v>20</v>
      </c>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89</v>
      </c>
      <c r="R832" s="1636"/>
      <c r="S832" s="1636"/>
      <c r="T832" s="1636"/>
      <c r="U832" s="1636">
        <f>SUM(U825:X831)</f>
        <v>114</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2743</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8000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6000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6000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2727</v>
      </c>
      <c r="N846" s="1594"/>
      <c r="O846" s="1594"/>
      <c r="P846" s="1594"/>
      <c r="Q846" s="1594"/>
      <c r="R846" s="1594"/>
      <c r="S846" s="1594"/>
      <c r="T846" s="1594"/>
      <c r="U846" s="1594"/>
      <c r="V846" s="1595"/>
      <c r="W846" s="1481">
        <v>22940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42940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103408</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v>25000</v>
      </c>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v>65000</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v>145000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235000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30">
        <v>139000</v>
      </c>
      <c r="X857" s="1631"/>
      <c r="Y857" s="1631"/>
      <c r="Z857" s="1631"/>
      <c r="AA857" s="1631"/>
      <c r="AB857" s="1631"/>
      <c r="AC857" s="1632"/>
      <c r="AD857" s="528"/>
      <c r="AZ857" s="34"/>
      <c r="BA857" s="34"/>
      <c r="BB857" s="34"/>
      <c r="BC857" s="34"/>
    </row>
    <row r="858" spans="3:55" ht="12.95" customHeight="1">
      <c r="C858" s="2" t="s">
        <v>347</v>
      </c>
      <c r="J858" s="121" t="s">
        <v>1655</v>
      </c>
      <c r="K858" s="5"/>
      <c r="L858" s="5"/>
      <c r="M858" s="5"/>
      <c r="N858" s="5"/>
      <c r="O858" s="5"/>
      <c r="P858" s="5"/>
      <c r="Q858" s="5"/>
      <c r="R858" s="5"/>
      <c r="S858" s="5"/>
      <c r="T858" s="1709">
        <v>2</v>
      </c>
      <c r="U858" s="1696"/>
      <c r="V858" s="1710"/>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0">
        <v>104000</v>
      </c>
      <c r="X859" s="1631"/>
      <c r="Y859" s="1631"/>
      <c r="Z859" s="1631"/>
      <c r="AA859" s="1631"/>
      <c r="AB859" s="1631"/>
      <c r="AC859" s="1632"/>
      <c r="AD859" s="533"/>
      <c r="AZ859" s="34"/>
      <c r="BA859" s="34"/>
      <c r="BB859" s="34"/>
      <c r="BC859" s="34"/>
    </row>
    <row r="860" spans="3:55" ht="12.95" customHeight="1">
      <c r="C860" s="2"/>
      <c r="J860" s="121" t="s">
        <v>1656</v>
      </c>
      <c r="K860" s="5"/>
      <c r="L860" s="5"/>
      <c r="M860" s="5"/>
      <c r="N860" s="5"/>
      <c r="O860" s="5"/>
      <c r="P860" s="5"/>
      <c r="Q860" s="5"/>
      <c r="R860" s="5"/>
      <c r="S860" s="5"/>
      <c r="T860" s="1709">
        <v>2</v>
      </c>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2745</v>
      </c>
      <c r="N861" s="1594"/>
      <c r="O861" s="1594"/>
      <c r="P861" s="1594"/>
      <c r="Q861" s="1594"/>
      <c r="R861" s="1594"/>
      <c r="S861" s="1594"/>
      <c r="T861" s="1594"/>
      <c r="U861" s="1594"/>
      <c r="V861" s="1595"/>
      <c r="W861" s="1630">
        <v>70000</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313000</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117000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81">
        <v>6000</v>
      </c>
      <c r="X865" s="1481"/>
      <c r="Y865" s="1481"/>
      <c r="Z865" s="1481"/>
      <c r="AA865" s="1481"/>
      <c r="AB865" s="1481"/>
      <c r="AC865" s="1481"/>
      <c r="AU865" s="14"/>
      <c r="AZ865" s="34"/>
      <c r="BA865" s="34"/>
      <c r="BB865" s="34"/>
      <c r="BC865" s="34"/>
    </row>
    <row r="866" spans="3:55" ht="12.95" customHeight="1">
      <c r="J866" s="45" t="s">
        <v>522</v>
      </c>
      <c r="K866" s="5"/>
      <c r="L866" s="5"/>
      <c r="M866" s="5"/>
      <c r="N866" s="5"/>
      <c r="O866" s="5"/>
      <c r="P866" s="5"/>
      <c r="Q866" s="5"/>
      <c r="R866" s="5"/>
      <c r="S866" s="5"/>
      <c r="T866" s="5"/>
      <c r="U866" s="5"/>
      <c r="V866" s="46"/>
      <c r="W866" s="1481">
        <v>60000</v>
      </c>
      <c r="X866" s="1481"/>
      <c r="Y866" s="1481"/>
      <c r="Z866" s="1481"/>
      <c r="AA866" s="1481"/>
      <c r="AB866" s="1481"/>
      <c r="AC866" s="1481"/>
      <c r="AU866" s="4"/>
      <c r="AZ866" s="34"/>
      <c r="BA866" s="34"/>
      <c r="BB866" s="34"/>
      <c r="BC866" s="34"/>
    </row>
    <row r="867" spans="3:55" ht="12.95" customHeight="1">
      <c r="J867" s="45" t="s">
        <v>521</v>
      </c>
      <c r="K867" s="5"/>
      <c r="L867" s="5"/>
      <c r="M867" s="5"/>
      <c r="N867" s="5"/>
      <c r="O867" s="5"/>
      <c r="P867" s="5"/>
      <c r="Q867" s="5"/>
      <c r="R867" s="5"/>
      <c r="S867" s="5"/>
      <c r="T867" s="5"/>
      <c r="U867" s="5"/>
      <c r="V867" s="46"/>
      <c r="W867" s="1481">
        <v>18000</v>
      </c>
      <c r="X867" s="1481"/>
      <c r="Y867" s="1481"/>
      <c r="Z867" s="1481"/>
      <c r="AA867" s="1481"/>
      <c r="AB867" s="1481"/>
      <c r="AC867" s="1481"/>
      <c r="AU867" s="4"/>
      <c r="AZ867" s="34"/>
      <c r="BA867" s="34"/>
      <c r="BB867" s="34"/>
      <c r="BC867" s="34"/>
    </row>
    <row r="868" spans="3:55" ht="12.95" customHeight="1">
      <c r="J868" s="45" t="s">
        <v>520</v>
      </c>
      <c r="K868" s="5"/>
      <c r="L868" s="5"/>
      <c r="M868" s="5"/>
      <c r="N868" s="5"/>
      <c r="O868" s="5"/>
      <c r="P868" s="5"/>
      <c r="Q868" s="5"/>
      <c r="R868" s="5"/>
      <c r="S868" s="5"/>
      <c r="T868" s="5"/>
      <c r="U868" s="5"/>
      <c r="V868" s="46"/>
      <c r="W868" s="1481"/>
      <c r="X868" s="1481"/>
      <c r="Y868" s="1481"/>
      <c r="Z868" s="1481"/>
      <c r="AA868" s="1481"/>
      <c r="AB868" s="1481"/>
      <c r="AC868" s="1481"/>
      <c r="AU868" s="4"/>
      <c r="AZ868" s="34"/>
      <c r="BA868" s="34"/>
      <c r="BB868" s="34"/>
      <c r="BC868" s="34"/>
    </row>
    <row r="869" spans="3:55" ht="12.95" customHeight="1">
      <c r="J869" s="45" t="s">
        <v>519</v>
      </c>
      <c r="K869" s="5"/>
      <c r="L869" s="5"/>
      <c r="M869" s="5"/>
      <c r="N869" s="5"/>
      <c r="O869" s="5"/>
      <c r="P869" s="5"/>
      <c r="Q869" s="5"/>
      <c r="R869" s="5"/>
      <c r="S869" s="5"/>
      <c r="T869" s="5"/>
      <c r="U869" s="5"/>
      <c r="V869" s="46"/>
      <c r="W869" s="1481">
        <v>43000</v>
      </c>
      <c r="X869" s="1481"/>
      <c r="Y869" s="1481"/>
      <c r="Z869" s="1481"/>
      <c r="AA869" s="1481"/>
      <c r="AB869" s="1481"/>
      <c r="AC869" s="1481"/>
      <c r="AU869" s="4"/>
      <c r="AZ869" s="34"/>
      <c r="BA869" s="34"/>
      <c r="BB869" s="34"/>
      <c r="BC869" s="34"/>
    </row>
    <row r="870" spans="3:55" ht="12.95" customHeight="1">
      <c r="J870" s="45" t="s">
        <v>518</v>
      </c>
      <c r="K870" s="5"/>
      <c r="L870" s="5"/>
      <c r="M870" s="5"/>
      <c r="N870" s="5"/>
      <c r="O870" s="5"/>
      <c r="P870" s="5"/>
      <c r="Q870" s="5"/>
      <c r="R870" s="5"/>
      <c r="S870" s="5"/>
      <c r="T870" s="5"/>
      <c r="U870" s="5"/>
      <c r="V870" s="46"/>
      <c r="W870" s="1481">
        <v>12000</v>
      </c>
      <c r="X870" s="1481"/>
      <c r="Y870" s="1481"/>
      <c r="Z870" s="1481"/>
      <c r="AA870" s="1481"/>
      <c r="AB870" s="1481"/>
      <c r="AC870" s="1481"/>
      <c r="AU870" s="4"/>
      <c r="AZ870" s="34"/>
      <c r="BA870" s="34"/>
      <c r="BB870" s="34"/>
      <c r="BC870" s="34"/>
    </row>
    <row r="871" spans="3:55" ht="12.95" customHeight="1">
      <c r="J871" s="45" t="s">
        <v>170</v>
      </c>
      <c r="K871" s="5"/>
      <c r="L871" s="5"/>
      <c r="M871" s="1593" t="s">
        <v>2744</v>
      </c>
      <c r="N871" s="1594"/>
      <c r="O871" s="1594"/>
      <c r="P871" s="1594"/>
      <c r="Q871" s="1594"/>
      <c r="R871" s="1594"/>
      <c r="S871" s="1594"/>
      <c r="T871" s="1594"/>
      <c r="U871" s="1594"/>
      <c r="V871" s="1595"/>
      <c r="W871" s="1481">
        <v>15000</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154000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93" t="s">
        <v>334</v>
      </c>
      <c r="N874" s="1594"/>
      <c r="O874" s="1594"/>
      <c r="P874" s="1594"/>
      <c r="Q874" s="1594"/>
      <c r="R874" s="1594"/>
      <c r="S874" s="1594"/>
      <c r="T874" s="1594"/>
      <c r="U874" s="1594"/>
      <c r="V874" s="1595"/>
      <c r="W874" s="1466"/>
      <c r="X874" s="1467"/>
      <c r="Y874" s="1467"/>
      <c r="Z874" s="1467"/>
      <c r="AA874" s="1467"/>
      <c r="AB874" s="1467"/>
      <c r="AC874" s="1468"/>
      <c r="AD874" s="533"/>
      <c r="AV874" s="14"/>
      <c r="AW874" s="14"/>
      <c r="AX874" s="14"/>
      <c r="AY874" s="14"/>
      <c r="AZ874" s="34"/>
      <c r="BA874" s="34"/>
      <c r="BB874" s="34"/>
      <c r="BC874" s="34"/>
    </row>
    <row r="875" spans="3:55" ht="12.95" customHeight="1">
      <c r="C875" s="2" t="s">
        <v>1244</v>
      </c>
      <c r="J875" s="45" t="s">
        <v>170</v>
      </c>
      <c r="K875" s="5"/>
      <c r="L875" s="5"/>
      <c r="M875" s="1593" t="s">
        <v>334</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965348</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4">
        <f>O797+O777+G753</f>
        <v>222</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4348</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28260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66600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245000</v>
      </c>
      <c r="AD891" s="1467"/>
      <c r="AE891" s="1467"/>
      <c r="AF891" s="1467"/>
      <c r="AG891" s="1467"/>
      <c r="AH891" s="1468"/>
      <c r="AZ891" s="34"/>
      <c r="BA891" s="34"/>
      <c r="BB891" s="34"/>
      <c r="BC891" s="34"/>
    </row>
    <row r="892" spans="3:55" ht="12.95" hidden="1" customHeight="1">
      <c r="C892" s="1449" t="s">
        <v>2232</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2.9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v>16651125</v>
      </c>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2192</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2193</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2194</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2195</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2196</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2197</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39" t="s">
        <v>2201</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2.95" customHeight="1">
      <c r="F937" s="1639" t="s">
        <v>2202</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2.95" customHeight="1">
      <c r="F938" s="1601" t="s">
        <v>2198</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2.95" customHeight="1">
      <c r="F939" s="1601" t="s">
        <v>2199</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2.95" customHeight="1">
      <c r="F940" s="1601" t="s">
        <v>2200</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2203</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2204</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2191</v>
      </c>
      <c r="G946" s="1602"/>
      <c r="H946" s="1603"/>
      <c r="I946" s="1593" t="s">
        <v>334</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93" t="s">
        <v>2722</v>
      </c>
      <c r="J948" s="1537"/>
      <c r="K948" s="1537"/>
      <c r="L948" s="1537"/>
      <c r="M948" s="1537"/>
      <c r="N948" s="1537"/>
      <c r="O948" s="1537"/>
      <c r="P948" s="1537"/>
      <c r="Q948" s="1537"/>
      <c r="R948" s="1537"/>
      <c r="S948" s="1537"/>
      <c r="T948" s="1538"/>
      <c r="U948" s="1402" t="s">
        <v>545</v>
      </c>
      <c r="V948" s="1403"/>
      <c r="W948" s="1403"/>
      <c r="X948" s="1403"/>
      <c r="Y948" s="1403"/>
      <c r="Z948" s="1404"/>
      <c r="AA948" s="1408">
        <v>9088225</v>
      </c>
      <c r="AB948" s="1409"/>
      <c r="AC948" s="1409"/>
      <c r="AD948" s="1409"/>
      <c r="AE948" s="1409"/>
      <c r="AF948" s="1410"/>
      <c r="AV948" s="2"/>
      <c r="AW948" s="2"/>
      <c r="AX948" s="2"/>
      <c r="AY948" s="2"/>
      <c r="AZ948" s="34"/>
      <c r="BA948" s="34"/>
      <c r="BB948" s="34"/>
      <c r="BC948" s="34"/>
    </row>
    <row r="949" spans="1:55" ht="12.95" customHeight="1">
      <c r="F949" s="47" t="s">
        <v>170</v>
      </c>
      <c r="G949" s="48"/>
      <c r="H949" s="48"/>
      <c r="I949" s="1593" t="s">
        <v>2746</v>
      </c>
      <c r="J949" s="1537"/>
      <c r="K949" s="1537"/>
      <c r="L949" s="1537"/>
      <c r="M949" s="1537"/>
      <c r="N949" s="1537"/>
      <c r="O949" s="1537"/>
      <c r="P949" s="1537"/>
      <c r="Q949" s="1537"/>
      <c r="R949" s="1537"/>
      <c r="S949" s="1537"/>
      <c r="T949" s="1538"/>
      <c r="U949" s="1402" t="s">
        <v>545</v>
      </c>
      <c r="V949" s="1403"/>
      <c r="W949" s="1403"/>
      <c r="X949" s="1403"/>
      <c r="Y949" s="1403"/>
      <c r="Z949" s="1404"/>
      <c r="AA949" s="1408">
        <v>5369319</v>
      </c>
      <c r="AB949" s="1409"/>
      <c r="AC949" s="1409"/>
      <c r="AD949" s="1409"/>
      <c r="AE949" s="1409"/>
      <c r="AF949" s="1410"/>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880</v>
      </c>
      <c r="D957" s="5"/>
      <c r="E957" s="5"/>
      <c r="J957" s="1553" t="s">
        <v>307</v>
      </c>
      <c r="K957" s="1554"/>
      <c r="L957" s="1554"/>
      <c r="M957" s="1554"/>
      <c r="N957" s="1554"/>
      <c r="O957" s="1554"/>
      <c r="P957" s="1554"/>
      <c r="Q957" s="1554"/>
      <c r="R957" s="1554"/>
      <c r="S957" s="1555"/>
      <c r="U957" s="66" t="s">
        <v>880</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3" t="s">
        <v>591</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669</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331890</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382666</v>
      </c>
      <c r="S987" s="1552"/>
      <c r="T987" s="1552"/>
      <c r="U987" s="1552"/>
      <c r="V987" s="1552"/>
      <c r="W987" s="1552"/>
      <c r="X987" s="1552"/>
      <c r="Y987" s="1552"/>
      <c r="Z987" s="1552"/>
      <c r="AA987" s="1552"/>
      <c r="AB987" s="1390">
        <f>CU802</f>
        <v>144</v>
      </c>
      <c r="AC987" s="1391"/>
      <c r="AD987" s="1391"/>
      <c r="AE987" s="1391"/>
      <c r="AF987" s="1391"/>
      <c r="AG987" s="1391"/>
      <c r="AH987" s="1391"/>
      <c r="AI987" s="1392"/>
      <c r="AJ987" s="1488">
        <f>IF(ISERROR((R987*AB987)),0,(R987*AB987))</f>
        <v>55103904</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461600</v>
      </c>
      <c r="S988" s="1552"/>
      <c r="T988" s="1552"/>
      <c r="U988" s="1552"/>
      <c r="V988" s="1552"/>
      <c r="W988" s="1552"/>
      <c r="X988" s="1552"/>
      <c r="Y988" s="1552"/>
      <c r="Z988" s="1552"/>
      <c r="AA988" s="1552"/>
      <c r="AB988" s="1390">
        <f>CZ802</f>
        <v>78</v>
      </c>
      <c r="AC988" s="1391"/>
      <c r="AD988" s="1391"/>
      <c r="AE988" s="1391"/>
      <c r="AF988" s="1391"/>
      <c r="AG988" s="1391"/>
      <c r="AH988" s="1391"/>
      <c r="AI988" s="1392"/>
      <c r="AJ988" s="1488">
        <f>IF(ISERROR((R988*AB988)),0,(R988*AB988))</f>
        <v>36004800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590848</v>
      </c>
      <c r="S989" s="1552"/>
      <c r="T989" s="1552"/>
      <c r="U989" s="1552"/>
      <c r="V989" s="1552"/>
      <c r="W989" s="1552"/>
      <c r="X989" s="1552"/>
      <c r="Y989" s="1552"/>
      <c r="Z989" s="1552"/>
      <c r="AA989" s="1552"/>
      <c r="AB989" s="1390">
        <f>DE802</f>
        <v>0</v>
      </c>
      <c r="AC989" s="1391"/>
      <c r="AD989" s="1391"/>
      <c r="AE989" s="1391"/>
      <c r="AF989" s="1391"/>
      <c r="AG989" s="1391"/>
      <c r="AH989" s="1391"/>
      <c r="AI989" s="1392"/>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658242</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222</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91108704</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2234</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2205</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220</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5" customHeight="1">
      <c r="A1007" s="14"/>
      <c r="B1007" s="255"/>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2606</v>
      </c>
    </row>
    <row r="1013" spans="1:52" ht="12.95" customHeight="1">
      <c r="A1013" s="14"/>
      <c r="B1013" s="79"/>
      <c r="C1013" s="80" t="s">
        <v>215</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2235</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2605</v>
      </c>
      <c r="AY1024" s="201">
        <f>IF(SUM(AY1013:AY1023)&lt;=0.2,SUM(AY1013:AY1023),0.2)</f>
        <v>0</v>
      </c>
    </row>
    <row r="1025" spans="1:57" ht="12.95" customHeight="1">
      <c r="A1025" s="14"/>
      <c r="B1025" s="79"/>
      <c r="C1025" s="80" t="s">
        <v>229</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9110870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669</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60003.409909909911</v>
      </c>
      <c r="BB1038" s="1183" t="s">
        <v>2488</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0.20454545454545456</v>
      </c>
      <c r="BB1039" s="3" t="s">
        <v>2492</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545</v>
      </c>
      <c r="AH1041" s="1503"/>
      <c r="AI1041" s="87"/>
      <c r="AJ1041" s="1393">
        <f>ROUND(IF(AG1041="yes",(AJ992*0.1),0),0)</f>
        <v>9110870</v>
      </c>
      <c r="AK1041" s="1394"/>
      <c r="AL1041" s="1394"/>
      <c r="AM1041" s="1394"/>
      <c r="AN1041" s="1394"/>
      <c r="AO1041" s="1394"/>
      <c r="AP1041" s="1394"/>
      <c r="AQ1041" s="1395"/>
      <c r="AR1041" s="68"/>
      <c r="AS1041" s="68"/>
      <c r="AT1041" s="68"/>
      <c r="AU1041" s="68"/>
      <c r="AV1041" s="68"/>
      <c r="AW1041" s="68"/>
      <c r="AX1041" s="68"/>
      <c r="AY1041" s="68"/>
      <c r="BA1041">
        <f>Q212</f>
        <v>0</v>
      </c>
      <c r="BB1041" s="3" t="s">
        <v>2490</v>
      </c>
    </row>
    <row r="1042" spans="1:56" ht="12.95" customHeight="1">
      <c r="A1042" s="14"/>
      <c r="B1042" s="73"/>
      <c r="C1042" s="74"/>
      <c r="D1042" s="1507" t="s">
        <v>2144</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2491</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4" t="s">
        <v>1864</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9110870.4000000004</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2959506</v>
      </c>
      <c r="BA1046" s="1182">
        <f>IF(BA1040,20%,15%)</f>
        <v>0.15</v>
      </c>
      <c r="BB1046" s="3" t="s">
        <v>2478</v>
      </c>
      <c r="BC1046" s="3" t="s">
        <v>2479</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570">
        <f>AY1003</f>
        <v>220</v>
      </c>
      <c r="J1048" s="1571"/>
      <c r="K1048" s="7"/>
      <c r="L1048" s="133"/>
      <c r="M1048" s="133"/>
      <c r="N1048" s="133"/>
      <c r="O1048" s="133"/>
      <c r="P1048" s="133"/>
      <c r="Q1048" s="133"/>
      <c r="R1048" s="133"/>
      <c r="S1048" s="133"/>
      <c r="T1048" s="133"/>
      <c r="U1048" s="133"/>
      <c r="V1048" s="134" t="s">
        <v>973</v>
      </c>
      <c r="W1048" s="48"/>
      <c r="X1048" s="1568">
        <f>CI753</f>
        <v>22</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1660000</v>
      </c>
      <c r="BA1048" s="1182" cm="1">
        <f t="array" ref="BA1048">_xlfn.IFS(X180="Yes",5%,$BA$1038&gt;50000,15%,BA1039&gt;=30%,15%,TRUE,5%)</f>
        <v>0.05</v>
      </c>
      <c r="BB1048" s="3" t="s">
        <v>2478</v>
      </c>
      <c r="BC1048" s="3" t="s">
        <v>2481</v>
      </c>
      <c r="BD1048" s="3"/>
    </row>
    <row r="1049" spans="1:56" ht="12.95" customHeight="1">
      <c r="A1049" s="14"/>
      <c r="B1049" s="79"/>
      <c r="C1049" s="131" t="s">
        <v>1685</v>
      </c>
      <c r="D1049" s="1494" t="s">
        <v>2170</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18221740.800000001</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220</v>
      </c>
      <c r="J1052" s="1571"/>
      <c r="K1052" s="14"/>
      <c r="L1052" s="133"/>
      <c r="M1052" s="133"/>
      <c r="N1052" s="133"/>
      <c r="O1052" s="133"/>
      <c r="P1052" s="133"/>
      <c r="Q1052" s="133"/>
      <c r="R1052" s="133"/>
      <c r="S1052" s="133"/>
      <c r="T1052" s="133"/>
      <c r="U1052" s="133"/>
      <c r="V1052" s="134" t="s">
        <v>974</v>
      </c>
      <c r="X1052" s="1568">
        <f>CM753</f>
        <v>23</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136663055.20000002</v>
      </c>
      <c r="AK1053" s="1580"/>
      <c r="AL1053" s="1580"/>
      <c r="AM1053" s="1580"/>
      <c r="AN1053" s="1580"/>
      <c r="AO1053" s="1580"/>
      <c r="AP1053" s="1580"/>
      <c r="AQ1053" s="1581"/>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2">
        <f>'Sources and Uses Budget'!S107+'Sources and Uses Budget'!T107</f>
        <v>57099546</v>
      </c>
      <c r="AB1056" s="1852"/>
      <c r="AC1056" s="1852"/>
      <c r="AD1056" s="1852"/>
      <c r="AE1056" s="1852"/>
      <c r="AF1056" s="185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4619506</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3">
        <f>IFERROR((AA1056-BA1059)/(AJ1053-AJ1045-AJ1049),"")</f>
        <v>0.50699547145349555</v>
      </c>
      <c r="AB1057" s="1854"/>
      <c r="AC1057" s="1854"/>
      <c r="AD1057" s="1854"/>
      <c r="AE1057" s="1854"/>
      <c r="AF1057" s="185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5">
        <f>'Sources and Uses Budget'!$S$104+'Sources and Uses Budget'!$T$104</f>
        <v>4169506</v>
      </c>
      <c r="BB1058" s="3" t="s">
        <v>2493</v>
      </c>
    </row>
    <row r="1059" spans="1:54" ht="12.95"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6">
        <f>MAX($BA$1058-$BA$1055,0)</f>
        <v>1669506</v>
      </c>
      <c r="BB1059" s="3" t="s">
        <v>2494</v>
      </c>
    </row>
    <row r="1060" spans="1:54" ht="12.95" customHeight="1">
      <c r="A1060" s="88"/>
      <c r="B1060" s="1172"/>
      <c r="C1060" s="1172"/>
      <c r="D1060" s="1172"/>
      <c r="E1060" s="1172"/>
      <c r="F1060" s="1172"/>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1" workbookViewId="0">
      <selection activeCell="E100" sqref="E10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0" t="s">
        <v>621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374</v>
      </c>
      <c r="D2" s="138" t="s">
        <v>373</v>
      </c>
      <c r="E2" s="138" t="s">
        <v>24</v>
      </c>
      <c r="F2" s="139" t="str">
        <f>Application!B627&amp;Application!C627</f>
        <v xml:space="preserve">1)Citibank, N.A </v>
      </c>
      <c r="G2" s="139" t="str">
        <f>Application!B628&amp;Application!C628</f>
        <v>2)City of Elk Grove</v>
      </c>
      <c r="H2" s="139" t="str">
        <f>Application!B629&amp;Application!C629</f>
        <v xml:space="preserve">3)Vintage Housing Holdings, LLC </v>
      </c>
      <c r="I2" s="139" t="str">
        <f>Application!B630&amp;Application!C630</f>
        <v>4)Vintage Housing Development, Inc.</v>
      </c>
      <c r="J2" s="139" t="str">
        <f>Application!B631&amp;Application!C631</f>
        <v xml:space="preserve">5)Vintage Housing Holdings, LLC </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c r="F4" s="147"/>
      <c r="G4" s="147">
        <v>3000000</v>
      </c>
      <c r="H4" s="147"/>
      <c r="I4" s="147"/>
      <c r="J4" s="147"/>
      <c r="K4" s="147"/>
      <c r="L4" s="147"/>
      <c r="M4" s="147"/>
      <c r="N4" s="147"/>
      <c r="O4" s="147"/>
      <c r="P4" s="147"/>
      <c r="Q4" s="147"/>
      <c r="R4" s="516">
        <f>SUM(E4:Q4)</f>
        <v>3000000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3000000</v>
      </c>
      <c r="C8" s="146">
        <f t="shared" ref="C8:Q8" si="0">SUM(C4:C7)</f>
        <v>3000000</v>
      </c>
      <c r="D8" s="146">
        <f t="shared" si="0"/>
        <v>0</v>
      </c>
      <c r="E8" s="146">
        <f t="shared" si="0"/>
        <v>0</v>
      </c>
      <c r="F8" s="146">
        <f t="shared" si="0"/>
        <v>0</v>
      </c>
      <c r="G8" s="146">
        <f t="shared" si="0"/>
        <v>3000000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3000000</v>
      </c>
      <c r="S8" s="148"/>
      <c r="T8" s="148"/>
      <c r="U8" s="143"/>
    </row>
    <row r="9" spans="1:21" s="144" customFormat="1">
      <c r="A9" s="145" t="s">
        <v>594</v>
      </c>
      <c r="B9" s="146">
        <f>SUM(C9+D9)</f>
        <v>33200000</v>
      </c>
      <c r="C9" s="147">
        <v>33200000</v>
      </c>
      <c r="D9" s="147"/>
      <c r="E9" s="147">
        <v>15703371</v>
      </c>
      <c r="F9" s="147">
        <v>11408404</v>
      </c>
      <c r="G9" s="147">
        <v>6088225</v>
      </c>
      <c r="H9" s="147"/>
      <c r="I9" s="147"/>
      <c r="J9" s="147"/>
      <c r="K9" s="147"/>
      <c r="L9" s="147"/>
      <c r="M9" s="147"/>
      <c r="N9" s="147"/>
      <c r="O9" s="147"/>
      <c r="P9" s="147"/>
      <c r="Q9" s="147"/>
      <c r="R9" s="516">
        <f>SUM(E9:Q9)</f>
        <v>33200000</v>
      </c>
      <c r="S9" s="148"/>
      <c r="T9" s="147">
        <v>33200000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33200000</v>
      </c>
      <c r="C11" s="146">
        <f t="shared" ref="C11:Q11" si="1">SUM(C9:C10)</f>
        <v>33200000</v>
      </c>
      <c r="D11" s="146">
        <f t="shared" si="1"/>
        <v>0</v>
      </c>
      <c r="E11" s="146">
        <f t="shared" si="1"/>
        <v>15703371</v>
      </c>
      <c r="F11" s="146">
        <f t="shared" si="1"/>
        <v>11408404</v>
      </c>
      <c r="G11" s="146">
        <f t="shared" si="1"/>
        <v>6088225</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33200000</v>
      </c>
      <c r="S11" s="148"/>
      <c r="T11" s="150">
        <f>SUM(T9:T10)</f>
        <v>33200000</v>
      </c>
      <c r="U11" s="143"/>
    </row>
    <row r="12" spans="1:21" s="144" customFormat="1">
      <c r="A12" s="149" t="s">
        <v>84</v>
      </c>
      <c r="B12" s="146">
        <f t="shared" ref="B12:Q12" si="2">SUM(B8+B11)</f>
        <v>36200000</v>
      </c>
      <c r="C12" s="146">
        <f t="shared" si="2"/>
        <v>36200000</v>
      </c>
      <c r="D12" s="146">
        <f t="shared" si="2"/>
        <v>0</v>
      </c>
      <c r="E12" s="146">
        <f t="shared" si="2"/>
        <v>15703371</v>
      </c>
      <c r="F12" s="146">
        <f t="shared" si="2"/>
        <v>11408404</v>
      </c>
      <c r="G12" s="146">
        <f t="shared" si="2"/>
        <v>9088225</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36200000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13320757</v>
      </c>
      <c r="C18" s="147">
        <v>13320757</v>
      </c>
      <c r="D18" s="147"/>
      <c r="E18" s="147"/>
      <c r="F18" s="147">
        <v>13255646</v>
      </c>
      <c r="G18" s="147"/>
      <c r="H18" s="147"/>
      <c r="I18" s="147"/>
      <c r="J18" s="147">
        <v>65111</v>
      </c>
      <c r="K18" s="147"/>
      <c r="L18" s="147"/>
      <c r="M18" s="147"/>
      <c r="N18" s="147"/>
      <c r="O18" s="147"/>
      <c r="P18" s="147"/>
      <c r="Q18" s="147"/>
      <c r="R18" s="516">
        <f>SUM(E18:Q18)</f>
        <v>13320757</v>
      </c>
      <c r="S18" s="147">
        <v>13320757</v>
      </c>
      <c r="T18" s="147"/>
      <c r="U18" s="143"/>
    </row>
    <row r="19" spans="1:21" s="144" customFormat="1">
      <c r="A19" s="145" t="s">
        <v>600</v>
      </c>
      <c r="B19" s="146">
        <f t="shared" si="3"/>
        <v>799200</v>
      </c>
      <c r="C19" s="147">
        <v>799200</v>
      </c>
      <c r="D19" s="147"/>
      <c r="E19" s="147"/>
      <c r="F19" s="147">
        <v>799200</v>
      </c>
      <c r="G19" s="147"/>
      <c r="H19" s="147"/>
      <c r="I19" s="147"/>
      <c r="J19" s="147"/>
      <c r="K19" s="147"/>
      <c r="L19" s="147"/>
      <c r="M19" s="147"/>
      <c r="N19" s="147"/>
      <c r="O19" s="147"/>
      <c r="P19" s="147"/>
      <c r="Q19" s="147"/>
      <c r="R19" s="516">
        <f>SUM(E19:Q19)</f>
        <v>799200</v>
      </c>
      <c r="S19" s="147">
        <v>799200</v>
      </c>
      <c r="T19" s="147"/>
      <c r="U19" s="143"/>
    </row>
    <row r="20" spans="1:21" s="144" customFormat="1">
      <c r="A20" s="145" t="s">
        <v>137</v>
      </c>
      <c r="B20" s="146">
        <f t="shared" si="3"/>
        <v>265643</v>
      </c>
      <c r="C20" s="147">
        <v>265643</v>
      </c>
      <c r="D20" s="147"/>
      <c r="E20" s="147"/>
      <c r="F20" s="147">
        <v>265643</v>
      </c>
      <c r="G20" s="147"/>
      <c r="H20" s="147"/>
      <c r="I20" s="147"/>
      <c r="J20" s="147"/>
      <c r="K20" s="147"/>
      <c r="L20" s="147"/>
      <c r="M20" s="147"/>
      <c r="N20" s="147"/>
      <c r="O20" s="147"/>
      <c r="P20" s="147"/>
      <c r="Q20" s="147"/>
      <c r="R20" s="516">
        <f t="shared" ref="R20:R27" si="4">SUM(E20:Q20)</f>
        <v>265643</v>
      </c>
      <c r="S20" s="147">
        <v>265643</v>
      </c>
      <c r="T20" s="147"/>
      <c r="U20" s="143"/>
    </row>
    <row r="21" spans="1:21" s="144" customFormat="1">
      <c r="A21" s="145" t="s">
        <v>138</v>
      </c>
      <c r="B21" s="146">
        <f t="shared" si="3"/>
        <v>799200</v>
      </c>
      <c r="C21" s="147">
        <v>799200</v>
      </c>
      <c r="D21" s="147"/>
      <c r="E21" s="147"/>
      <c r="F21" s="147">
        <v>799200</v>
      </c>
      <c r="G21" s="147"/>
      <c r="H21" s="147"/>
      <c r="I21" s="147"/>
      <c r="J21" s="147"/>
      <c r="K21" s="147"/>
      <c r="L21" s="147"/>
      <c r="M21" s="147"/>
      <c r="N21" s="147"/>
      <c r="O21" s="147"/>
      <c r="P21" s="147"/>
      <c r="Q21" s="147"/>
      <c r="R21" s="516">
        <f t="shared" si="4"/>
        <v>799200</v>
      </c>
      <c r="S21" s="147">
        <v>799200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15184800</v>
      </c>
      <c r="C26" s="146">
        <f>SUM(C17:C25)</f>
        <v>15184800</v>
      </c>
      <c r="D26" s="146">
        <f t="shared" ref="D26:Q26" si="5">SUM(D17:D25)</f>
        <v>0</v>
      </c>
      <c r="E26" s="146">
        <f t="shared" si="5"/>
        <v>0</v>
      </c>
      <c r="F26" s="146">
        <f t="shared" si="5"/>
        <v>15119689</v>
      </c>
      <c r="G26" s="146">
        <f t="shared" si="5"/>
        <v>0</v>
      </c>
      <c r="H26" s="146">
        <f t="shared" si="5"/>
        <v>0</v>
      </c>
      <c r="I26" s="146">
        <f t="shared" si="5"/>
        <v>0</v>
      </c>
      <c r="J26" s="146">
        <f t="shared" si="5"/>
        <v>65111</v>
      </c>
      <c r="K26" s="146">
        <f t="shared" si="5"/>
        <v>0</v>
      </c>
      <c r="L26" s="146">
        <f t="shared" si="5"/>
        <v>0</v>
      </c>
      <c r="M26" s="146">
        <f t="shared" si="5"/>
        <v>0</v>
      </c>
      <c r="N26" s="146">
        <f t="shared" si="5"/>
        <v>0</v>
      </c>
      <c r="O26" s="146">
        <f t="shared" si="5"/>
        <v>0</v>
      </c>
      <c r="P26" s="146">
        <f t="shared" si="5"/>
        <v>0</v>
      </c>
      <c r="Q26" s="146">
        <f t="shared" si="5"/>
        <v>0</v>
      </c>
      <c r="R26" s="342">
        <f>SUM(R17:R25)</f>
        <v>15184800</v>
      </c>
      <c r="S26" s="150">
        <f>SUM(S17:S25)</f>
        <v>15184800</v>
      </c>
      <c r="T26" s="150">
        <f>SUM(T17:T25)</f>
        <v>0</v>
      </c>
      <c r="U26" s="143"/>
    </row>
    <row r="27" spans="1:21" s="144" customFormat="1">
      <c r="A27" s="149" t="s">
        <v>141</v>
      </c>
      <c r="B27" s="146">
        <f>SUM(C27:D27)</f>
        <v>100000</v>
      </c>
      <c r="C27" s="147">
        <v>100000</v>
      </c>
      <c r="D27" s="147"/>
      <c r="E27" s="147">
        <v>100000</v>
      </c>
      <c r="F27" s="147"/>
      <c r="G27" s="147"/>
      <c r="H27" s="147"/>
      <c r="I27" s="147"/>
      <c r="J27" s="147"/>
      <c r="K27" s="147"/>
      <c r="L27" s="147"/>
      <c r="M27" s="147"/>
      <c r="N27" s="147"/>
      <c r="O27" s="147"/>
      <c r="P27" s="147"/>
      <c r="Q27" s="147"/>
      <c r="R27" s="516">
        <f t="shared" si="4"/>
        <v>100000</v>
      </c>
      <c r="S27" s="147">
        <v>100000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v>
      </c>
      <c r="C40" s="147">
        <v>50000</v>
      </c>
      <c r="D40" s="147"/>
      <c r="E40" s="147"/>
      <c r="F40" s="147">
        <v>50000</v>
      </c>
      <c r="G40" s="147"/>
      <c r="H40" s="147"/>
      <c r="I40" s="147"/>
      <c r="J40" s="147"/>
      <c r="K40" s="147"/>
      <c r="L40" s="147"/>
      <c r="M40" s="147"/>
      <c r="N40" s="147"/>
      <c r="O40" s="147"/>
      <c r="P40" s="147"/>
      <c r="Q40" s="147"/>
      <c r="R40" s="516">
        <f>SUM(E40:Q40)</f>
        <v>50000</v>
      </c>
      <c r="S40" s="147">
        <v>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50000</v>
      </c>
      <c r="C42" s="146">
        <f>SUM(C39:C41)</f>
        <v>50000</v>
      </c>
      <c r="D42" s="146">
        <f>SUM(D39:D41)</f>
        <v>0</v>
      </c>
      <c r="E42" s="146">
        <f t="shared" ref="E42:T42" si="9">SUM(E40:E41)</f>
        <v>0</v>
      </c>
      <c r="F42" s="146">
        <f t="shared" si="9"/>
        <v>50000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50000</v>
      </c>
      <c r="S42" s="150">
        <f t="shared" si="9"/>
        <v>50000</v>
      </c>
      <c r="T42" s="150">
        <f t="shared" si="9"/>
        <v>0</v>
      </c>
      <c r="U42" s="143"/>
    </row>
    <row r="43" spans="1:21" s="144" customFormat="1">
      <c r="A43" s="149" t="s">
        <v>148</v>
      </c>
      <c r="B43" s="146">
        <f>SUM(C43:D43)</f>
        <v>50000</v>
      </c>
      <c r="C43" s="147">
        <v>50000</v>
      </c>
      <c r="D43" s="147"/>
      <c r="E43" s="147"/>
      <c r="F43" s="147">
        <v>50000</v>
      </c>
      <c r="G43" s="147"/>
      <c r="H43" s="147"/>
      <c r="I43" s="147"/>
      <c r="J43" s="147"/>
      <c r="K43" s="147"/>
      <c r="L43" s="147"/>
      <c r="M43" s="147"/>
      <c r="N43" s="147"/>
      <c r="O43" s="147"/>
      <c r="P43" s="147"/>
      <c r="Q43" s="147"/>
      <c r="R43" s="516">
        <f>SUM(E43:Q43)</f>
        <v>50000</v>
      </c>
      <c r="S43" s="147">
        <v>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3742675</v>
      </c>
      <c r="C45" s="147">
        <v>3742675</v>
      </c>
      <c r="D45" s="147"/>
      <c r="E45" s="147">
        <v>2726497</v>
      </c>
      <c r="F45" s="147"/>
      <c r="G45" s="147"/>
      <c r="H45" s="147">
        <v>1016178</v>
      </c>
      <c r="I45" s="147"/>
      <c r="J45" s="147"/>
      <c r="K45" s="147"/>
      <c r="L45" s="147"/>
      <c r="M45" s="147"/>
      <c r="N45" s="147"/>
      <c r="O45" s="147"/>
      <c r="P45" s="147"/>
      <c r="Q45" s="147"/>
      <c r="R45" s="516">
        <f t="shared" ref="R45:R53" si="11">SUM(E45:Q45)</f>
        <v>3742675</v>
      </c>
      <c r="S45" s="147">
        <v>2750000</v>
      </c>
      <c r="T45" s="147"/>
      <c r="U45" s="143"/>
    </row>
    <row r="46" spans="1:21" s="144" customFormat="1">
      <c r="A46" s="145" t="s">
        <v>151</v>
      </c>
      <c r="B46" s="146">
        <f t="shared" si="10"/>
        <v>316575</v>
      </c>
      <c r="C46" s="147">
        <v>316575</v>
      </c>
      <c r="D46" s="147"/>
      <c r="E46" s="147">
        <v>316575</v>
      </c>
      <c r="F46" s="147"/>
      <c r="G46" s="147"/>
      <c r="H46" s="147"/>
      <c r="I46" s="147"/>
      <c r="J46" s="147"/>
      <c r="K46" s="147"/>
      <c r="L46" s="147"/>
      <c r="M46" s="147"/>
      <c r="N46" s="147"/>
      <c r="O46" s="147"/>
      <c r="P46" s="147"/>
      <c r="Q46" s="147"/>
      <c r="R46" s="516">
        <f t="shared" si="11"/>
        <v>316575</v>
      </c>
      <c r="S46" s="147"/>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75000</v>
      </c>
      <c r="C50" s="147">
        <v>75000</v>
      </c>
      <c r="D50" s="147"/>
      <c r="E50" s="147">
        <v>75000</v>
      </c>
      <c r="F50" s="147"/>
      <c r="G50" s="147"/>
      <c r="H50" s="147"/>
      <c r="I50" s="147"/>
      <c r="J50" s="147"/>
      <c r="K50" s="147"/>
      <c r="L50" s="147"/>
      <c r="M50" s="147"/>
      <c r="N50" s="147"/>
      <c r="O50" s="147"/>
      <c r="P50" s="147"/>
      <c r="Q50" s="147"/>
      <c r="R50" s="516">
        <f t="shared" si="11"/>
        <v>75000</v>
      </c>
      <c r="S50" s="147">
        <v>75000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2747</v>
      </c>
      <c r="B53" s="146">
        <f t="shared" si="10"/>
        <v>26000</v>
      </c>
      <c r="C53" s="147">
        <v>26000</v>
      </c>
      <c r="D53" s="147"/>
      <c r="E53" s="147">
        <v>26000</v>
      </c>
      <c r="F53" s="147"/>
      <c r="G53" s="147"/>
      <c r="H53" s="147"/>
      <c r="I53" s="147"/>
      <c r="J53" s="147"/>
      <c r="K53" s="147"/>
      <c r="L53" s="147"/>
      <c r="M53" s="147"/>
      <c r="N53" s="147"/>
      <c r="O53" s="147"/>
      <c r="P53" s="147"/>
      <c r="Q53" s="147"/>
      <c r="R53" s="516">
        <f t="shared" si="11"/>
        <v>26000</v>
      </c>
      <c r="S53" s="147">
        <v>26000</v>
      </c>
      <c r="T53" s="147"/>
      <c r="U53" s="143"/>
    </row>
    <row r="54" spans="1:21" s="153" customFormat="1">
      <c r="A54" s="149" t="s">
        <v>157</v>
      </c>
      <c r="B54" s="150">
        <f>SUM(C54:D54)</f>
        <v>4160250</v>
      </c>
      <c r="C54" s="150">
        <f t="shared" ref="C54:T54" si="12">SUM(C45:C53)</f>
        <v>4160250</v>
      </c>
      <c r="D54" s="150">
        <f t="shared" si="12"/>
        <v>0</v>
      </c>
      <c r="E54" s="150">
        <f t="shared" si="12"/>
        <v>3144072</v>
      </c>
      <c r="F54" s="150">
        <f t="shared" si="12"/>
        <v>0</v>
      </c>
      <c r="G54" s="150">
        <f t="shared" si="12"/>
        <v>0</v>
      </c>
      <c r="H54" s="150">
        <f t="shared" si="12"/>
        <v>1016178</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4160250</v>
      </c>
      <c r="S54" s="150">
        <f t="shared" si="12"/>
        <v>2851000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v>10000</v>
      </c>
      <c r="F56" s="147"/>
      <c r="G56" s="147"/>
      <c r="H56" s="147"/>
      <c r="I56" s="147"/>
      <c r="J56" s="147"/>
      <c r="K56" s="147"/>
      <c r="L56" s="147"/>
      <c r="M56" s="147"/>
      <c r="N56" s="147"/>
      <c r="O56" s="147"/>
      <c r="P56" s="147"/>
      <c r="Q56" s="147"/>
      <c r="R56" s="516">
        <f t="shared" ref="R56:R61" si="14">SUM(E56:Q56)</f>
        <v>10000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2748</v>
      </c>
      <c r="B61" s="146">
        <f t="shared" si="13"/>
        <v>148199</v>
      </c>
      <c r="C61" s="147">
        <v>148199</v>
      </c>
      <c r="D61" s="147"/>
      <c r="E61" s="147">
        <v>148199</v>
      </c>
      <c r="F61" s="147"/>
      <c r="G61" s="147"/>
      <c r="H61" s="147"/>
      <c r="I61" s="147"/>
      <c r="J61" s="147"/>
      <c r="K61" s="147"/>
      <c r="L61" s="147"/>
      <c r="M61" s="147"/>
      <c r="N61" s="147"/>
      <c r="O61" s="147"/>
      <c r="P61" s="147"/>
      <c r="Q61" s="147"/>
      <c r="R61" s="516">
        <f t="shared" si="14"/>
        <v>148199</v>
      </c>
      <c r="S61" s="148"/>
      <c r="T61" s="148"/>
      <c r="U61" s="143"/>
    </row>
    <row r="62" spans="1:21" s="144" customFormat="1" ht="13.7" customHeight="1">
      <c r="A62" s="149" t="s">
        <v>301</v>
      </c>
      <c r="B62" s="146">
        <f>SUM(C62:D62)</f>
        <v>158199</v>
      </c>
      <c r="C62" s="146">
        <f t="shared" ref="C62:R62" si="15">SUM(C56:C61)</f>
        <v>158199</v>
      </c>
      <c r="D62" s="146">
        <f t="shared" si="15"/>
        <v>0</v>
      </c>
      <c r="E62" s="146">
        <f t="shared" si="15"/>
        <v>158199</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158199</v>
      </c>
      <c r="S62" s="148"/>
      <c r="T62" s="148"/>
      <c r="U62" s="143"/>
    </row>
    <row r="63" spans="1:21" s="144" customFormat="1">
      <c r="A63" s="154" t="s">
        <v>302</v>
      </c>
      <c r="B63" s="146">
        <f t="shared" ref="B63:R63" si="16">SUM(B8+B11+B13+B14+B15+B26+B27+B38+B42+B43+B54+B62)</f>
        <v>55903249</v>
      </c>
      <c r="C63" s="146">
        <f t="shared" si="16"/>
        <v>55903249</v>
      </c>
      <c r="D63" s="146">
        <f t="shared" si="16"/>
        <v>0</v>
      </c>
      <c r="E63" s="146">
        <f t="shared" si="16"/>
        <v>19105642</v>
      </c>
      <c r="F63" s="146">
        <f t="shared" si="16"/>
        <v>26628093</v>
      </c>
      <c r="G63" s="146">
        <f t="shared" si="16"/>
        <v>9088225</v>
      </c>
      <c r="H63" s="146">
        <f t="shared" si="16"/>
        <v>1016178</v>
      </c>
      <c r="I63" s="146">
        <f t="shared" si="16"/>
        <v>0</v>
      </c>
      <c r="J63" s="146">
        <f t="shared" si="16"/>
        <v>65111</v>
      </c>
      <c r="K63" s="146">
        <f t="shared" si="16"/>
        <v>0</v>
      </c>
      <c r="L63" s="146">
        <f t="shared" si="16"/>
        <v>0</v>
      </c>
      <c r="M63" s="146">
        <f t="shared" si="16"/>
        <v>0</v>
      </c>
      <c r="N63" s="146">
        <f t="shared" si="16"/>
        <v>0</v>
      </c>
      <c r="O63" s="146">
        <f t="shared" si="16"/>
        <v>0</v>
      </c>
      <c r="P63" s="146">
        <f t="shared" si="16"/>
        <v>0</v>
      </c>
      <c r="Q63" s="146">
        <f t="shared" si="16"/>
        <v>0</v>
      </c>
      <c r="R63" s="342">
        <f t="shared" si="16"/>
        <v>55903249</v>
      </c>
      <c r="S63" s="146">
        <f>SUM(S10+S13+S14+S15+S26+S27+S38+S42+S43+S54)</f>
        <v>18235800</v>
      </c>
      <c r="T63" s="146">
        <f>SUM(T11+T13+T14+T15+T26+T27+T38+T42+T43+T54)</f>
        <v>33200000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c r="F65" s="147">
        <v>60000</v>
      </c>
      <c r="G65" s="147"/>
      <c r="H65" s="147"/>
      <c r="I65" s="147"/>
      <c r="J65" s="147"/>
      <c r="K65" s="147"/>
      <c r="L65" s="147"/>
      <c r="M65" s="147"/>
      <c r="N65" s="147"/>
      <c r="O65" s="147"/>
      <c r="P65" s="147"/>
      <c r="Q65" s="147"/>
      <c r="R65" s="516">
        <f>SUM(E65:Q65)</f>
        <v>60000</v>
      </c>
      <c r="S65" s="147">
        <v>20000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2749</v>
      </c>
      <c r="B69" s="146">
        <f>SUM(C69+D69)</f>
        <v>129500</v>
      </c>
      <c r="C69" s="147">
        <v>129500</v>
      </c>
      <c r="D69" s="147"/>
      <c r="E69" s="147"/>
      <c r="F69" s="147">
        <v>129500</v>
      </c>
      <c r="G69" s="147"/>
      <c r="H69" s="147"/>
      <c r="I69" s="147"/>
      <c r="J69" s="147"/>
      <c r="K69" s="147"/>
      <c r="L69" s="147"/>
      <c r="M69" s="147"/>
      <c r="N69" s="147"/>
      <c r="O69" s="147"/>
      <c r="P69" s="147"/>
      <c r="Q69" s="147"/>
      <c r="R69" s="516">
        <f>SUM(E69:Q69)</f>
        <v>129500</v>
      </c>
      <c r="S69" s="147">
        <v>80000</v>
      </c>
      <c r="T69" s="147"/>
      <c r="U69" s="143"/>
    </row>
    <row r="70" spans="1:21" s="144" customFormat="1">
      <c r="A70" s="149" t="s">
        <v>1645</v>
      </c>
      <c r="B70" s="146">
        <f>SUM(C70:D70)</f>
        <v>189500</v>
      </c>
      <c r="C70" s="146">
        <f>SUM(C65:C69)</f>
        <v>189500</v>
      </c>
      <c r="D70" s="146">
        <f>SUM(D65:D69)</f>
        <v>0</v>
      </c>
      <c r="E70" s="146">
        <f t="shared" ref="E70:T70" si="17">SUM(E65:E69)</f>
        <v>0</v>
      </c>
      <c r="F70" s="146">
        <f t="shared" si="17"/>
        <v>189500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189500</v>
      </c>
      <c r="S70" s="150">
        <f t="shared" si="17"/>
        <v>100000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941962</v>
      </c>
      <c r="C75" s="147">
        <v>941962</v>
      </c>
      <c r="D75" s="147"/>
      <c r="E75" s="147"/>
      <c r="F75" s="147"/>
      <c r="G75" s="147"/>
      <c r="H75" s="147"/>
      <c r="I75" s="147"/>
      <c r="J75" s="147">
        <v>941962</v>
      </c>
      <c r="K75" s="147"/>
      <c r="L75" s="147"/>
      <c r="M75" s="147"/>
      <c r="N75" s="147"/>
      <c r="O75" s="147"/>
      <c r="P75" s="147"/>
      <c r="Q75" s="147"/>
      <c r="R75" s="516">
        <f>SUM(E75:Q75)</f>
        <v>941962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941962</v>
      </c>
      <c r="C77" s="146">
        <f>SUM(C72:C76)</f>
        <v>941962</v>
      </c>
      <c r="D77" s="146">
        <f>SUM(D72:D76)</f>
        <v>0</v>
      </c>
      <c r="E77" s="146">
        <f t="shared" ref="E77:Q77" si="18">SUM(E72:E76)</f>
        <v>0</v>
      </c>
      <c r="F77" s="146">
        <f t="shared" si="18"/>
        <v>0</v>
      </c>
      <c r="G77" s="146">
        <f t="shared" si="18"/>
        <v>0</v>
      </c>
      <c r="H77" s="146">
        <f t="shared" si="18"/>
        <v>0</v>
      </c>
      <c r="I77" s="146">
        <f t="shared" si="18"/>
        <v>0</v>
      </c>
      <c r="J77" s="146">
        <f t="shared" si="18"/>
        <v>941962</v>
      </c>
      <c r="K77" s="146">
        <f t="shared" si="18"/>
        <v>0</v>
      </c>
      <c r="L77" s="146">
        <f t="shared" si="18"/>
        <v>0</v>
      </c>
      <c r="M77" s="146">
        <f t="shared" si="18"/>
        <v>0</v>
      </c>
      <c r="N77" s="146">
        <f t="shared" si="18"/>
        <v>0</v>
      </c>
      <c r="O77" s="146">
        <f t="shared" si="18"/>
        <v>0</v>
      </c>
      <c r="P77" s="146">
        <f t="shared" si="18"/>
        <v>0</v>
      </c>
      <c r="Q77" s="146">
        <f t="shared" si="18"/>
        <v>0</v>
      </c>
      <c r="R77" s="342">
        <f>SUM(R72:R76)</f>
        <v>941962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759240</v>
      </c>
      <c r="C79" s="147">
        <v>759240</v>
      </c>
      <c r="D79" s="147"/>
      <c r="E79" s="147"/>
      <c r="F79" s="147">
        <v>759240</v>
      </c>
      <c r="G79" s="147"/>
      <c r="H79" s="147"/>
      <c r="I79" s="147"/>
      <c r="J79" s="147"/>
      <c r="K79" s="147"/>
      <c r="L79" s="147"/>
      <c r="M79" s="147"/>
      <c r="N79" s="147"/>
      <c r="O79" s="147"/>
      <c r="P79" s="147"/>
      <c r="Q79" s="147"/>
      <c r="R79" s="516">
        <f>SUM(E79:Q79)</f>
        <v>759240</v>
      </c>
      <c r="S79" s="147">
        <v>759240</v>
      </c>
      <c r="T79" s="147"/>
      <c r="U79" s="143"/>
    </row>
    <row r="80" spans="1:21" s="144" customFormat="1">
      <c r="A80" s="283" t="s">
        <v>58</v>
      </c>
      <c r="B80" s="146">
        <f>SUM(C80:D80)</f>
        <v>125000</v>
      </c>
      <c r="C80" s="147">
        <v>125000</v>
      </c>
      <c r="D80" s="147"/>
      <c r="E80" s="147"/>
      <c r="F80" s="147">
        <v>125000</v>
      </c>
      <c r="G80" s="147"/>
      <c r="H80" s="147"/>
      <c r="I80" s="147"/>
      <c r="J80" s="147"/>
      <c r="K80" s="147"/>
      <c r="L80" s="147"/>
      <c r="M80" s="147"/>
      <c r="N80" s="147"/>
      <c r="O80" s="147"/>
      <c r="P80" s="147"/>
      <c r="Q80" s="147"/>
      <c r="R80" s="516">
        <f>SUM(E80:Q80)</f>
        <v>125000</v>
      </c>
      <c r="S80" s="147">
        <v>125000</v>
      </c>
      <c r="T80" s="147"/>
      <c r="U80" s="143"/>
    </row>
    <row r="81" spans="1:21" s="144" customFormat="1">
      <c r="A81" s="149" t="s">
        <v>1209</v>
      </c>
      <c r="B81" s="146">
        <f>SUM(C81:D81)</f>
        <v>884240</v>
      </c>
      <c r="C81" s="509">
        <f>SUM(C79:C80)</f>
        <v>884240</v>
      </c>
      <c r="D81" s="509">
        <f t="shared" ref="D81:T81" si="19">SUM(D79:D80)</f>
        <v>0</v>
      </c>
      <c r="E81" s="509">
        <f t="shared" si="19"/>
        <v>0</v>
      </c>
      <c r="F81" s="509">
        <f t="shared" si="19"/>
        <v>884240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884240</v>
      </c>
      <c r="S81" s="509">
        <f t="shared" si="19"/>
        <v>884240</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120000</v>
      </c>
      <c r="C83" s="147">
        <v>120000</v>
      </c>
      <c r="D83" s="147"/>
      <c r="E83" s="147">
        <v>120000</v>
      </c>
      <c r="F83" s="147"/>
      <c r="G83" s="147"/>
      <c r="H83" s="147"/>
      <c r="I83" s="147"/>
      <c r="J83" s="147"/>
      <c r="K83" s="147"/>
      <c r="L83" s="147"/>
      <c r="M83" s="147"/>
      <c r="N83" s="147"/>
      <c r="O83" s="147"/>
      <c r="P83" s="147"/>
      <c r="Q83" s="147"/>
      <c r="R83" s="516">
        <f t="shared" ref="R83:R95" si="21">SUM(E83:Q83)</f>
        <v>120000</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100000</v>
      </c>
      <c r="C86" s="147">
        <v>100000</v>
      </c>
      <c r="D86" s="147"/>
      <c r="E86" s="147"/>
      <c r="F86" s="147">
        <v>100000</v>
      </c>
      <c r="G86" s="147"/>
      <c r="H86" s="147"/>
      <c r="I86" s="147"/>
      <c r="J86" s="147"/>
      <c r="K86" s="147"/>
      <c r="L86" s="147"/>
      <c r="M86" s="147"/>
      <c r="N86" s="147"/>
      <c r="O86" s="147"/>
      <c r="P86" s="147"/>
      <c r="Q86" s="147"/>
      <c r="R86" s="516">
        <f t="shared" si="21"/>
        <v>100000</v>
      </c>
      <c r="S86" s="147">
        <v>100000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300000</v>
      </c>
      <c r="C89" s="147">
        <v>300000</v>
      </c>
      <c r="D89" s="147"/>
      <c r="E89" s="147"/>
      <c r="F89" s="147">
        <v>300000</v>
      </c>
      <c r="G89" s="147"/>
      <c r="H89" s="147"/>
      <c r="I89" s="147"/>
      <c r="J89" s="147"/>
      <c r="K89" s="147"/>
      <c r="L89" s="147"/>
      <c r="M89" s="147"/>
      <c r="N89" s="147"/>
      <c r="O89" s="147"/>
      <c r="P89" s="147"/>
      <c r="Q89" s="147"/>
      <c r="R89" s="516">
        <f t="shared" si="21"/>
        <v>300000</v>
      </c>
      <c r="S89" s="147">
        <v>300000</v>
      </c>
      <c r="T89" s="147"/>
      <c r="U89" s="143"/>
    </row>
    <row r="90" spans="1:21" s="144" customFormat="1">
      <c r="A90" s="145" t="s">
        <v>773</v>
      </c>
      <c r="B90" s="146">
        <f t="shared" si="20"/>
        <v>5000</v>
      </c>
      <c r="C90" s="147">
        <v>5000</v>
      </c>
      <c r="D90" s="147"/>
      <c r="E90" s="147">
        <v>5000</v>
      </c>
      <c r="F90" s="147"/>
      <c r="G90" s="147"/>
      <c r="H90" s="147"/>
      <c r="I90" s="147"/>
      <c r="J90" s="147"/>
      <c r="K90" s="147"/>
      <c r="L90" s="147"/>
      <c r="M90" s="147"/>
      <c r="N90" s="147"/>
      <c r="O90" s="147"/>
      <c r="P90" s="147"/>
      <c r="Q90" s="147"/>
      <c r="R90" s="516">
        <f t="shared" si="21"/>
        <v>5000</v>
      </c>
      <c r="S90" s="147">
        <v>5000</v>
      </c>
      <c r="T90" s="147"/>
      <c r="U90" s="143"/>
    </row>
    <row r="91" spans="1:21" s="144" customFormat="1">
      <c r="A91" s="145" t="s">
        <v>372</v>
      </c>
      <c r="B91" s="146">
        <f t="shared" si="20"/>
        <v>90000</v>
      </c>
      <c r="C91" s="147">
        <v>90000</v>
      </c>
      <c r="D91" s="147"/>
      <c r="E91" s="147"/>
      <c r="F91" s="147">
        <v>90000</v>
      </c>
      <c r="G91" s="147"/>
      <c r="H91" s="147"/>
      <c r="I91" s="147"/>
      <c r="J91" s="147"/>
      <c r="K91" s="147"/>
      <c r="L91" s="147"/>
      <c r="M91" s="147"/>
      <c r="N91" s="147"/>
      <c r="O91" s="147"/>
      <c r="P91" s="147"/>
      <c r="Q91" s="147"/>
      <c r="R91" s="516">
        <f t="shared" si="21"/>
        <v>90000</v>
      </c>
      <c r="S91" s="147">
        <v>90000</v>
      </c>
      <c r="T91" s="147"/>
      <c r="U91" s="143"/>
    </row>
    <row r="92" spans="1:21" s="144" customFormat="1">
      <c r="A92" s="283" t="s">
        <v>1211</v>
      </c>
      <c r="B92" s="146">
        <f t="shared" si="20"/>
        <v>15000</v>
      </c>
      <c r="C92" s="147">
        <v>15000</v>
      </c>
      <c r="D92" s="147"/>
      <c r="E92" s="147"/>
      <c r="F92" s="147">
        <v>15000</v>
      </c>
      <c r="G92" s="147"/>
      <c r="H92" s="147"/>
      <c r="I92" s="147"/>
      <c r="J92" s="147"/>
      <c r="K92" s="147"/>
      <c r="L92" s="147"/>
      <c r="M92" s="147"/>
      <c r="N92" s="147"/>
      <c r="O92" s="147"/>
      <c r="P92" s="147"/>
      <c r="Q92" s="147"/>
      <c r="R92" s="516">
        <f t="shared" si="21"/>
        <v>15000</v>
      </c>
      <c r="S92" s="147">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630000</v>
      </c>
      <c r="C96" s="146">
        <f t="shared" ref="C96:R96" si="22">SUM(C83:C95)</f>
        <v>630000</v>
      </c>
      <c r="D96" s="146">
        <f t="shared" si="22"/>
        <v>0</v>
      </c>
      <c r="E96" s="146">
        <f t="shared" si="22"/>
        <v>125000</v>
      </c>
      <c r="F96" s="146">
        <f t="shared" si="22"/>
        <v>505000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630000</v>
      </c>
      <c r="S96" s="150">
        <f>SUM(S84:S87,S89:S95)</f>
        <v>510000</v>
      </c>
      <c r="T96" s="146">
        <f>SUM(T84:T87,T89:T95)</f>
        <v>0</v>
      </c>
      <c r="U96" s="143"/>
    </row>
    <row r="97" spans="1:21" s="144" customFormat="1">
      <c r="A97" s="149" t="s">
        <v>775</v>
      </c>
      <c r="B97" s="146">
        <f>SUM(C97:D97)</f>
        <v>58548951</v>
      </c>
      <c r="C97" s="146">
        <f t="shared" ref="C97:R97" si="23">SUM(C63+C70+C77+C81+C96)</f>
        <v>58548951</v>
      </c>
      <c r="D97" s="146">
        <f t="shared" si="23"/>
        <v>0</v>
      </c>
      <c r="E97" s="146">
        <f t="shared" si="23"/>
        <v>19230642</v>
      </c>
      <c r="F97" s="146">
        <f t="shared" si="23"/>
        <v>28206833</v>
      </c>
      <c r="G97" s="146">
        <f t="shared" si="23"/>
        <v>9088225</v>
      </c>
      <c r="H97" s="146">
        <f t="shared" si="23"/>
        <v>1016178</v>
      </c>
      <c r="I97" s="146">
        <f t="shared" si="23"/>
        <v>0</v>
      </c>
      <c r="J97" s="146">
        <f t="shared" si="23"/>
        <v>1007073</v>
      </c>
      <c r="K97" s="146">
        <f t="shared" si="23"/>
        <v>0</v>
      </c>
      <c r="L97" s="146">
        <f t="shared" si="23"/>
        <v>0</v>
      </c>
      <c r="M97" s="146">
        <f t="shared" si="23"/>
        <v>0</v>
      </c>
      <c r="N97" s="146">
        <f t="shared" si="23"/>
        <v>0</v>
      </c>
      <c r="O97" s="146">
        <f t="shared" si="23"/>
        <v>0</v>
      </c>
      <c r="P97" s="146">
        <f t="shared" si="23"/>
        <v>0</v>
      </c>
      <c r="Q97" s="146">
        <f t="shared" si="23"/>
        <v>0</v>
      </c>
      <c r="R97" s="146">
        <f t="shared" si="23"/>
        <v>58548951</v>
      </c>
      <c r="S97" s="146">
        <f>SUM(S63+S70+S81+S96)</f>
        <v>19730040</v>
      </c>
      <c r="T97" s="146">
        <f>SUM(T63+T70+T81+T96)</f>
        <v>33200000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4169506</v>
      </c>
      <c r="C99" s="979">
        <v>4169506</v>
      </c>
      <c r="D99" s="979"/>
      <c r="E99" s="979">
        <v>2451634</v>
      </c>
      <c r="F99" s="147"/>
      <c r="G99" s="147"/>
      <c r="H99" s="147"/>
      <c r="I99" s="147">
        <v>1717872</v>
      </c>
      <c r="J99" s="147"/>
      <c r="K99" s="147"/>
      <c r="L99" s="147"/>
      <c r="M99" s="147"/>
      <c r="N99" s="147"/>
      <c r="O99" s="147"/>
      <c r="P99" s="147"/>
      <c r="Q99" s="147"/>
      <c r="R99" s="516">
        <f>SUM(E99:Q99)</f>
        <v>4169506</v>
      </c>
      <c r="S99" s="147">
        <v>2509506</v>
      </c>
      <c r="T99" s="147">
        <v>1660000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4169506</v>
      </c>
      <c r="C104" s="146">
        <f>SUM(C99:C103)</f>
        <v>4169506</v>
      </c>
      <c r="D104" s="146">
        <f t="shared" ref="D104:T104" si="24">SUM(D99:D103)</f>
        <v>0</v>
      </c>
      <c r="E104" s="146">
        <f t="shared" si="24"/>
        <v>2451634</v>
      </c>
      <c r="F104" s="146">
        <f t="shared" si="24"/>
        <v>0</v>
      </c>
      <c r="G104" s="146">
        <f t="shared" si="24"/>
        <v>0</v>
      </c>
      <c r="H104" s="146">
        <f t="shared" si="24"/>
        <v>0</v>
      </c>
      <c r="I104" s="146">
        <f t="shared" si="24"/>
        <v>1717872</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4169506</v>
      </c>
      <c r="S104" s="150">
        <f t="shared" si="24"/>
        <v>2509506</v>
      </c>
      <c r="T104" s="150">
        <f t="shared" si="24"/>
        <v>1660000</v>
      </c>
      <c r="U104" s="143"/>
    </row>
    <row r="105" spans="1:21" s="144" customFormat="1">
      <c r="A105" s="149" t="s">
        <v>780</v>
      </c>
      <c r="B105" s="150">
        <f>SUM(C105:D105)</f>
        <v>62718457</v>
      </c>
      <c r="C105" s="150">
        <f t="shared" ref="C105:R105" si="25">SUM(C97+C104)</f>
        <v>62718457</v>
      </c>
      <c r="D105" s="150">
        <f t="shared" si="25"/>
        <v>0</v>
      </c>
      <c r="E105" s="150">
        <f t="shared" si="25"/>
        <v>21682276</v>
      </c>
      <c r="F105" s="150">
        <f t="shared" si="25"/>
        <v>28206833</v>
      </c>
      <c r="G105" s="150">
        <f t="shared" si="25"/>
        <v>9088225</v>
      </c>
      <c r="H105" s="150">
        <f t="shared" si="25"/>
        <v>1016178</v>
      </c>
      <c r="I105" s="150">
        <f t="shared" si="25"/>
        <v>1717872</v>
      </c>
      <c r="J105" s="150">
        <f t="shared" si="25"/>
        <v>1007073</v>
      </c>
      <c r="K105" s="150">
        <f t="shared" si="25"/>
        <v>0</v>
      </c>
      <c r="L105" s="150">
        <f t="shared" si="25"/>
        <v>0</v>
      </c>
      <c r="M105" s="150">
        <f t="shared" si="25"/>
        <v>0</v>
      </c>
      <c r="N105" s="150">
        <f t="shared" si="25"/>
        <v>0</v>
      </c>
      <c r="O105" s="150">
        <f t="shared" si="25"/>
        <v>0</v>
      </c>
      <c r="P105" s="150">
        <f t="shared" si="25"/>
        <v>0</v>
      </c>
      <c r="Q105" s="150">
        <f t="shared" si="25"/>
        <v>0</v>
      </c>
      <c r="R105" s="342">
        <f t="shared" si="25"/>
        <v>62718457</v>
      </c>
      <c r="S105" s="150">
        <f>S97+S104</f>
        <v>22239546</v>
      </c>
      <c r="T105" s="150">
        <f>T97+T104</f>
        <v>34860000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22239546</v>
      </c>
      <c r="T107" s="150">
        <f>T105+T106</f>
        <v>34860000</v>
      </c>
    </row>
    <row r="108" spans="1:21" s="189" customFormat="1">
      <c r="A108" s="162" t="s">
        <v>879</v>
      </c>
      <c r="B108" s="157"/>
      <c r="C108" s="157"/>
      <c r="D108" s="157"/>
      <c r="E108" s="301">
        <f>Application!AO640</f>
        <v>21682276</v>
      </c>
      <c r="F108" s="301">
        <f>Application!AO627</f>
        <v>28206833</v>
      </c>
      <c r="G108" s="301">
        <f>Application!AO628</f>
        <v>9088225</v>
      </c>
      <c r="H108" s="301">
        <f>Application!AO629</f>
        <v>1016178</v>
      </c>
      <c r="I108" s="301">
        <f>Application!AO630</f>
        <v>1717872</v>
      </c>
      <c r="J108" s="301">
        <f>Application!AO631</f>
        <v>1007073</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6" t="s">
        <v>990</v>
      </c>
      <c r="E122" s="1866"/>
      <c r="F122" s="186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786"/>
      <c r="F123" s="1786"/>
      <c r="G123" s="1786"/>
      <c r="H123" s="1786"/>
      <c r="I123" s="1786"/>
      <c r="J123" s="1786"/>
      <c r="K123" s="1786"/>
      <c r="L123" s="1786"/>
      <c r="M123" s="1786"/>
      <c r="N123" s="1786"/>
      <c r="O123" s="1786"/>
      <c r="P123" s="1786"/>
      <c r="Q123" s="1786"/>
      <c r="R123" s="1786"/>
      <c r="S123" s="1786"/>
      <c r="T123" s="324"/>
      <c r="U123" s="326"/>
    </row>
    <row r="124" spans="1:21" ht="12.75">
      <c r="A124" s="117" t="s">
        <v>992</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2.75">
      <c r="A125" s="117" t="s">
        <v>993</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75">
      <c r="A129" s="117" t="s">
        <v>300</v>
      </c>
      <c r="B129" s="333"/>
      <c r="C129" s="117"/>
      <c r="D129" s="1865" t="s">
        <v>997</v>
      </c>
      <c r="E129" s="1865"/>
      <c r="F129" s="1865"/>
      <c r="G129" s="1865"/>
      <c r="H129" s="186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2.75">
      <c r="A139" s="1867" t="s">
        <v>1004</v>
      </c>
      <c r="B139" s="1867"/>
      <c r="C139" s="1867"/>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1227</v>
      </c>
      <c r="B1" s="1874"/>
      <c r="C1" s="1874"/>
      <c r="D1" s="1874"/>
      <c r="E1" s="1874"/>
      <c r="F1" s="1874"/>
      <c r="G1" s="1874"/>
      <c r="H1" s="1874"/>
      <c r="I1" s="1874"/>
      <c r="J1" s="187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3000000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3000000</v>
      </c>
      <c r="C8" s="361">
        <f>SUM(C4:C7)</f>
        <v>0</v>
      </c>
      <c r="D8" s="361">
        <f>SUM(D4:D7)</f>
        <v>0</v>
      </c>
      <c r="E8" s="363"/>
      <c r="F8" s="363"/>
      <c r="G8" s="363"/>
      <c r="H8" s="363"/>
      <c r="I8" s="363"/>
      <c r="J8" s="363"/>
      <c r="K8" s="359"/>
    </row>
    <row r="9" spans="1:11" s="360" customFormat="1">
      <c r="A9" s="364" t="s">
        <v>594</v>
      </c>
      <c r="B9" s="361">
        <f>'Sources and Uses Budget'!C9</f>
        <v>33200000</v>
      </c>
      <c r="C9" s="362"/>
      <c r="D9" s="362"/>
      <c r="E9" s="363"/>
      <c r="F9" s="363"/>
      <c r="G9" s="363"/>
      <c r="H9" s="361">
        <f>'Sources and Uses Budget'!T9</f>
        <v>33200000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33200000</v>
      </c>
      <c r="C11" s="361">
        <f>SUM(C9:C10)</f>
        <v>0</v>
      </c>
      <c r="D11" s="361">
        <f>SUM(D9:D10)</f>
        <v>0</v>
      </c>
      <c r="E11" s="363"/>
      <c r="F11" s="363"/>
      <c r="G11" s="363"/>
      <c r="H11" s="361">
        <f>'Sources and Uses Budget'!T11</f>
        <v>33200000</v>
      </c>
      <c r="I11" s="361">
        <f>SUM(I9:I10)</f>
        <v>0</v>
      </c>
      <c r="J11" s="361">
        <f>SUM(J9:J10)</f>
        <v>0</v>
      </c>
      <c r="K11" s="359"/>
    </row>
    <row r="12" spans="1:11" s="360" customFormat="1">
      <c r="A12" s="365" t="s">
        <v>84</v>
      </c>
      <c r="B12" s="361">
        <f>'Sources and Uses Budget'!C12</f>
        <v>36200000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13320757</v>
      </c>
      <c r="C18" s="362"/>
      <c r="D18" s="362"/>
      <c r="E18" s="361">
        <f>'Sources and Uses Budget'!S18</f>
        <v>13320757</v>
      </c>
      <c r="F18" s="362"/>
      <c r="G18" s="362"/>
      <c r="H18" s="361">
        <f>'Sources and Uses Budget'!T18</f>
        <v>0</v>
      </c>
      <c r="I18" s="362"/>
      <c r="J18" s="362"/>
      <c r="K18" s="359"/>
    </row>
    <row r="19" spans="1:11" s="360" customFormat="1">
      <c r="A19" s="364" t="s">
        <v>600</v>
      </c>
      <c r="B19" s="361">
        <f>'Sources and Uses Budget'!C19</f>
        <v>799200</v>
      </c>
      <c r="C19" s="362"/>
      <c r="D19" s="362"/>
      <c r="E19" s="361">
        <f>'Sources and Uses Budget'!S19</f>
        <v>799200</v>
      </c>
      <c r="F19" s="362"/>
      <c r="G19" s="362"/>
      <c r="H19" s="361">
        <f>'Sources and Uses Budget'!T19</f>
        <v>0</v>
      </c>
      <c r="I19" s="362"/>
      <c r="J19" s="362"/>
      <c r="K19" s="359"/>
    </row>
    <row r="20" spans="1:11" s="360" customFormat="1">
      <c r="A20" s="364" t="s">
        <v>137</v>
      </c>
      <c r="B20" s="361">
        <f>'Sources and Uses Budget'!C20</f>
        <v>265643</v>
      </c>
      <c r="C20" s="362"/>
      <c r="D20" s="362"/>
      <c r="E20" s="361">
        <f>'Sources and Uses Budget'!S20</f>
        <v>265643</v>
      </c>
      <c r="F20" s="362"/>
      <c r="G20" s="362"/>
      <c r="H20" s="361">
        <f>'Sources and Uses Budget'!T20</f>
        <v>0</v>
      </c>
      <c r="I20" s="362"/>
      <c r="J20" s="362"/>
      <c r="K20" s="359"/>
    </row>
    <row r="21" spans="1:11" s="360" customFormat="1">
      <c r="A21" s="364" t="s">
        <v>138</v>
      </c>
      <c r="B21" s="361">
        <f>'Sources and Uses Budget'!C21</f>
        <v>799200</v>
      </c>
      <c r="C21" s="362"/>
      <c r="D21" s="362"/>
      <c r="E21" s="361">
        <f>'Sources and Uses Budget'!S21</f>
        <v>799200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15184800</v>
      </c>
      <c r="C26" s="361">
        <f>SUM(C17:C25)</f>
        <v>0</v>
      </c>
      <c r="D26" s="361">
        <f>SUM(D17:D25)</f>
        <v>0</v>
      </c>
      <c r="E26" s="361">
        <f>'Sources and Uses Budget'!S26</f>
        <v>15184800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100000</v>
      </c>
      <c r="C27" s="362"/>
      <c r="D27" s="362"/>
      <c r="E27" s="361">
        <f>'Sources and Uses Budget'!S27</f>
        <v>100000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50000</v>
      </c>
      <c r="C40" s="362"/>
      <c r="D40" s="362"/>
      <c r="E40" s="361">
        <f>'Sources and Uses Budget'!S40</f>
        <v>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50000</v>
      </c>
      <c r="C42" s="361">
        <f>SUM(C39:C41)</f>
        <v>0</v>
      </c>
      <c r="D42" s="361">
        <f>SUM(D39:D41)</f>
        <v>0</v>
      </c>
      <c r="E42" s="361">
        <f>'Sources and Uses Budget'!S42</f>
        <v>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50000</v>
      </c>
      <c r="C43" s="362"/>
      <c r="D43" s="362"/>
      <c r="E43" s="361">
        <f>'Sources and Uses Budget'!S43</f>
        <v>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3742675</v>
      </c>
      <c r="C45" s="362"/>
      <c r="D45" s="362"/>
      <c r="E45" s="361">
        <f>'Sources and Uses Budget'!S45</f>
        <v>2750000</v>
      </c>
      <c r="F45" s="362"/>
      <c r="G45" s="362"/>
      <c r="H45" s="361">
        <f>'Sources and Uses Budget'!T45</f>
        <v>0</v>
      </c>
      <c r="I45" s="362"/>
      <c r="J45" s="362"/>
      <c r="K45" s="359"/>
    </row>
    <row r="46" spans="1:11" s="360" customFormat="1">
      <c r="A46" s="364" t="s">
        <v>151</v>
      </c>
      <c r="B46" s="361">
        <f>'Sources and Uses Budget'!C46</f>
        <v>316575</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Inspectiona nd Monitoring</v>
      </c>
      <c r="B53" s="361">
        <f>'Sources and Uses Budget'!C53</f>
        <v>26000</v>
      </c>
      <c r="C53" s="362"/>
      <c r="D53" s="362"/>
      <c r="E53" s="361">
        <f>'Sources and Uses Budget'!S53</f>
        <v>26000</v>
      </c>
      <c r="F53" s="362"/>
      <c r="G53" s="362"/>
      <c r="H53" s="361">
        <f>'Sources and Uses Budget'!T53</f>
        <v>0</v>
      </c>
      <c r="I53" s="362"/>
      <c r="J53" s="362"/>
      <c r="K53" s="359"/>
    </row>
    <row r="54" spans="1:11" s="369" customFormat="1">
      <c r="A54" s="365" t="s">
        <v>157</v>
      </c>
      <c r="B54" s="361">
        <f>'Sources and Uses Budget'!C54</f>
        <v>4160250</v>
      </c>
      <c r="C54" s="367">
        <f>SUM(C45:C53)</f>
        <v>0</v>
      </c>
      <c r="D54" s="367">
        <f>SUM(D45:D53)</f>
        <v>0</v>
      </c>
      <c r="E54" s="361">
        <f>'Sources and Uses Budget'!S54</f>
        <v>2851000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Costs of Issuance</v>
      </c>
      <c r="B61" s="361">
        <f>'Sources and Uses Budget'!C61</f>
        <v>148199</v>
      </c>
      <c r="C61" s="362"/>
      <c r="D61" s="362"/>
      <c r="E61" s="363"/>
      <c r="F61" s="363"/>
      <c r="G61" s="363"/>
      <c r="H61" s="363"/>
      <c r="I61" s="363"/>
      <c r="J61" s="363"/>
      <c r="K61" s="359"/>
    </row>
    <row r="62" spans="1:11" s="360" customFormat="1" ht="13.7" customHeight="1">
      <c r="A62" s="365" t="s">
        <v>301</v>
      </c>
      <c r="B62" s="361">
        <f>'Sources and Uses Budget'!C62</f>
        <v>158199</v>
      </c>
      <c r="C62" s="361">
        <f>SUM(C56:C61)</f>
        <v>0</v>
      </c>
      <c r="D62" s="361">
        <f>SUM(D56:D61)</f>
        <v>0</v>
      </c>
      <c r="E62" s="363"/>
      <c r="F62" s="363"/>
      <c r="G62" s="363"/>
      <c r="H62" s="363"/>
      <c r="I62" s="363"/>
      <c r="J62" s="363"/>
      <c r="K62" s="359"/>
    </row>
    <row r="63" spans="1:11" s="360" customFormat="1">
      <c r="A63" s="370" t="s">
        <v>302</v>
      </c>
      <c r="B63" s="361">
        <f>'Sources and Uses Budget'!C63</f>
        <v>55903249</v>
      </c>
      <c r="C63" s="361">
        <f>SUM(C8+C11+C13+C14+C15+C26+C27+C38+C42+C43+C54+C62)</f>
        <v>0</v>
      </c>
      <c r="D63" s="361">
        <f>SUM(D8+D11+D13+D14+D15+D26+D27+D38+D42+D43+D54+D62)</f>
        <v>0</v>
      </c>
      <c r="E63" s="361">
        <f>'Sources and Uses Budget'!S63</f>
        <v>18235800</v>
      </c>
      <c r="F63" s="361">
        <f>SUM(F10+F13+F14+F15+F26+F27+F38+F42+F43+F54)</f>
        <v>0</v>
      </c>
      <c r="G63" s="361">
        <f>SUM(G10+G13+G14+G15+G26+G27+G38+G42+G43+G54)</f>
        <v>0</v>
      </c>
      <c r="H63" s="361">
        <f>'Sources and Uses Budget'!T63</f>
        <v>33200000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20000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 Counsel</v>
      </c>
      <c r="B69" s="361">
        <f>'Sources and Uses Budget'!C69</f>
        <v>129500</v>
      </c>
      <c r="C69" s="362"/>
      <c r="D69" s="362"/>
      <c r="E69" s="361">
        <f>'Sources and Uses Budget'!S69</f>
        <v>80000</v>
      </c>
      <c r="F69" s="362"/>
      <c r="G69" s="362"/>
      <c r="H69" s="361">
        <f>'Sources and Uses Budget'!T69</f>
        <v>0</v>
      </c>
      <c r="I69" s="362"/>
      <c r="J69" s="362"/>
      <c r="K69" s="359"/>
    </row>
    <row r="70" spans="1:11" s="360" customFormat="1">
      <c r="A70" s="365" t="s">
        <v>601</v>
      </c>
      <c r="B70" s="361">
        <f>'Sources and Uses Budget'!C70</f>
        <v>189500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941962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941962</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759240</v>
      </c>
      <c r="C79" s="362"/>
      <c r="D79" s="362"/>
      <c r="E79" s="361">
        <f>'Sources and Uses Budget'!S79</f>
        <v>759240</v>
      </c>
      <c r="F79" s="362"/>
      <c r="G79" s="362"/>
      <c r="H79" s="361">
        <f>'Sources and Uses Budget'!T79</f>
        <v>0</v>
      </c>
      <c r="I79" s="362"/>
      <c r="J79" s="362"/>
      <c r="K79" s="359"/>
    </row>
    <row r="80" spans="1:11" s="360" customFormat="1">
      <c r="A80" s="364" t="s">
        <v>58</v>
      </c>
      <c r="B80" s="361">
        <f>'Sources and Uses Budget'!C80</f>
        <v>125000</v>
      </c>
      <c r="C80" s="362"/>
      <c r="D80" s="362"/>
      <c r="E80" s="361">
        <f>'Sources and Uses Budget'!S80</f>
        <v>125000</v>
      </c>
      <c r="F80" s="362"/>
      <c r="G80" s="362"/>
      <c r="H80" s="361">
        <f>'Sources and Uses Budget'!T80</f>
        <v>0</v>
      </c>
      <c r="I80" s="362"/>
      <c r="J80" s="362"/>
      <c r="K80" s="359"/>
    </row>
    <row r="81" spans="1:11" s="360" customFormat="1">
      <c r="A81" s="365" t="s">
        <v>1209</v>
      </c>
      <c r="B81" s="361">
        <f>'Sources and Uses Budget'!C81</f>
        <v>884240</v>
      </c>
      <c r="C81" s="361">
        <f>SUM(C79:C80)</f>
        <v>0</v>
      </c>
      <c r="D81" s="361">
        <f>SUM(D79:D80)</f>
        <v>0</v>
      </c>
      <c r="E81" s="361">
        <f>'Sources and Uses Budget'!S81</f>
        <v>884240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120000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100000</v>
      </c>
      <c r="C86" s="362"/>
      <c r="D86" s="362"/>
      <c r="E86" s="361">
        <f>'Sources and Uses Budget'!S86</f>
        <v>100000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300000</v>
      </c>
      <c r="C89" s="362"/>
      <c r="D89" s="362"/>
      <c r="E89" s="361">
        <f>'Sources and Uses Budget'!S89</f>
        <v>300000</v>
      </c>
      <c r="F89" s="362"/>
      <c r="G89" s="362"/>
      <c r="H89" s="361">
        <f>'Sources and Uses Budget'!T89</f>
        <v>0</v>
      </c>
      <c r="I89" s="362"/>
      <c r="J89" s="362"/>
      <c r="K89" s="359"/>
    </row>
    <row r="90" spans="1:11" s="360" customFormat="1">
      <c r="A90" s="145" t="s">
        <v>773</v>
      </c>
      <c r="B90" s="361">
        <f>'Sources and Uses Budget'!C90</f>
        <v>5000</v>
      </c>
      <c r="C90" s="362"/>
      <c r="D90" s="362"/>
      <c r="E90" s="361">
        <f>'Sources and Uses Budget'!S90</f>
        <v>5000</v>
      </c>
      <c r="F90" s="362"/>
      <c r="G90" s="362"/>
      <c r="H90" s="361">
        <f>'Sources and Uses Budget'!T90</f>
        <v>0</v>
      </c>
      <c r="I90" s="362"/>
      <c r="J90" s="362"/>
      <c r="K90" s="359"/>
    </row>
    <row r="91" spans="1:11" s="360" customFormat="1">
      <c r="A91" s="155" t="s">
        <v>372</v>
      </c>
      <c r="B91" s="361">
        <f>'Sources and Uses Budget'!C91</f>
        <v>90000</v>
      </c>
      <c r="C91" s="362"/>
      <c r="D91" s="362"/>
      <c r="E91" s="361">
        <f>'Sources and Uses Budget'!S91</f>
        <v>90000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630000</v>
      </c>
      <c r="C96" s="361">
        <f>SUM(C83:C95)</f>
        <v>0</v>
      </c>
      <c r="D96" s="361">
        <f>SUM(D83:D95)</f>
        <v>0</v>
      </c>
      <c r="E96" s="361">
        <f>'Sources and Uses Budget'!S96</f>
        <v>510000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58548951</v>
      </c>
      <c r="C97" s="361">
        <f>SUM(C63+C70+C77+C81+C96)</f>
        <v>0</v>
      </c>
      <c r="D97" s="361">
        <f>SUM(D63+D70+D77+D81+D96)</f>
        <v>0</v>
      </c>
      <c r="E97" s="361">
        <f>'Sources and Uses Budget'!S97</f>
        <v>19730040</v>
      </c>
      <c r="F97" s="367">
        <f>SUM(+F63+F70+F81+F96)</f>
        <v>0</v>
      </c>
      <c r="G97" s="367">
        <f>SUM(+G63+G70+G81+G96)</f>
        <v>0</v>
      </c>
      <c r="H97" s="361">
        <f>'Sources and Uses Budget'!T97</f>
        <v>33200000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4169506</v>
      </c>
      <c r="C99" s="362"/>
      <c r="D99" s="362"/>
      <c r="E99" s="361">
        <f>'Sources and Uses Budget'!S99</f>
        <v>2509506</v>
      </c>
      <c r="F99" s="362"/>
      <c r="G99" s="362"/>
      <c r="H99" s="361">
        <f>'Sources and Uses Budget'!T99</f>
        <v>1660000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4169506</v>
      </c>
      <c r="C104" s="361">
        <f>SUM(C99:C103)</f>
        <v>0</v>
      </c>
      <c r="D104" s="361">
        <f>SUM(D99:D103)</f>
        <v>0</v>
      </c>
      <c r="E104" s="361">
        <f>'Sources and Uses Budget'!S104</f>
        <v>2509506</v>
      </c>
      <c r="F104" s="367">
        <f>SUM(F99:F103)</f>
        <v>0</v>
      </c>
      <c r="G104" s="367">
        <f>SUM(G99:G103)</f>
        <v>0</v>
      </c>
      <c r="H104" s="361">
        <f>'Sources and Uses Budget'!T104</f>
        <v>1660000</v>
      </c>
      <c r="I104" s="367">
        <f>SUM(I99:I103)</f>
        <v>0</v>
      </c>
      <c r="J104" s="367">
        <f>SUM(J99:J103)</f>
        <v>0</v>
      </c>
      <c r="K104" s="359"/>
    </row>
    <row r="105" spans="1:11" s="360" customFormat="1">
      <c r="A105" s="365" t="s">
        <v>1030</v>
      </c>
      <c r="B105" s="361">
        <f>'Sources and Uses Budget'!C105</f>
        <v>62718457</v>
      </c>
      <c r="C105" s="367">
        <f>SUM(C97+C104)</f>
        <v>0</v>
      </c>
      <c r="D105" s="367">
        <f>SUM(D97+D104)</f>
        <v>0</v>
      </c>
      <c r="E105" s="361">
        <f>'Sources and Uses Budget'!S105</f>
        <v>22239546</v>
      </c>
      <c r="F105" s="367">
        <f>F97+F104</f>
        <v>0</v>
      </c>
      <c r="G105" s="367">
        <f>G97+G104</f>
        <v>0</v>
      </c>
      <c r="H105" s="361">
        <f>'Sources and Uses Budget'!T105</f>
        <v>34860000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22239546</v>
      </c>
      <c r="F107" s="367">
        <f>F105+F106</f>
        <v>0</v>
      </c>
      <c r="G107" s="367">
        <f>G105+G106</f>
        <v>0</v>
      </c>
      <c r="H107" s="361">
        <f>'Sources and Uses Budget'!T107</f>
        <v>34860000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1" t="s">
        <v>2456</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2455</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3" t="str">
        <f>IF(Application!H18="","",Application!H18)</f>
        <v xml:space="preserve">Season by Vintage </v>
      </c>
      <c r="M4" s="2314"/>
      <c r="N4" s="2314"/>
      <c r="O4" s="2314"/>
      <c r="P4" s="2314"/>
      <c r="Q4" s="2314"/>
      <c r="R4" s="2314"/>
      <c r="S4" s="2314"/>
      <c r="T4" s="2314"/>
      <c r="U4" s="2314"/>
      <c r="V4" s="2314"/>
      <c r="W4" s="2314"/>
      <c r="X4" s="2314"/>
      <c r="Y4" s="2314"/>
      <c r="Z4" s="2314"/>
      <c r="AA4" s="2314"/>
      <c r="AB4" s="2314"/>
      <c r="AC4" s="2315"/>
      <c r="AD4" s="1190"/>
      <c r="AE4" s="1190"/>
      <c r="AF4" s="2309" t="s">
        <v>2454</v>
      </c>
      <c r="AG4" s="2309"/>
      <c r="AH4" s="2309"/>
      <c r="AI4" s="2309"/>
      <c r="AJ4" s="2309"/>
      <c r="AK4" s="2309"/>
      <c r="AL4" s="2309"/>
      <c r="AM4" s="2309"/>
      <c r="AN4" s="2309"/>
      <c r="AO4" s="2309"/>
      <c r="AP4" s="2310"/>
      <c r="AQ4" s="2311"/>
      <c r="AR4" s="2311"/>
      <c r="AS4" s="2311"/>
      <c r="AT4" s="2311"/>
      <c r="AU4" s="231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9" t="s">
        <v>2453</v>
      </c>
      <c r="AG5" s="2309"/>
      <c r="AH5" s="2309"/>
      <c r="AI5" s="2309"/>
      <c r="AJ5" s="2309"/>
      <c r="AK5" s="2309"/>
      <c r="AL5" s="2309"/>
      <c r="AM5" s="2309"/>
      <c r="AN5" s="2309"/>
      <c r="AO5" s="2309"/>
      <c r="AP5" s="2310"/>
      <c r="AQ5" s="2311"/>
      <c r="AR5" s="2311"/>
      <c r="AS5" s="2311"/>
      <c r="AT5" s="2311"/>
      <c r="AU5" s="2311"/>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3" t="str">
        <f>IF(Application!H16="","",Application!H16)</f>
        <v xml:space="preserve">Vintage Housing Holdings, LLC </v>
      </c>
      <c r="M6" s="2314"/>
      <c r="N6" s="2314"/>
      <c r="O6" s="2314"/>
      <c r="P6" s="2314"/>
      <c r="Q6" s="2314"/>
      <c r="R6" s="2314"/>
      <c r="S6" s="2314"/>
      <c r="T6" s="2314"/>
      <c r="U6" s="2314"/>
      <c r="V6" s="2314"/>
      <c r="W6" s="2314"/>
      <c r="X6" s="2314"/>
      <c r="Y6" s="2314"/>
      <c r="Z6" s="2314"/>
      <c r="AA6" s="2314"/>
      <c r="AB6" s="2314"/>
      <c r="AC6" s="2315"/>
      <c r="AD6" s="1190"/>
      <c r="AE6" s="1190"/>
      <c r="AF6" s="2316" t="s">
        <v>2451</v>
      </c>
      <c r="AG6" s="2316"/>
      <c r="AH6" s="2316"/>
      <c r="AI6" s="2316"/>
      <c r="AJ6" s="2316"/>
      <c r="AK6" s="2316"/>
      <c r="AL6" s="2316"/>
      <c r="AM6" s="2316"/>
      <c r="AN6" s="2316"/>
      <c r="AO6" s="2316"/>
      <c r="AP6" s="2317"/>
      <c r="AQ6" s="2317"/>
      <c r="AR6" s="2317"/>
      <c r="AS6" s="2317"/>
      <c r="AT6" s="2317"/>
      <c r="AU6" s="231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6" t="s">
        <v>2450</v>
      </c>
      <c r="AG7" s="2316"/>
      <c r="AH7" s="2316"/>
      <c r="AI7" s="2316"/>
      <c r="AJ7" s="2316"/>
      <c r="AK7" s="2316"/>
      <c r="AL7" s="2316"/>
      <c r="AM7" s="2316"/>
      <c r="AN7" s="2316"/>
      <c r="AO7" s="2316"/>
      <c r="AP7" s="2317"/>
      <c r="AQ7" s="2317"/>
      <c r="AR7" s="2317"/>
      <c r="AS7" s="2317"/>
      <c r="AT7" s="2317"/>
      <c r="AU7" s="2317"/>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8" t="str">
        <f>Application!T197</f>
        <v>No</v>
      </c>
      <c r="AC8" s="2319"/>
      <c r="AD8" s="2320"/>
      <c r="AE8" s="1190"/>
      <c r="AF8" s="2316" t="s">
        <v>2448</v>
      </c>
      <c r="AG8" s="2316"/>
      <c r="AH8" s="2316"/>
      <c r="AI8" s="2316"/>
      <c r="AJ8" s="2316"/>
      <c r="AK8" s="2316"/>
      <c r="AL8" s="2316"/>
      <c r="AM8" s="2316"/>
      <c r="AN8" s="2316"/>
      <c r="AO8" s="2316"/>
      <c r="AP8" s="2317" t="s">
        <v>2098</v>
      </c>
      <c r="AQ8" s="2317"/>
      <c r="AR8" s="2317"/>
      <c r="AS8" s="2317"/>
      <c r="AT8" s="2317"/>
      <c r="AU8" s="2317"/>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9" t="s">
        <v>2447</v>
      </c>
      <c r="AG9" s="2309"/>
      <c r="AH9" s="2309"/>
      <c r="AI9" s="2309"/>
      <c r="AJ9" s="2309"/>
      <c r="AK9" s="2309"/>
      <c r="AL9" s="2309"/>
      <c r="AM9" s="2309"/>
      <c r="AN9" s="2309"/>
      <c r="AO9" s="2309"/>
      <c r="AP9" s="2310"/>
      <c r="AQ9" s="2311"/>
      <c r="AR9" s="2311"/>
      <c r="AS9" s="2311"/>
      <c r="AT9" s="2311"/>
      <c r="AU9" s="2311"/>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12">
        <f>Application!AO627</f>
        <v>28206833</v>
      </c>
      <c r="O10" s="2312"/>
      <c r="P10" s="2312"/>
      <c r="Q10" s="2312"/>
      <c r="R10" s="2312"/>
      <c r="S10" s="2312"/>
      <c r="T10" s="2312"/>
      <c r="U10" s="1190"/>
      <c r="V10" s="1190"/>
      <c r="W10" s="1190"/>
      <c r="X10" s="1193"/>
      <c r="Y10" s="1193"/>
      <c r="Z10" s="1193"/>
      <c r="AA10" s="1193"/>
      <c r="AB10" s="1193"/>
      <c r="AC10" s="1193"/>
      <c r="AD10" s="1193"/>
      <c r="AE10" s="1193"/>
      <c r="AF10" s="2309" t="s">
        <v>2444</v>
      </c>
      <c r="AG10" s="2309"/>
      <c r="AH10" s="2309"/>
      <c r="AI10" s="2309"/>
      <c r="AJ10" s="2309"/>
      <c r="AK10" s="2309"/>
      <c r="AL10" s="2309"/>
      <c r="AM10" s="2309"/>
      <c r="AN10" s="2309"/>
      <c r="AO10" s="2309"/>
      <c r="AP10" s="2310"/>
      <c r="AQ10" s="2311"/>
      <c r="AR10" s="2311"/>
      <c r="AS10" s="2311"/>
      <c r="AT10" s="2311"/>
      <c r="AU10" s="2311"/>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12">
        <f>Application!AA934</f>
        <v>0</v>
      </c>
      <c r="O11" s="2312"/>
      <c r="P11" s="2312"/>
      <c r="Q11" s="2312"/>
      <c r="R11" s="2312"/>
      <c r="S11" s="2312"/>
      <c r="T11" s="2312"/>
      <c r="U11" s="1190"/>
      <c r="V11" s="1190"/>
      <c r="W11" s="1190"/>
      <c r="X11" s="1193"/>
      <c r="Y11" s="1193"/>
      <c r="Z11" s="1193"/>
      <c r="AA11" s="1193"/>
      <c r="AB11" s="1193"/>
      <c r="AC11" s="1193"/>
      <c r="AD11" s="1193"/>
      <c r="AE11" s="1193"/>
      <c r="AF11" s="2309" t="s">
        <v>2441</v>
      </c>
      <c r="AG11" s="2309"/>
      <c r="AH11" s="2309"/>
      <c r="AI11" s="2309"/>
      <c r="AJ11" s="2309"/>
      <c r="AK11" s="2309"/>
      <c r="AL11" s="2309"/>
      <c r="AM11" s="2309"/>
      <c r="AN11" s="2309"/>
      <c r="AO11" s="2309"/>
      <c r="AP11" s="2310"/>
      <c r="AQ11" s="2311"/>
      <c r="AR11" s="2311"/>
      <c r="AS11" s="2311"/>
      <c r="AT11" s="2311"/>
      <c r="AU11" s="2311"/>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300" t="s">
        <v>2439</v>
      </c>
      <c r="C13" s="2301"/>
      <c r="D13" s="2301"/>
      <c r="E13" s="2301"/>
      <c r="F13" s="2301"/>
      <c r="G13" s="2301"/>
      <c r="H13" s="2301"/>
      <c r="I13" s="2301"/>
      <c r="J13" s="2301"/>
      <c r="K13" s="2301"/>
      <c r="L13" s="2301"/>
      <c r="M13" s="2301"/>
      <c r="N13" s="2301"/>
      <c r="O13" s="2301"/>
      <c r="P13" s="2302"/>
      <c r="Q13" s="2303" t="s">
        <v>669</v>
      </c>
      <c r="R13" s="2304"/>
      <c r="S13" s="2304"/>
      <c r="T13" s="2305"/>
      <c r="U13" s="1193"/>
      <c r="V13" s="1190"/>
      <c r="W13" s="1190"/>
      <c r="X13" s="1190"/>
      <c r="Y13" s="1190"/>
      <c r="Z13" s="1190"/>
      <c r="AA13" s="2290" t="s">
        <v>2438</v>
      </c>
      <c r="AB13" s="2290"/>
      <c r="AC13" s="2290"/>
      <c r="AD13" s="2290"/>
      <c r="AE13" s="2290"/>
      <c r="AF13" s="2290"/>
      <c r="AG13" s="2290"/>
      <c r="AH13" s="2290"/>
      <c r="AI13" s="2290"/>
      <c r="AJ13" s="2290"/>
      <c r="AK13" s="2290"/>
      <c r="AL13" s="2290"/>
      <c r="AM13" s="2290"/>
      <c r="AN13" s="2290"/>
      <c r="AO13" s="2306">
        <f>Application!W473</f>
        <v>0</v>
      </c>
      <c r="AP13" s="2307"/>
      <c r="AQ13" s="2307"/>
      <c r="AR13" s="2307"/>
      <c r="AS13" s="2307"/>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8" t="s">
        <v>2436</v>
      </c>
      <c r="AB14" s="2308"/>
      <c r="AC14" s="2308"/>
      <c r="AD14" s="2308"/>
      <c r="AE14" s="2308"/>
      <c r="AF14" s="2308"/>
      <c r="AG14" s="2308"/>
      <c r="AH14" s="2308"/>
      <c r="AI14" s="2308"/>
      <c r="AJ14" s="2308"/>
      <c r="AK14" s="2308"/>
      <c r="AL14" s="2308"/>
      <c r="AM14" s="2308"/>
      <c r="AN14" s="2308"/>
      <c r="AO14" s="2291"/>
      <c r="AP14" s="2292"/>
      <c r="AQ14" s="2292"/>
      <c r="AR14" s="2292"/>
      <c r="AS14" s="2292"/>
      <c r="AT14" s="1193"/>
      <c r="AU14" s="1193"/>
      <c r="AV14" s="1193"/>
      <c r="AW14" s="1193"/>
      <c r="AX14" s="1193"/>
      <c r="AY14" s="1193"/>
      <c r="AZ14" s="1193"/>
      <c r="BA14" s="1193"/>
      <c r="BB14" s="1193"/>
      <c r="BC14" s="1193"/>
      <c r="BD14" s="1193"/>
      <c r="BE14" s="1194"/>
    </row>
    <row r="15" spans="1:65" thickBot="1">
      <c r="A15" s="1190"/>
      <c r="B15" s="2285" t="s">
        <v>2435</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3"/>
      <c r="Y15" s="1190"/>
      <c r="Z15" s="1190"/>
      <c r="AA15" s="2290" t="s">
        <v>2434</v>
      </c>
      <c r="AB15" s="2290"/>
      <c r="AC15" s="2290"/>
      <c r="AD15" s="2290"/>
      <c r="AE15" s="2290"/>
      <c r="AF15" s="2290"/>
      <c r="AG15" s="2290"/>
      <c r="AH15" s="2290"/>
      <c r="AI15" s="2290"/>
      <c r="AJ15" s="2290"/>
      <c r="AK15" s="2290"/>
      <c r="AL15" s="2290"/>
      <c r="AM15" s="2290"/>
      <c r="AN15" s="2290"/>
      <c r="AO15" s="2291"/>
      <c r="AP15" s="2292"/>
      <c r="AQ15" s="2292"/>
      <c r="AR15" s="2292"/>
      <c r="AS15" s="229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8" t="s">
        <v>2433</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0"/>
      <c r="BA17" s="1190"/>
      <c r="BB17" s="1190"/>
      <c r="BC17" s="1190"/>
      <c r="BD17" s="1190"/>
      <c r="BE17" s="1194"/>
      <c r="BF17" s="1188"/>
    </row>
    <row r="18" spans="1:58" ht="15.75" customHeight="1">
      <c r="A18" s="1190"/>
      <c r="B18" s="2293" t="s">
        <v>2432</v>
      </c>
      <c r="C18" s="2294"/>
      <c r="D18" s="2294"/>
      <c r="E18" s="2294"/>
      <c r="F18" s="2294"/>
      <c r="G18" s="2294"/>
      <c r="H18" s="2294"/>
      <c r="I18" s="2295"/>
      <c r="J18" s="2296" t="s">
        <v>1586</v>
      </c>
      <c r="K18" s="2297"/>
      <c r="L18" s="2297"/>
      <c r="M18" s="2297"/>
      <c r="N18" s="2297"/>
      <c r="O18" s="2298"/>
      <c r="P18" s="2296" t="s">
        <v>324</v>
      </c>
      <c r="Q18" s="2297"/>
      <c r="R18" s="2297"/>
      <c r="S18" s="2297"/>
      <c r="T18" s="2297"/>
      <c r="U18" s="2298"/>
      <c r="V18" s="2296" t="s">
        <v>325</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2431</v>
      </c>
      <c r="AU18" s="2297"/>
      <c r="AV18" s="2297"/>
      <c r="AW18" s="2297"/>
      <c r="AX18" s="2297"/>
      <c r="AY18" s="2299"/>
      <c r="AZ18" s="1190"/>
      <c r="BA18" s="1190"/>
      <c r="BB18" s="1190"/>
      <c r="BC18" s="1190"/>
      <c r="BD18" s="1190"/>
      <c r="BE18" s="1194"/>
    </row>
    <row r="19" spans="1:58" ht="15">
      <c r="A19" s="1190"/>
      <c r="B19" s="2279">
        <v>0.3</v>
      </c>
      <c r="C19" s="2280"/>
      <c r="D19" s="2280"/>
      <c r="E19" s="2280"/>
      <c r="F19" s="2280"/>
      <c r="G19" s="2280"/>
      <c r="H19" s="2280"/>
      <c r="I19" s="2281"/>
      <c r="J19" s="2282">
        <f t="shared" ref="J19:J24" si="0">SUM(P19:AS19)</f>
        <v>23</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15</v>
      </c>
      <c r="W19" s="2283"/>
      <c r="X19" s="2283"/>
      <c r="Y19" s="2283"/>
      <c r="Z19" s="2283"/>
      <c r="AA19" s="2284"/>
      <c r="AB19" s="2282" cm="1">
        <f t="array" ref="AB19">SUMPRODUCT((Application!$B$714:$B$738 = 'CalHFA Addendum'!AB$18)*(Application!$AC$714:$AC$738 = 'CalHFA Addendum'!$B19),Application!$G$714:$G$738)</f>
        <v>8</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0.1036036036036036</v>
      </c>
      <c r="AU19" s="2268"/>
      <c r="AV19" s="2268"/>
      <c r="AW19" s="2268"/>
      <c r="AX19" s="2268"/>
      <c r="AY19" s="2269"/>
      <c r="AZ19" s="1195"/>
      <c r="BA19" s="1190"/>
      <c r="BB19" s="1190"/>
      <c r="BC19" s="1190"/>
      <c r="BD19" s="1190"/>
      <c r="BE19" s="1194"/>
    </row>
    <row r="20" spans="1:58" ht="15" customHeight="1">
      <c r="A20" s="1190"/>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0"/>
      <c r="BA20" s="1190"/>
      <c r="BB20" s="1190"/>
      <c r="BC20" s="1190"/>
      <c r="BD20" s="1190"/>
      <c r="BE20" s="1194"/>
    </row>
    <row r="21" spans="1:58" ht="15">
      <c r="A21" s="1190"/>
      <c r="B21" s="2279">
        <v>0.5</v>
      </c>
      <c r="C21" s="2280"/>
      <c r="D21" s="2280"/>
      <c r="E21" s="2280"/>
      <c r="F21" s="2280"/>
      <c r="G21" s="2280"/>
      <c r="H21" s="2280"/>
      <c r="I21" s="2281"/>
      <c r="J21" s="2282">
        <f t="shared" si="0"/>
        <v>22</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5</v>
      </c>
      <c r="W21" s="2283"/>
      <c r="X21" s="2283"/>
      <c r="Y21" s="2283"/>
      <c r="Z21" s="2283"/>
      <c r="AA21" s="2284"/>
      <c r="AB21" s="2282" cm="1">
        <f t="array" ref="AB21">SUMPRODUCT((Application!$B$714:$B$738 = 'CalHFA Addendum'!AB$18)*(Application!$AC$714:$AC$738 = 'CalHFA Addendum'!$B21),Application!$G$714:$G$738)</f>
        <v>17</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9.90990990990991E-2</v>
      </c>
      <c r="AU21" s="2268"/>
      <c r="AV21" s="2268"/>
      <c r="AW21" s="2268"/>
      <c r="AX21" s="2268"/>
      <c r="AY21" s="2269"/>
      <c r="AZ21" s="1190"/>
      <c r="BA21" s="1190"/>
      <c r="BB21" s="1190"/>
      <c r="BC21" s="1190"/>
      <c r="BD21" s="1190"/>
      <c r="BE21" s="1194"/>
    </row>
    <row r="22" spans="1:58" ht="15">
      <c r="A22" s="1190"/>
      <c r="B22" s="2279">
        <v>0.6</v>
      </c>
      <c r="C22" s="2280"/>
      <c r="D22" s="2280"/>
      <c r="E22" s="2280"/>
      <c r="F22" s="2280"/>
      <c r="G22" s="2280"/>
      <c r="H22" s="2280"/>
      <c r="I22" s="2281"/>
      <c r="J22" s="2282">
        <f t="shared" si="0"/>
        <v>175</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124</v>
      </c>
      <c r="W22" s="2283"/>
      <c r="X22" s="2283"/>
      <c r="Y22" s="2283"/>
      <c r="Z22" s="2283"/>
      <c r="AA22" s="2284"/>
      <c r="AB22" s="2282" cm="1">
        <f t="array" ref="AB22">SUMPRODUCT((Application!$B$714:$B$738 = 'CalHFA Addendum'!AB$18)*(Application!$AC$714:$AC$738 = 'CalHFA Addendum'!$B22),Application!$G$714:$G$738)</f>
        <v>51</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0.78828828828828834</v>
      </c>
      <c r="AU22" s="2268"/>
      <c r="AV22" s="2268"/>
      <c r="AW22" s="2268"/>
      <c r="AX22" s="2268"/>
      <c r="AY22" s="2269"/>
      <c r="AZ22" s="1190"/>
      <c r="BA22" s="1190"/>
      <c r="BB22" s="1190"/>
      <c r="BC22" s="1190"/>
      <c r="BD22" s="1190"/>
      <c r="BE22" s="1194"/>
    </row>
    <row r="23" spans="1:58" ht="15">
      <c r="A23" s="1190"/>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v>
      </c>
      <c r="AU23" s="2268"/>
      <c r="AV23" s="2268"/>
      <c r="AW23" s="2268"/>
      <c r="AX23" s="2268"/>
      <c r="AY23" s="2269"/>
      <c r="AZ23" s="1190"/>
      <c r="BA23" s="1190"/>
      <c r="BB23" s="1190"/>
      <c r="BC23" s="1190"/>
      <c r="BD23" s="1190"/>
      <c r="BE23" s="1194"/>
    </row>
    <row r="24" spans="1:58" ht="15">
      <c r="A24" s="1190"/>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0"/>
      <c r="BA24" s="1190"/>
      <c r="BB24" s="1190"/>
      <c r="BC24" s="1190"/>
      <c r="BD24" s="1190"/>
      <c r="BE24" s="1194"/>
    </row>
    <row r="25" spans="1:58" ht="15">
      <c r="A25" s="1190"/>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0"/>
      <c r="BA25" s="1190"/>
      <c r="BB25" s="1190"/>
      <c r="BC25" s="1190"/>
      <c r="BD25" s="1190"/>
      <c r="BE25" s="1194"/>
    </row>
    <row r="26" spans="1:58" ht="15">
      <c r="A26" s="1190"/>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0"/>
      <c r="BA26" s="1190"/>
      <c r="BB26" s="1190"/>
      <c r="BC26" s="1190"/>
      <c r="BD26" s="1190"/>
      <c r="BE26" s="1194"/>
    </row>
    <row r="27" spans="1:58" ht="15">
      <c r="A27" s="1190"/>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0"/>
      <c r="BA27" s="1190"/>
      <c r="BB27" s="1190"/>
      <c r="BC27" s="1190"/>
      <c r="BD27" s="1190"/>
      <c r="BE27" s="1194"/>
    </row>
    <row r="28" spans="1:58" thickBot="1">
      <c r="A28" s="1190"/>
      <c r="B28" s="2270" t="s">
        <v>2430</v>
      </c>
      <c r="C28" s="2271"/>
      <c r="D28" s="2271"/>
      <c r="E28" s="2271"/>
      <c r="F28" s="2271"/>
      <c r="G28" s="2271"/>
      <c r="H28" s="2271"/>
      <c r="I28" s="2272"/>
      <c r="J28" s="2273">
        <f>SUM(P28:AS28)</f>
        <v>2</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2</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9.0090090090090089E-3</v>
      </c>
      <c r="AU28" s="2277"/>
      <c r="AV28" s="2277"/>
      <c r="AW28" s="2277"/>
      <c r="AX28" s="2277"/>
      <c r="AY28" s="2278"/>
      <c r="AZ28" s="1190"/>
      <c r="BA28" s="1190"/>
      <c r="BB28" s="1190"/>
      <c r="BC28" s="1190"/>
      <c r="BD28" s="1190"/>
      <c r="BE28" s="1194"/>
    </row>
    <row r="29" spans="1:58" thickBot="1">
      <c r="A29" s="1190"/>
      <c r="B29" s="2253" t="s">
        <v>1586</v>
      </c>
      <c r="C29" s="2226"/>
      <c r="D29" s="2226"/>
      <c r="E29" s="2226"/>
      <c r="F29" s="2226"/>
      <c r="G29" s="2226"/>
      <c r="H29" s="2226"/>
      <c r="I29" s="2227"/>
      <c r="J29" s="2225">
        <f>SUM(J19:O28)</f>
        <v>222</v>
      </c>
      <c r="K29" s="2226"/>
      <c r="L29" s="2226"/>
      <c r="M29" s="2226"/>
      <c r="N29" s="2226"/>
      <c r="O29" s="2227"/>
      <c r="P29" s="2225">
        <f>SUM(P19:U28)</f>
        <v>0</v>
      </c>
      <c r="Q29" s="2226"/>
      <c r="R29" s="2226"/>
      <c r="S29" s="2226"/>
      <c r="T29" s="2226"/>
      <c r="U29" s="2227"/>
      <c r="V29" s="2225">
        <f>SUM(V19:AA28)</f>
        <v>144</v>
      </c>
      <c r="W29" s="2226"/>
      <c r="X29" s="2226"/>
      <c r="Y29" s="2226"/>
      <c r="Z29" s="2226"/>
      <c r="AA29" s="2227"/>
      <c r="AB29" s="2225">
        <f>SUM(AB19:AG28)</f>
        <v>78</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1" t="s">
        <v>2429</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4"/>
    </row>
    <row r="32" spans="1:58" thickBot="1">
      <c r="A32" s="1190"/>
      <c r="B32" s="2234" t="s">
        <v>2428</v>
      </c>
      <c r="C32" s="2235"/>
      <c r="D32" s="2235"/>
      <c r="E32" s="2235"/>
      <c r="F32" s="2235"/>
      <c r="G32" s="2235"/>
      <c r="H32" s="2235"/>
      <c r="I32" s="2235"/>
      <c r="J32" s="2238" t="s">
        <v>2427</v>
      </c>
      <c r="K32" s="2239"/>
      <c r="L32" s="2239"/>
      <c r="M32" s="2239"/>
      <c r="N32" s="2238" t="s">
        <v>2426</v>
      </c>
      <c r="O32" s="2239"/>
      <c r="P32" s="2239"/>
      <c r="Q32" s="2241"/>
      <c r="R32" s="2243" t="s">
        <v>2425</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4"/>
    </row>
    <row r="33" spans="1:58" ht="15" customHeight="1">
      <c r="A33" s="1190"/>
      <c r="B33" s="2236"/>
      <c r="C33" s="2237"/>
      <c r="D33" s="2237"/>
      <c r="E33" s="2237"/>
      <c r="F33" s="2237"/>
      <c r="G33" s="2237"/>
      <c r="H33" s="2237"/>
      <c r="I33" s="2237"/>
      <c r="J33" s="2240"/>
      <c r="K33" s="2240"/>
      <c r="L33" s="2240"/>
      <c r="M33" s="2240"/>
      <c r="N33" s="2240"/>
      <c r="O33" s="2240"/>
      <c r="P33" s="2240"/>
      <c r="Q33" s="2242"/>
      <c r="R33" s="2246" t="s">
        <v>2424</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4"/>
    </row>
    <row r="34" spans="1:58" ht="15.75" customHeight="1" thickBot="1">
      <c r="A34" s="1190"/>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4"/>
    </row>
    <row r="35" spans="1:58" ht="15.75" customHeight="1">
      <c r="A35" s="1190"/>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2423</v>
      </c>
      <c r="AT35" s="2255"/>
      <c r="AU35" s="2255"/>
      <c r="AV35" s="2255"/>
      <c r="AW35" s="2255"/>
      <c r="AX35" s="2263"/>
      <c r="AY35" s="2254" t="s">
        <v>2422</v>
      </c>
      <c r="AZ35" s="2255"/>
      <c r="BA35" s="2255"/>
      <c r="BB35" s="2255"/>
      <c r="BC35" s="2255"/>
      <c r="BD35" s="2256"/>
      <c r="BE35" s="1194"/>
    </row>
    <row r="36" spans="1:58" ht="15.75" customHeight="1">
      <c r="A36" s="1190"/>
      <c r="B36" s="2158" t="s">
        <v>2421</v>
      </c>
      <c r="C36" s="2159"/>
      <c r="D36" s="2159"/>
      <c r="E36" s="2159"/>
      <c r="F36" s="2159"/>
      <c r="G36" s="2159"/>
      <c r="H36" s="2159"/>
      <c r="I36" s="2159"/>
      <c r="J36" s="2223" t="s">
        <v>2420</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4"/>
    </row>
    <row r="37" spans="1:58" ht="15.75" customHeight="1">
      <c r="A37" s="1190"/>
      <c r="B37" s="2158" t="s">
        <v>2419</v>
      </c>
      <c r="C37" s="2159"/>
      <c r="D37" s="2159"/>
      <c r="E37" s="2159"/>
      <c r="F37" s="2159"/>
      <c r="G37" s="2159"/>
      <c r="H37" s="2159"/>
      <c r="I37" s="2159"/>
      <c r="J37" s="2223" t="s">
        <v>2418</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4"/>
    </row>
    <row r="38" spans="1:58" ht="15.75" customHeight="1">
      <c r="A38" s="1190"/>
      <c r="B38" s="2158" t="s">
        <v>2417</v>
      </c>
      <c r="C38" s="2159"/>
      <c r="D38" s="2159"/>
      <c r="E38" s="2159"/>
      <c r="F38" s="2159"/>
      <c r="G38" s="2159"/>
      <c r="H38" s="2159"/>
      <c r="I38" s="2159"/>
      <c r="J38" s="2223" t="s">
        <v>2416</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4"/>
    </row>
    <row r="39" spans="1:58" ht="15.75" customHeight="1">
      <c r="A39" s="1190"/>
      <c r="B39" s="2158" t="s">
        <v>2415</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4"/>
    </row>
    <row r="40" spans="1:58" ht="15.75" customHeight="1">
      <c r="A40" s="1190"/>
      <c r="B40" s="2158" t="s">
        <v>2415</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4"/>
    </row>
    <row r="41" spans="1:58" ht="15.75" customHeight="1">
      <c r="A41" s="1190"/>
      <c r="B41" s="2158" t="s">
        <v>2414</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4"/>
    </row>
    <row r="42" spans="1:58" ht="15.75" customHeight="1">
      <c r="A42" s="1190"/>
      <c r="B42" s="2158" t="s">
        <v>2414</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4"/>
    </row>
    <row r="43" spans="1:58" ht="15.75" customHeight="1">
      <c r="A43" s="1190"/>
      <c r="B43" s="2163" t="s">
        <v>2413</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4"/>
    </row>
    <row r="44" spans="1:58" ht="15.75" customHeight="1">
      <c r="A44" s="1190"/>
      <c r="B44" s="2163" t="s">
        <v>2412</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4"/>
    </row>
    <row r="45" spans="1:58" ht="15.75" customHeight="1">
      <c r="A45" s="1190"/>
      <c r="B45" s="2163" t="s">
        <v>2411</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4"/>
    </row>
    <row r="46" spans="1:58" ht="15.75" customHeight="1">
      <c r="A46" s="1190"/>
      <c r="B46" s="2163" t="s">
        <v>2335</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4"/>
    </row>
    <row r="47" spans="1:58" ht="15.75" customHeight="1" thickBot="1">
      <c r="A47" s="1190"/>
      <c r="B47" s="2217" t="s">
        <v>300</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0" t="s">
        <v>2408</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3" t="s">
        <v>2401</v>
      </c>
      <c r="C51" s="2101"/>
      <c r="D51" s="2101"/>
      <c r="E51" s="2101"/>
      <c r="F51" s="2101"/>
      <c r="G51" s="2101"/>
      <c r="H51" s="2101"/>
      <c r="I51" s="2101"/>
      <c r="J51" s="2101" t="s">
        <v>2407</v>
      </c>
      <c r="K51" s="2101"/>
      <c r="L51" s="2101"/>
      <c r="M51" s="2101"/>
      <c r="N51" s="2101"/>
      <c r="O51" s="2101"/>
      <c r="P51" s="2101"/>
      <c r="Q51" s="2101"/>
      <c r="R51" s="2202" t="s">
        <v>2406</v>
      </c>
      <c r="S51" s="2202"/>
      <c r="T51" s="2202"/>
      <c r="U51" s="2202"/>
      <c r="V51" s="2202"/>
      <c r="W51" s="2202"/>
      <c r="X51" s="2202"/>
      <c r="Y51" s="2202"/>
      <c r="Z51" s="2202" t="s">
        <v>2405</v>
      </c>
      <c r="AA51" s="2202"/>
      <c r="AB51" s="2202"/>
      <c r="AC51" s="2202"/>
      <c r="AD51" s="2202"/>
      <c r="AE51" s="2202"/>
      <c r="AF51" s="2202"/>
      <c r="AG51" s="2202"/>
      <c r="AH51" s="2202" t="s">
        <v>2404</v>
      </c>
      <c r="AI51" s="2202"/>
      <c r="AJ51" s="2202"/>
      <c r="AK51" s="2202"/>
      <c r="AL51" s="2202"/>
      <c r="AM51" s="2202"/>
      <c r="AN51" s="2202"/>
      <c r="AO51" s="220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3" t="s">
        <v>2403</v>
      </c>
      <c r="C52" s="2164"/>
      <c r="D52" s="2164"/>
      <c r="E52" s="2164"/>
      <c r="F52" s="2164"/>
      <c r="G52" s="2164"/>
      <c r="H52" s="2164"/>
      <c r="I52" s="2164"/>
      <c r="J52" s="1987">
        <v>0</v>
      </c>
      <c r="K52" s="1987"/>
      <c r="L52" s="1987"/>
      <c r="M52" s="1987"/>
      <c r="N52" s="1987"/>
      <c r="O52" s="1987"/>
      <c r="P52" s="1987"/>
      <c r="Q52" s="1987"/>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3" t="s">
        <v>2402</v>
      </c>
      <c r="C53" s="2164"/>
      <c r="D53" s="2164"/>
      <c r="E53" s="2164"/>
      <c r="F53" s="2164"/>
      <c r="G53" s="2164"/>
      <c r="H53" s="2164"/>
      <c r="I53" s="2164"/>
      <c r="J53" s="1987">
        <v>0</v>
      </c>
      <c r="K53" s="1987"/>
      <c r="L53" s="1987"/>
      <c r="M53" s="1987"/>
      <c r="N53" s="1987"/>
      <c r="O53" s="1987"/>
      <c r="P53" s="1987"/>
      <c r="Q53" s="1987"/>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3"/>
      <c r="C54" s="2164"/>
      <c r="D54" s="2164"/>
      <c r="E54" s="2164"/>
      <c r="F54" s="2164"/>
      <c r="G54" s="2164"/>
      <c r="H54" s="2164"/>
      <c r="I54" s="2164"/>
      <c r="J54" s="1987"/>
      <c r="K54" s="1987"/>
      <c r="L54" s="1987"/>
      <c r="M54" s="1987"/>
      <c r="N54" s="1987"/>
      <c r="O54" s="1987"/>
      <c r="P54" s="1987"/>
      <c r="Q54" s="1987"/>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3"/>
      <c r="C55" s="2164"/>
      <c r="D55" s="2164"/>
      <c r="E55" s="2164"/>
      <c r="F55" s="2164"/>
      <c r="G55" s="2164"/>
      <c r="H55" s="2164"/>
      <c r="I55" s="2164"/>
      <c r="J55" s="1987"/>
      <c r="K55" s="1987"/>
      <c r="L55" s="1987"/>
      <c r="M55" s="1987"/>
      <c r="N55" s="1987"/>
      <c r="O55" s="1987"/>
      <c r="P55" s="1987"/>
      <c r="Q55" s="1987"/>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3"/>
      <c r="C56" s="2164"/>
      <c r="D56" s="2164"/>
      <c r="E56" s="2164"/>
      <c r="F56" s="2164"/>
      <c r="G56" s="2164"/>
      <c r="H56" s="2164"/>
      <c r="I56" s="2164"/>
      <c r="J56" s="1987"/>
      <c r="K56" s="1987"/>
      <c r="L56" s="1987"/>
      <c r="M56" s="1987"/>
      <c r="N56" s="1987"/>
      <c r="O56" s="1987"/>
      <c r="P56" s="1987"/>
      <c r="Q56" s="1987"/>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1" t="s">
        <v>1586</v>
      </c>
      <c r="C57" s="2132"/>
      <c r="D57" s="2132"/>
      <c r="E57" s="2132"/>
      <c r="F57" s="2132"/>
      <c r="G57" s="2132"/>
      <c r="H57" s="2132"/>
      <c r="I57" s="2132"/>
      <c r="J57" s="2132"/>
      <c r="K57" s="2132"/>
      <c r="L57" s="2132"/>
      <c r="M57" s="2132"/>
      <c r="N57" s="2132"/>
      <c r="O57" s="2132"/>
      <c r="P57" s="2132"/>
      <c r="Q57" s="2132"/>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1" t="s">
        <v>2401</v>
      </c>
      <c r="C59" s="2192"/>
      <c r="D59" s="2192"/>
      <c r="E59" s="2192"/>
      <c r="F59" s="2192"/>
      <c r="G59" s="2192"/>
      <c r="H59" s="2192"/>
      <c r="I59" s="2193"/>
      <c r="J59" s="2099" t="s">
        <v>2400</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0"/>
      <c r="AY59" s="1190"/>
      <c r="AZ59" s="1190"/>
      <c r="BA59" s="1190"/>
      <c r="BB59" s="1190"/>
      <c r="BC59" s="1190"/>
      <c r="BD59" s="1190"/>
      <c r="BE59" s="1194"/>
    </row>
    <row r="60" spans="1:77" ht="15.75" customHeight="1">
      <c r="A60" s="1190"/>
      <c r="B60" s="2183" t="str">
        <f>IF(B52="", "", B52)</f>
        <v>Services Company 1</v>
      </c>
      <c r="C60" s="2184"/>
      <c r="D60" s="2184"/>
      <c r="E60" s="2184"/>
      <c r="F60" s="2184"/>
      <c r="G60" s="2184"/>
      <c r="H60" s="2184"/>
      <c r="I60" s="2185"/>
      <c r="J60" s="2186"/>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0"/>
      <c r="AY60" s="1190"/>
      <c r="AZ60" s="1190"/>
      <c r="BA60" s="1190"/>
      <c r="BB60" s="1190"/>
      <c r="BC60" s="1190"/>
      <c r="BD60" s="1190"/>
      <c r="BE60" s="1194"/>
    </row>
    <row r="61" spans="1:77" ht="15.75" customHeight="1">
      <c r="A61" s="1190"/>
      <c r="B61" s="2183" t="str">
        <f>IF(B53="", "", B53)</f>
        <v>Services Company 2</v>
      </c>
      <c r="C61" s="2184"/>
      <c r="D61" s="2184"/>
      <c r="E61" s="2184"/>
      <c r="F61" s="2184"/>
      <c r="G61" s="2184"/>
      <c r="H61" s="2184"/>
      <c r="I61" s="2185"/>
      <c r="J61" s="2186"/>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0"/>
      <c r="AY61" s="1190"/>
      <c r="AZ61" s="1190"/>
      <c r="BA61" s="1190"/>
      <c r="BB61" s="1190"/>
      <c r="BC61" s="1190"/>
      <c r="BD61" s="1190"/>
      <c r="BE61" s="1194"/>
    </row>
    <row r="62" spans="1:77" ht="15.75" customHeight="1">
      <c r="A62" s="1190"/>
      <c r="B62" s="2183" t="str">
        <f>IF(B54="", "", B54)</f>
        <v/>
      </c>
      <c r="C62" s="2184"/>
      <c r="D62" s="2184"/>
      <c r="E62" s="2184"/>
      <c r="F62" s="2184"/>
      <c r="G62" s="2184"/>
      <c r="H62" s="2184"/>
      <c r="I62" s="2185"/>
      <c r="J62" s="2186"/>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0"/>
      <c r="AY62" s="1190"/>
      <c r="AZ62" s="1190"/>
      <c r="BA62" s="1190"/>
      <c r="BB62" s="1190"/>
      <c r="BC62" s="1190"/>
      <c r="BD62" s="1190"/>
      <c r="BE62" s="1194"/>
    </row>
    <row r="63" spans="1:77" ht="15.75" customHeight="1">
      <c r="A63" s="1190"/>
      <c r="B63" s="2183" t="str">
        <f>IF(B55="", "", B55)</f>
        <v/>
      </c>
      <c r="C63" s="2184"/>
      <c r="D63" s="2184"/>
      <c r="E63" s="2184"/>
      <c r="F63" s="2184"/>
      <c r="G63" s="2184"/>
      <c r="H63" s="2184"/>
      <c r="I63" s="2185"/>
      <c r="J63" s="2186"/>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0"/>
      <c r="AY63" s="1190"/>
      <c r="AZ63" s="1190"/>
      <c r="BA63" s="1190"/>
      <c r="BB63" s="1190"/>
      <c r="BC63" s="1190"/>
      <c r="BD63" s="1190"/>
      <c r="BE63" s="1194"/>
    </row>
    <row r="64" spans="1:77" ht="15.75" customHeight="1" thickBot="1">
      <c r="A64" s="1190"/>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8" t="s">
        <v>2398</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0"/>
      <c r="AC68" s="2024" t="s">
        <v>2397</v>
      </c>
      <c r="AD68" s="2025"/>
      <c r="AE68" s="2025"/>
      <c r="AF68" s="2025"/>
      <c r="AG68" s="2025"/>
      <c r="AH68" s="2025"/>
      <c r="AI68" s="2025"/>
      <c r="AJ68" s="2025"/>
      <c r="AK68" s="2025"/>
      <c r="AL68" s="2025"/>
      <c r="AM68" s="2025"/>
      <c r="AN68" s="2025"/>
      <c r="AO68" s="2025"/>
      <c r="AP68" s="2025"/>
      <c r="AQ68" s="2025"/>
      <c r="AR68" s="2025"/>
      <c r="AS68" s="2025"/>
      <c r="AT68" s="2025"/>
      <c r="AU68" s="2025"/>
      <c r="AV68" s="2175" t="s">
        <v>669</v>
      </c>
      <c r="AW68" s="2081"/>
      <c r="AX68" s="2081"/>
      <c r="AY68" s="2081"/>
      <c r="AZ68" s="2081"/>
      <c r="BA68" s="2081"/>
      <c r="BB68" s="2081"/>
      <c r="BC68" s="2082"/>
      <c r="BD68" s="1190"/>
      <c r="BE68" s="1194"/>
      <c r="BM68" s="1199" t="s">
        <v>2396</v>
      </c>
    </row>
    <row r="69" spans="1:94" ht="15.75" customHeight="1" thickTop="1" thickBot="1">
      <c r="A69" s="1190"/>
      <c r="B69" s="2176" t="s">
        <v>2395</v>
      </c>
      <c r="C69" s="2177"/>
      <c r="D69" s="2177"/>
      <c r="E69" s="2177"/>
      <c r="F69" s="2177"/>
      <c r="G69" s="2177"/>
      <c r="H69" s="2177"/>
      <c r="I69" s="2177"/>
      <c r="J69" s="2177"/>
      <c r="K69" s="2177"/>
      <c r="L69" s="2177"/>
      <c r="M69" s="2177"/>
      <c r="N69" s="2177"/>
      <c r="O69" s="2178" t="s">
        <v>2394</v>
      </c>
      <c r="P69" s="2179"/>
      <c r="Q69" s="2179"/>
      <c r="R69" s="2179"/>
      <c r="S69" s="2179"/>
      <c r="T69" s="2179"/>
      <c r="U69" s="2179"/>
      <c r="V69" s="2179"/>
      <c r="W69" s="2179"/>
      <c r="X69" s="2179"/>
      <c r="Y69" s="2179"/>
      <c r="Z69" s="2179"/>
      <c r="AA69" s="2180"/>
      <c r="AB69" s="1190"/>
      <c r="AC69" s="2181" t="s">
        <v>2393</v>
      </c>
      <c r="AD69" s="2182"/>
      <c r="AE69" s="2182"/>
      <c r="AF69" s="2182"/>
      <c r="AG69" s="2182"/>
      <c r="AH69" s="2182"/>
      <c r="AI69" s="2182"/>
      <c r="AJ69" s="2182"/>
      <c r="AK69" s="2182"/>
      <c r="AL69" s="2182"/>
      <c r="AM69" s="2182"/>
      <c r="AN69" s="2182"/>
      <c r="AO69" s="2182"/>
      <c r="AP69" s="2182"/>
      <c r="AQ69" s="2182"/>
      <c r="AR69" s="2182"/>
      <c r="AS69" s="2182"/>
      <c r="AT69" s="2182"/>
      <c r="AU69" s="2182"/>
      <c r="AV69" s="2175" t="s">
        <v>669</v>
      </c>
      <c r="AW69" s="2081"/>
      <c r="AX69" s="2081"/>
      <c r="AY69" s="2081"/>
      <c r="AZ69" s="2081"/>
      <c r="BA69" s="2081"/>
      <c r="BB69" s="2081"/>
      <c r="BC69" s="2082"/>
      <c r="BD69" s="1190"/>
      <c r="BE69" s="1194"/>
      <c r="BM69" s="1200" t="s">
        <v>545</v>
      </c>
    </row>
    <row r="70" spans="1:94" ht="15.75" customHeight="1">
      <c r="A70" s="1190"/>
      <c r="B70" s="2158" t="s">
        <v>2392</v>
      </c>
      <c r="C70" s="2159"/>
      <c r="D70" s="2159"/>
      <c r="E70" s="2159"/>
      <c r="F70" s="2159"/>
      <c r="G70" s="2159"/>
      <c r="H70" s="2159"/>
      <c r="I70" s="2159"/>
      <c r="J70" s="2159"/>
      <c r="K70" s="2159"/>
      <c r="L70" s="2159"/>
      <c r="M70" s="2159"/>
      <c r="N70" s="2159"/>
      <c r="O70" s="2032">
        <v>0</v>
      </c>
      <c r="P70" s="2032"/>
      <c r="Q70" s="2032"/>
      <c r="R70" s="2032"/>
      <c r="S70" s="2032"/>
      <c r="T70" s="2032"/>
      <c r="U70" s="2032"/>
      <c r="V70" s="2032"/>
      <c r="W70" s="2032"/>
      <c r="X70" s="2032"/>
      <c r="Y70" s="2032"/>
      <c r="Z70" s="2032"/>
      <c r="AA70" s="2160"/>
      <c r="AB70" s="1190"/>
      <c r="AC70" s="2070" t="s">
        <v>2391</v>
      </c>
      <c r="AD70" s="2026"/>
      <c r="AE70" s="2026"/>
      <c r="AF70" s="2169"/>
      <c r="AG70" s="2169"/>
      <c r="AH70" s="2169"/>
      <c r="AI70" s="2169"/>
      <c r="AJ70" s="2169"/>
      <c r="AK70" s="2169"/>
      <c r="AL70" s="2169"/>
      <c r="AM70" s="2169"/>
      <c r="AN70" s="2169"/>
      <c r="AO70" s="2169"/>
      <c r="AP70" s="2169"/>
      <c r="AQ70" s="2169"/>
      <c r="AR70" s="2169"/>
      <c r="AS70" s="2169"/>
      <c r="AT70" s="2169"/>
      <c r="AU70" s="2170"/>
      <c r="AV70" s="1190"/>
      <c r="AW70" s="1190"/>
      <c r="AX70" s="1190"/>
      <c r="AY70" s="1190"/>
      <c r="AZ70" s="1190"/>
      <c r="BA70" s="1190"/>
      <c r="BB70" s="1190"/>
      <c r="BC70" s="1190"/>
      <c r="BD70" s="1190"/>
      <c r="BE70" s="1194"/>
      <c r="BM70" s="1201" t="s">
        <v>669</v>
      </c>
    </row>
    <row r="71" spans="1:94" ht="15.75" customHeight="1" thickBot="1">
      <c r="A71" s="1190"/>
      <c r="B71" s="2158" t="s">
        <v>2390</v>
      </c>
      <c r="C71" s="2159"/>
      <c r="D71" s="2159"/>
      <c r="E71" s="2159"/>
      <c r="F71" s="2159"/>
      <c r="G71" s="2159"/>
      <c r="H71" s="2159"/>
      <c r="I71" s="2159"/>
      <c r="J71" s="2159"/>
      <c r="K71" s="2159"/>
      <c r="L71" s="2159"/>
      <c r="M71" s="2159"/>
      <c r="N71" s="2159"/>
      <c r="O71" s="2032">
        <v>0</v>
      </c>
      <c r="P71" s="2032"/>
      <c r="Q71" s="2032"/>
      <c r="R71" s="2032"/>
      <c r="S71" s="2032"/>
      <c r="T71" s="2032"/>
      <c r="U71" s="2032"/>
      <c r="V71" s="2032"/>
      <c r="W71" s="2032"/>
      <c r="X71" s="2032"/>
      <c r="Y71" s="2032"/>
      <c r="Z71" s="2032"/>
      <c r="AA71" s="2160"/>
      <c r="AB71" s="1190"/>
      <c r="AC71" s="2171" t="s">
        <v>2389</v>
      </c>
      <c r="AD71" s="2172"/>
      <c r="AE71" s="2172"/>
      <c r="AF71" s="2173"/>
      <c r="AG71" s="2173"/>
      <c r="AH71" s="2173"/>
      <c r="AI71" s="2173"/>
      <c r="AJ71" s="2173"/>
      <c r="AK71" s="2173"/>
      <c r="AL71" s="2173"/>
      <c r="AM71" s="2173"/>
      <c r="AN71" s="2173"/>
      <c r="AO71" s="2173"/>
      <c r="AP71" s="2173"/>
      <c r="AQ71" s="2173"/>
      <c r="AR71" s="2173"/>
      <c r="AS71" s="2173"/>
      <c r="AT71" s="2173"/>
      <c r="AU71" s="2174"/>
      <c r="AV71" s="1190"/>
      <c r="AW71" s="1190"/>
      <c r="AX71" s="1190"/>
      <c r="AY71" s="1190"/>
      <c r="AZ71" s="1190"/>
      <c r="BA71" s="1190"/>
      <c r="BB71" s="1190"/>
      <c r="BC71" s="1190"/>
      <c r="BD71" s="1190"/>
      <c r="BE71" s="1194"/>
      <c r="BM71" s="1187" t="s">
        <v>2388</v>
      </c>
    </row>
    <row r="72" spans="1:94" ht="15.75" customHeight="1">
      <c r="A72" s="1190"/>
      <c r="B72" s="2158" t="s">
        <v>2387</v>
      </c>
      <c r="C72" s="2159"/>
      <c r="D72" s="2159"/>
      <c r="E72" s="2159"/>
      <c r="F72" s="2159"/>
      <c r="G72" s="2159"/>
      <c r="H72" s="2159"/>
      <c r="I72" s="2159"/>
      <c r="J72" s="2159"/>
      <c r="K72" s="2159"/>
      <c r="L72" s="2159"/>
      <c r="M72" s="2159"/>
      <c r="N72" s="2159"/>
      <c r="O72" s="2032">
        <v>0</v>
      </c>
      <c r="P72" s="2032"/>
      <c r="Q72" s="2032"/>
      <c r="R72" s="2032"/>
      <c r="S72" s="2032"/>
      <c r="T72" s="2032"/>
      <c r="U72" s="2032"/>
      <c r="V72" s="2032"/>
      <c r="W72" s="2032"/>
      <c r="X72" s="2032"/>
      <c r="Y72" s="2032"/>
      <c r="Z72" s="2032"/>
      <c r="AA72" s="2160"/>
      <c r="AB72" s="1190"/>
      <c r="AC72" s="2161" t="s">
        <v>2386</v>
      </c>
      <c r="AD72" s="2162"/>
      <c r="AE72" s="2162"/>
      <c r="AF72" s="2162"/>
      <c r="AG72" s="2162"/>
      <c r="AH72" s="2162"/>
      <c r="AI72" s="2162"/>
      <c r="AJ72" s="2162"/>
      <c r="AK72" s="2162"/>
      <c r="AL72" s="2162"/>
      <c r="AM72" s="2162"/>
      <c r="AN72" s="2162"/>
      <c r="AO72" s="2162"/>
      <c r="AP72" s="2162"/>
      <c r="AQ72" s="2162"/>
      <c r="AR72" s="2162"/>
      <c r="AS72" s="2162"/>
      <c r="AT72" s="2162"/>
      <c r="AU72" s="2162"/>
      <c r="AV72" s="2026"/>
      <c r="AW72" s="2026"/>
      <c r="AX72" s="2026"/>
      <c r="AY72" s="2026"/>
      <c r="AZ72" s="2026"/>
      <c r="BA72" s="2026"/>
      <c r="BB72" s="2026"/>
      <c r="BC72" s="2027"/>
      <c r="BD72" s="1190"/>
      <c r="BE72" s="1194"/>
    </row>
    <row r="73" spans="1:94" ht="15.75" customHeight="1">
      <c r="A73" s="1190"/>
      <c r="B73" s="2163" t="s">
        <v>2385</v>
      </c>
      <c r="C73" s="2164"/>
      <c r="D73" s="2164"/>
      <c r="E73" s="2164"/>
      <c r="F73" s="2164"/>
      <c r="G73" s="2164"/>
      <c r="H73" s="2164"/>
      <c r="I73" s="2164"/>
      <c r="J73" s="2164"/>
      <c r="K73" s="2164"/>
      <c r="L73" s="2164"/>
      <c r="M73" s="2164"/>
      <c r="N73" s="2164"/>
      <c r="O73" s="2032">
        <v>0</v>
      </c>
      <c r="P73" s="2032"/>
      <c r="Q73" s="2032"/>
      <c r="R73" s="2032"/>
      <c r="S73" s="2032"/>
      <c r="T73" s="2032"/>
      <c r="U73" s="2032"/>
      <c r="V73" s="2032"/>
      <c r="W73" s="2032"/>
      <c r="X73" s="2032"/>
      <c r="Y73" s="2032"/>
      <c r="Z73" s="2032"/>
      <c r="AA73" s="2160"/>
      <c r="AB73" s="1190"/>
      <c r="AC73" s="2041" t="s">
        <v>2330</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0"/>
      <c r="BE73" s="1194"/>
      <c r="CK73" s="1188"/>
      <c r="CL73" s="1188"/>
      <c r="CM73" s="1188"/>
      <c r="CN73" s="1188"/>
      <c r="CO73" s="1188"/>
      <c r="CP73" s="1188"/>
    </row>
    <row r="74" spans="1:94" ht="15.75" customHeight="1">
      <c r="A74" s="1190"/>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0"/>
      <c r="AB74" s="1190"/>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0"/>
      <c r="BE74" s="1194"/>
      <c r="CK74" s="1188"/>
      <c r="CL74" s="1188"/>
      <c r="CM74" s="1188"/>
      <c r="CN74" s="1188"/>
      <c r="CO74" s="1188"/>
      <c r="CP74" s="1188"/>
    </row>
    <row r="75" spans="1:94" ht="15.75" customHeight="1" thickBot="1">
      <c r="A75" s="1190"/>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0"/>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3"/>
      <c r="G79" s="2144"/>
      <c r="H79" s="2144"/>
      <c r="I79" s="2144"/>
      <c r="J79" s="2144"/>
      <c r="K79" s="2144"/>
      <c r="L79" s="2144"/>
      <c r="M79" s="2144"/>
      <c r="N79" s="2144"/>
      <c r="O79" s="2144"/>
      <c r="P79" s="2144"/>
      <c r="Q79" s="2144"/>
      <c r="R79" s="2144"/>
      <c r="S79" s="2144"/>
      <c r="T79" s="214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6" t="s">
        <v>2383</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2" t="s">
        <v>2382</v>
      </c>
      <c r="C81" s="2153"/>
      <c r="D81" s="2153"/>
      <c r="E81" s="2153"/>
      <c r="F81" s="2153"/>
      <c r="G81" s="2153"/>
      <c r="H81" s="2153"/>
      <c r="I81" s="2153"/>
      <c r="J81" s="2153"/>
      <c r="K81" s="2153"/>
      <c r="L81" s="2153"/>
      <c r="M81" s="2153"/>
      <c r="N81" s="2153"/>
      <c r="O81" s="2153"/>
      <c r="P81" s="2153"/>
      <c r="Q81" s="2153"/>
      <c r="R81" s="2134" t="s">
        <v>2188</v>
      </c>
      <c r="S81" s="2135"/>
      <c r="T81" s="213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5" t="s">
        <v>2381</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0"/>
      <c r="AJ83" s="2122" t="s">
        <v>2380</v>
      </c>
      <c r="AK83" s="2123"/>
      <c r="AL83" s="2123"/>
      <c r="AM83" s="2123"/>
      <c r="AN83" s="2123"/>
      <c r="AO83" s="2123"/>
      <c r="AP83" s="2123"/>
      <c r="AQ83" s="2123"/>
      <c r="AR83" s="2123"/>
      <c r="AS83" s="2123"/>
      <c r="AT83" s="2123"/>
      <c r="AU83" s="2123"/>
      <c r="AV83" s="2123"/>
      <c r="AW83" s="2123"/>
      <c r="AX83" s="2123"/>
      <c r="AY83" s="2139" t="s">
        <v>545</v>
      </c>
      <c r="AZ83" s="2139"/>
      <c r="BA83" s="2139"/>
      <c r="BB83" s="2140"/>
      <c r="BC83" s="1190"/>
      <c r="BD83" s="1190"/>
      <c r="BE83" s="1194"/>
      <c r="CK83" s="1188"/>
      <c r="CL83" s="1188"/>
      <c r="CM83" s="1188"/>
      <c r="CN83" s="1188"/>
      <c r="CO83" s="1188"/>
      <c r="CP83" s="1188"/>
    </row>
    <row r="84" spans="1:94" ht="15.75" customHeight="1">
      <c r="A84" s="1190"/>
      <c r="B84" s="2133"/>
      <c r="C84" s="2101"/>
      <c r="D84" s="2101"/>
      <c r="E84" s="2101"/>
      <c r="F84" s="2101"/>
      <c r="G84" s="2101"/>
      <c r="H84" s="2101"/>
      <c r="I84" s="2101" t="s">
        <v>2370</v>
      </c>
      <c r="J84" s="2101"/>
      <c r="K84" s="2101"/>
      <c r="L84" s="2101"/>
      <c r="M84" s="2101"/>
      <c r="N84" s="2101"/>
      <c r="O84" s="2101" t="s">
        <v>2346</v>
      </c>
      <c r="P84" s="2101"/>
      <c r="Q84" s="2101"/>
      <c r="R84" s="2101"/>
      <c r="S84" s="2101"/>
      <c r="T84" s="2101"/>
      <c r="U84" s="2101"/>
      <c r="V84" s="2137" t="s">
        <v>2345</v>
      </c>
      <c r="W84" s="2137"/>
      <c r="X84" s="2137"/>
      <c r="Y84" s="2137"/>
      <c r="Z84" s="2137"/>
      <c r="AA84" s="2137"/>
      <c r="AB84" s="2071" t="s">
        <v>2369</v>
      </c>
      <c r="AC84" s="2071"/>
      <c r="AD84" s="2071"/>
      <c r="AE84" s="2071"/>
      <c r="AF84" s="2071"/>
      <c r="AG84" s="2071"/>
      <c r="AH84" s="2138"/>
      <c r="AI84" s="1190"/>
      <c r="AJ84" s="2125"/>
      <c r="AK84" s="2126"/>
      <c r="AL84" s="2126"/>
      <c r="AM84" s="2126"/>
      <c r="AN84" s="2126"/>
      <c r="AO84" s="2126"/>
      <c r="AP84" s="2126"/>
      <c r="AQ84" s="2126"/>
      <c r="AR84" s="2126"/>
      <c r="AS84" s="2126"/>
      <c r="AT84" s="2126"/>
      <c r="AU84" s="2126"/>
      <c r="AV84" s="2126"/>
      <c r="AW84" s="2126"/>
      <c r="AX84" s="2126"/>
      <c r="AY84" s="2141"/>
      <c r="AZ84" s="2141"/>
      <c r="BA84" s="2141"/>
      <c r="BB84" s="2142"/>
      <c r="BC84" s="1190"/>
      <c r="BD84" s="1190"/>
      <c r="BE84" s="1194"/>
      <c r="CK84" s="1188"/>
      <c r="CL84" s="1188"/>
      <c r="CM84" s="1188"/>
      <c r="CN84" s="1188"/>
      <c r="CO84" s="1188"/>
      <c r="CP84" s="1188"/>
    </row>
    <row r="85" spans="1:94" ht="15.75" customHeight="1">
      <c r="A85" s="1190"/>
      <c r="B85" s="2133"/>
      <c r="C85" s="2101"/>
      <c r="D85" s="2101"/>
      <c r="E85" s="2101"/>
      <c r="F85" s="2101"/>
      <c r="G85" s="2101"/>
      <c r="H85" s="2101"/>
      <c r="I85" s="2101"/>
      <c r="J85" s="2101"/>
      <c r="K85" s="2101"/>
      <c r="L85" s="2101"/>
      <c r="M85" s="2101"/>
      <c r="N85" s="2101"/>
      <c r="O85" s="2101"/>
      <c r="P85" s="2101"/>
      <c r="Q85" s="2101"/>
      <c r="R85" s="2101"/>
      <c r="S85" s="2101"/>
      <c r="T85" s="2101"/>
      <c r="U85" s="2101"/>
      <c r="V85" s="2137"/>
      <c r="W85" s="2137"/>
      <c r="X85" s="2137"/>
      <c r="Y85" s="2137"/>
      <c r="Z85" s="2137"/>
      <c r="AA85" s="2137"/>
      <c r="AB85" s="2071"/>
      <c r="AC85" s="2071"/>
      <c r="AD85" s="2071"/>
      <c r="AE85" s="2071"/>
      <c r="AF85" s="2071"/>
      <c r="AG85" s="2071"/>
      <c r="AH85" s="2138"/>
      <c r="AI85" s="1190"/>
      <c r="AJ85" s="2125"/>
      <c r="AK85" s="2126"/>
      <c r="AL85" s="2126"/>
      <c r="AM85" s="2126"/>
      <c r="AN85" s="2126"/>
      <c r="AO85" s="2126"/>
      <c r="AP85" s="2126"/>
      <c r="AQ85" s="2126"/>
      <c r="AR85" s="2126"/>
      <c r="AS85" s="2126"/>
      <c r="AT85" s="2126"/>
      <c r="AU85" s="2126"/>
      <c r="AV85" s="2126"/>
      <c r="AW85" s="2126"/>
      <c r="AX85" s="2126"/>
      <c r="AY85" s="2141"/>
      <c r="AZ85" s="2141"/>
      <c r="BA85" s="2141"/>
      <c r="BB85" s="2142"/>
      <c r="BC85" s="1190"/>
      <c r="BD85" s="1190"/>
      <c r="BE85" s="1194"/>
      <c r="CK85" s="1188"/>
      <c r="CL85" s="1188"/>
      <c r="CM85" s="1188"/>
      <c r="CN85" s="1188"/>
      <c r="CO85" s="1188"/>
      <c r="CP85" s="1188"/>
    </row>
    <row r="86" spans="1:94" ht="15.75" customHeight="1">
      <c r="A86" s="1190"/>
      <c r="B86" s="2133" t="s">
        <v>2368</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0"/>
      <c r="AJ86" s="2125"/>
      <c r="AK86" s="2126"/>
      <c r="AL86" s="2126"/>
      <c r="AM86" s="2126"/>
      <c r="AN86" s="2126"/>
      <c r="AO86" s="2126"/>
      <c r="AP86" s="2126"/>
      <c r="AQ86" s="2126"/>
      <c r="AR86" s="2126"/>
      <c r="AS86" s="2126"/>
      <c r="AT86" s="2126"/>
      <c r="AU86" s="2126"/>
      <c r="AV86" s="2126"/>
      <c r="AW86" s="2126"/>
      <c r="AX86" s="2126"/>
      <c r="AY86" s="2141"/>
      <c r="AZ86" s="2141"/>
      <c r="BA86" s="2141"/>
      <c r="BB86" s="2142"/>
      <c r="BC86" s="1190"/>
      <c r="BD86" s="1190"/>
      <c r="BE86" s="1194"/>
      <c r="CK86" s="1188"/>
      <c r="CL86" s="1188"/>
      <c r="CM86" s="1188"/>
      <c r="CN86" s="1188"/>
      <c r="CO86" s="1188"/>
      <c r="CP86" s="1188"/>
    </row>
    <row r="87" spans="1:94" ht="15.75" customHeight="1">
      <c r="A87" s="1190"/>
      <c r="B87" s="2133" t="s">
        <v>2367</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0"/>
      <c r="AJ87" s="2041" t="s">
        <v>2374</v>
      </c>
      <c r="AK87" s="2042"/>
      <c r="AL87" s="2042"/>
      <c r="AM87" s="2042"/>
      <c r="AN87" s="2042"/>
      <c r="AO87" s="2042"/>
      <c r="AP87" s="2042"/>
      <c r="AQ87" s="2042"/>
      <c r="AR87" s="2042"/>
      <c r="AS87" s="2042"/>
      <c r="AT87" s="2042"/>
      <c r="AU87" s="2042"/>
      <c r="AV87" s="2042"/>
      <c r="AW87" s="2042"/>
      <c r="AX87" s="2042"/>
      <c r="AY87" s="2042"/>
      <c r="AZ87" s="2042"/>
      <c r="BA87" s="2042"/>
      <c r="BB87" s="2043"/>
      <c r="BC87" s="1190"/>
      <c r="BD87" s="1190"/>
      <c r="BE87" s="1194"/>
      <c r="CK87" s="1188"/>
      <c r="CL87" s="1188"/>
      <c r="CM87" s="1188"/>
      <c r="CN87" s="1188"/>
      <c r="CO87" s="1188"/>
      <c r="CP87" s="1188"/>
    </row>
    <row r="88" spans="1:94" ht="15.75" customHeight="1" thickBot="1">
      <c r="A88" s="1190"/>
      <c r="B88" s="2131" t="s">
        <v>2366</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0"/>
      <c r="AJ88" s="2044"/>
      <c r="AK88" s="2045"/>
      <c r="AL88" s="2045"/>
      <c r="AM88" s="2045"/>
      <c r="AN88" s="2045"/>
      <c r="AO88" s="2045"/>
      <c r="AP88" s="2045"/>
      <c r="AQ88" s="2045"/>
      <c r="AR88" s="2045"/>
      <c r="AS88" s="2045"/>
      <c r="AT88" s="2045"/>
      <c r="AU88" s="2045"/>
      <c r="AV88" s="2045"/>
      <c r="AW88" s="2045"/>
      <c r="AX88" s="2045"/>
      <c r="AY88" s="2045"/>
      <c r="AZ88" s="2045"/>
      <c r="BA88" s="2045"/>
      <c r="BB88" s="204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3"/>
      <c r="G92" s="2144"/>
      <c r="H92" s="2144"/>
      <c r="I92" s="2144"/>
      <c r="J92" s="2144"/>
      <c r="K92" s="2144"/>
      <c r="L92" s="2144"/>
      <c r="M92" s="2144"/>
      <c r="N92" s="2144"/>
      <c r="O92" s="2144"/>
      <c r="P92" s="2144"/>
      <c r="Q92" s="2144"/>
      <c r="R92" s="2144"/>
      <c r="S92" s="2144"/>
      <c r="T92" s="214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6" t="s">
        <v>2378</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2" t="s">
        <v>2377</v>
      </c>
      <c r="C94" s="2153"/>
      <c r="D94" s="2153"/>
      <c r="E94" s="2153"/>
      <c r="F94" s="2153"/>
      <c r="G94" s="2153"/>
      <c r="H94" s="2153"/>
      <c r="I94" s="2153"/>
      <c r="J94" s="2153"/>
      <c r="K94" s="2153"/>
      <c r="L94" s="2153"/>
      <c r="M94" s="2153"/>
      <c r="N94" s="2153"/>
      <c r="O94" s="2153"/>
      <c r="P94" s="2153"/>
      <c r="Q94" s="2154"/>
      <c r="R94" s="2134" t="s">
        <v>2188</v>
      </c>
      <c r="S94" s="2135"/>
      <c r="T94" s="213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5" t="s">
        <v>2376</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0"/>
      <c r="AJ96" s="2122" t="s">
        <v>2375</v>
      </c>
      <c r="AK96" s="2123"/>
      <c r="AL96" s="2123"/>
      <c r="AM96" s="2123"/>
      <c r="AN96" s="2123"/>
      <c r="AO96" s="2123"/>
      <c r="AP96" s="2123"/>
      <c r="AQ96" s="2123"/>
      <c r="AR96" s="2123"/>
      <c r="AS96" s="2123"/>
      <c r="AT96" s="2123"/>
      <c r="AU96" s="2123"/>
      <c r="AV96" s="2123"/>
      <c r="AW96" s="2123"/>
      <c r="AX96" s="2123"/>
      <c r="AY96" s="2139" t="s">
        <v>545</v>
      </c>
      <c r="AZ96" s="2139"/>
      <c r="BA96" s="2139"/>
      <c r="BB96" s="2140"/>
      <c r="BC96" s="1190"/>
      <c r="BD96" s="1190"/>
      <c r="BE96" s="1194"/>
      <c r="BQ96" s="1256" t="str">
        <f>Application!M243&amp;IF(TRIM(Application!AA249)&lt;&gt;""," ("&amp;Application!AA249&amp;")","")</f>
        <v>Hearthstone /PWC JV, LLC  (Hearthstone Housing Foundation )</v>
      </c>
      <c r="BR96" s="1259">
        <f>Application!AH246</f>
        <v>1E-3</v>
      </c>
      <c r="CM96" s="1188"/>
      <c r="CN96" s="1188"/>
      <c r="CO96" s="1188"/>
      <c r="CP96" s="1188"/>
    </row>
    <row r="97" spans="1:94" ht="15.75" customHeight="1">
      <c r="A97" s="1190"/>
      <c r="B97" s="2133"/>
      <c r="C97" s="2101"/>
      <c r="D97" s="2101"/>
      <c r="E97" s="2101"/>
      <c r="F97" s="2101"/>
      <c r="G97" s="2101"/>
      <c r="H97" s="2101"/>
      <c r="I97" s="2101" t="s">
        <v>2370</v>
      </c>
      <c r="J97" s="2101"/>
      <c r="K97" s="2101"/>
      <c r="L97" s="2101"/>
      <c r="M97" s="2101"/>
      <c r="N97" s="2101"/>
      <c r="O97" s="2101" t="s">
        <v>2346</v>
      </c>
      <c r="P97" s="2101"/>
      <c r="Q97" s="2101"/>
      <c r="R97" s="2101"/>
      <c r="S97" s="2101"/>
      <c r="T97" s="2101"/>
      <c r="U97" s="2101"/>
      <c r="V97" s="2137" t="s">
        <v>2345</v>
      </c>
      <c r="W97" s="2137"/>
      <c r="X97" s="2137"/>
      <c r="Y97" s="2137"/>
      <c r="Z97" s="2137"/>
      <c r="AA97" s="2137"/>
      <c r="AB97" s="2071" t="s">
        <v>2369</v>
      </c>
      <c r="AC97" s="2071"/>
      <c r="AD97" s="2071"/>
      <c r="AE97" s="2071"/>
      <c r="AF97" s="2071"/>
      <c r="AG97" s="2071"/>
      <c r="AH97" s="2138"/>
      <c r="AI97" s="1190"/>
      <c r="AJ97" s="2125"/>
      <c r="AK97" s="2126"/>
      <c r="AL97" s="2126"/>
      <c r="AM97" s="2126"/>
      <c r="AN97" s="2126"/>
      <c r="AO97" s="2126"/>
      <c r="AP97" s="2126"/>
      <c r="AQ97" s="2126"/>
      <c r="AR97" s="2126"/>
      <c r="AS97" s="2126"/>
      <c r="AT97" s="2126"/>
      <c r="AU97" s="2126"/>
      <c r="AV97" s="2126"/>
      <c r="AW97" s="2126"/>
      <c r="AX97" s="2126"/>
      <c r="AY97" s="2141"/>
      <c r="AZ97" s="2141"/>
      <c r="BA97" s="2141"/>
      <c r="BB97" s="2142"/>
      <c r="BC97" s="1190"/>
      <c r="BD97" s="1190"/>
      <c r="BE97" s="1194"/>
      <c r="BQ97" s="1256" t="str">
        <f>Application!M251&amp;IF(TRIM(Application!AA257)&lt;&gt;""," ("&amp;Application!AA257&amp;")","")</f>
        <v>To-be-formed LLC  (Vintage Housing Holdings, LLC )</v>
      </c>
      <c r="BR97" s="1259">
        <f>Application!AH254</f>
        <v>8.9999999999999993E-3</v>
      </c>
      <c r="CM97" s="1188"/>
      <c r="CN97" s="1188"/>
      <c r="CO97" s="1188"/>
      <c r="CP97" s="1188"/>
    </row>
    <row r="98" spans="1:94" ht="15.75" customHeight="1">
      <c r="A98" s="1190"/>
      <c r="B98" s="2133"/>
      <c r="C98" s="2101"/>
      <c r="D98" s="2101"/>
      <c r="E98" s="2101"/>
      <c r="F98" s="2101"/>
      <c r="G98" s="2101"/>
      <c r="H98" s="2101"/>
      <c r="I98" s="2101"/>
      <c r="J98" s="2101"/>
      <c r="K98" s="2101"/>
      <c r="L98" s="2101"/>
      <c r="M98" s="2101"/>
      <c r="N98" s="2101"/>
      <c r="O98" s="2101"/>
      <c r="P98" s="2101"/>
      <c r="Q98" s="2101"/>
      <c r="R98" s="2101"/>
      <c r="S98" s="2101"/>
      <c r="T98" s="2101"/>
      <c r="U98" s="2101"/>
      <c r="V98" s="2137"/>
      <c r="W98" s="2137"/>
      <c r="X98" s="2137"/>
      <c r="Y98" s="2137"/>
      <c r="Z98" s="2137"/>
      <c r="AA98" s="2137"/>
      <c r="AB98" s="2071"/>
      <c r="AC98" s="2071"/>
      <c r="AD98" s="2071"/>
      <c r="AE98" s="2071"/>
      <c r="AF98" s="2071"/>
      <c r="AG98" s="2071"/>
      <c r="AH98" s="2138"/>
      <c r="AI98" s="1190"/>
      <c r="AJ98" s="2125"/>
      <c r="AK98" s="2126"/>
      <c r="AL98" s="2126"/>
      <c r="AM98" s="2126"/>
      <c r="AN98" s="2126"/>
      <c r="AO98" s="2126"/>
      <c r="AP98" s="2126"/>
      <c r="AQ98" s="2126"/>
      <c r="AR98" s="2126"/>
      <c r="AS98" s="2126"/>
      <c r="AT98" s="2126"/>
      <c r="AU98" s="2126"/>
      <c r="AV98" s="2126"/>
      <c r="AW98" s="2126"/>
      <c r="AX98" s="2126"/>
      <c r="AY98" s="2141"/>
      <c r="AZ98" s="2141"/>
      <c r="BA98" s="2141"/>
      <c r="BB98" s="214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3" t="s">
        <v>2368</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0"/>
      <c r="AJ99" s="2125"/>
      <c r="AK99" s="2126"/>
      <c r="AL99" s="2126"/>
      <c r="AM99" s="2126"/>
      <c r="AN99" s="2126"/>
      <c r="AO99" s="2126"/>
      <c r="AP99" s="2126"/>
      <c r="AQ99" s="2126"/>
      <c r="AR99" s="2126"/>
      <c r="AS99" s="2126"/>
      <c r="AT99" s="2126"/>
      <c r="AU99" s="2126"/>
      <c r="AV99" s="2126"/>
      <c r="AW99" s="2126"/>
      <c r="AX99" s="2126"/>
      <c r="AY99" s="2141"/>
      <c r="AZ99" s="2141"/>
      <c r="BA99" s="2141"/>
      <c r="BB99" s="2142"/>
      <c r="BC99" s="1190"/>
      <c r="BD99" s="1190"/>
      <c r="BE99" s="1194"/>
      <c r="CM99" s="1188"/>
      <c r="CN99" s="1188"/>
      <c r="CO99" s="1188"/>
      <c r="CP99" s="1188"/>
    </row>
    <row r="100" spans="1:94" ht="15.75" customHeight="1">
      <c r="A100" s="1190"/>
      <c r="B100" s="2133" t="s">
        <v>2367</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0"/>
      <c r="AJ100" s="2041" t="s">
        <v>2374</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0"/>
      <c r="BD100" s="1190"/>
      <c r="BE100" s="1194"/>
      <c r="CM100" s="1188"/>
      <c r="CN100" s="1188"/>
      <c r="CO100" s="1188"/>
      <c r="CP100" s="1188"/>
    </row>
    <row r="101" spans="1:94" ht="15.75" customHeight="1" thickBot="1">
      <c r="A101" s="1190"/>
      <c r="B101" s="2131" t="s">
        <v>2366</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0"/>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0"/>
      <c r="BD101" s="1190"/>
      <c r="BE101" s="1194"/>
      <c r="BQ101" s="1256" t="str">
        <f>Application!AA335</f>
        <v xml:space="preserve">FPI Management Corporation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5"/>
      <c r="G104" s="2096"/>
      <c r="H104" s="2096"/>
      <c r="I104" s="2096"/>
      <c r="J104" s="2096"/>
      <c r="K104" s="2096"/>
      <c r="L104" s="2096"/>
      <c r="M104" s="2096"/>
      <c r="N104" s="2096"/>
      <c r="O104" s="2096"/>
      <c r="P104" s="2096"/>
      <c r="Q104" s="2096"/>
      <c r="R104" s="209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4" t="str">
        <f>IFERROR(INDEX(BR96:BR98,MATCH(F104,$BQ$96:$BQ$98,0))/SUM($BR$96:$BR$98),"")</f>
        <v/>
      </c>
      <c r="P105" s="2135"/>
      <c r="Q105" s="2135"/>
      <c r="R105" s="213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4" t="s">
        <v>2371</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3"/>
      <c r="C108" s="2101"/>
      <c r="D108" s="2101"/>
      <c r="E108" s="2101"/>
      <c r="F108" s="2101"/>
      <c r="G108" s="2101"/>
      <c r="H108" s="2101"/>
      <c r="I108" s="2101" t="s">
        <v>2370</v>
      </c>
      <c r="J108" s="2101"/>
      <c r="K108" s="2101"/>
      <c r="L108" s="2101"/>
      <c r="M108" s="2101"/>
      <c r="N108" s="2101"/>
      <c r="O108" s="2101" t="s">
        <v>2346</v>
      </c>
      <c r="P108" s="2101"/>
      <c r="Q108" s="2101"/>
      <c r="R108" s="2101"/>
      <c r="S108" s="2101"/>
      <c r="T108" s="2101"/>
      <c r="U108" s="2101"/>
      <c r="V108" s="2137" t="s">
        <v>2345</v>
      </c>
      <c r="W108" s="2137"/>
      <c r="X108" s="2137"/>
      <c r="Y108" s="2137"/>
      <c r="Z108" s="2137"/>
      <c r="AA108" s="2137"/>
      <c r="AB108" s="2071" t="s">
        <v>2369</v>
      </c>
      <c r="AC108" s="2071"/>
      <c r="AD108" s="2071"/>
      <c r="AE108" s="2071"/>
      <c r="AF108" s="2071"/>
      <c r="AG108" s="2071"/>
      <c r="AH108" s="213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3"/>
      <c r="C109" s="2101"/>
      <c r="D109" s="2101"/>
      <c r="E109" s="2101"/>
      <c r="F109" s="2101"/>
      <c r="G109" s="2101"/>
      <c r="H109" s="2101"/>
      <c r="I109" s="2101"/>
      <c r="J109" s="2101"/>
      <c r="K109" s="2101"/>
      <c r="L109" s="2101"/>
      <c r="M109" s="2101"/>
      <c r="N109" s="2101"/>
      <c r="O109" s="2101"/>
      <c r="P109" s="2101"/>
      <c r="Q109" s="2101"/>
      <c r="R109" s="2101"/>
      <c r="S109" s="2101"/>
      <c r="T109" s="2101"/>
      <c r="U109" s="2101"/>
      <c r="V109" s="2137"/>
      <c r="W109" s="2137"/>
      <c r="X109" s="2137"/>
      <c r="Y109" s="2137"/>
      <c r="Z109" s="2137"/>
      <c r="AA109" s="2137"/>
      <c r="AB109" s="2071"/>
      <c r="AC109" s="2071"/>
      <c r="AD109" s="2071"/>
      <c r="AE109" s="2071"/>
      <c r="AF109" s="2071"/>
      <c r="AG109" s="2071"/>
      <c r="AH109" s="213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3" t="s">
        <v>2368</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3" t="s">
        <v>2367</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1" t="s">
        <v>2366</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5"/>
      <c r="G115" s="2096"/>
      <c r="H115" s="2096"/>
      <c r="I115" s="2096"/>
      <c r="J115" s="2096"/>
      <c r="K115" s="2096"/>
      <c r="L115" s="2096"/>
      <c r="M115" s="2096"/>
      <c r="N115" s="2096"/>
      <c r="O115" s="2096"/>
      <c r="P115" s="2096"/>
      <c r="Q115" s="2096"/>
      <c r="R115" s="209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6" t="s">
        <v>2364</v>
      </c>
      <c r="C117" s="2107"/>
      <c r="D117" s="2107"/>
      <c r="E117" s="2107"/>
      <c r="F117" s="2107"/>
      <c r="G117" s="2107"/>
      <c r="H117" s="2107"/>
      <c r="I117" s="2107"/>
      <c r="J117" s="2107"/>
      <c r="K117" s="2107"/>
      <c r="L117" s="2107"/>
      <c r="M117" s="2107"/>
      <c r="N117" s="2107"/>
      <c r="O117" s="2107"/>
      <c r="P117" s="2107"/>
      <c r="Q117" s="2107"/>
      <c r="R117" s="2107"/>
      <c r="S117" s="2107"/>
      <c r="T117" s="2107"/>
      <c r="U117" s="2110" t="s">
        <v>545</v>
      </c>
      <c r="V117" s="2110"/>
      <c r="W117" s="2110"/>
      <c r="X117" s="211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4" t="s">
        <v>2364</v>
      </c>
      <c r="C121" s="2115"/>
      <c r="D121" s="2115"/>
      <c r="E121" s="2115"/>
      <c r="F121" s="2115"/>
      <c r="G121" s="2115"/>
      <c r="H121" s="2115"/>
      <c r="I121" s="2115"/>
      <c r="J121" s="2115"/>
      <c r="K121" s="2115"/>
      <c r="L121" s="2115"/>
      <c r="M121" s="2115"/>
      <c r="N121" s="2115"/>
      <c r="O121" s="2115"/>
      <c r="P121" s="2115"/>
      <c r="Q121" s="2115"/>
      <c r="R121" s="2115"/>
      <c r="S121" s="2115"/>
      <c r="T121" s="2115"/>
      <c r="U121" s="2118" t="s">
        <v>545</v>
      </c>
      <c r="V121" s="2118"/>
      <c r="W121" s="2118"/>
      <c r="X121" s="211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2" t="s">
        <v>2362</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4"/>
    </row>
    <row r="126" spans="1:57" ht="15.75" customHeight="1">
      <c r="A126" s="1190"/>
      <c r="B126" s="2128" t="s">
        <v>1576</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4"/>
    </row>
    <row r="127" spans="1:57" ht="15.75" customHeight="1">
      <c r="A127" s="1190"/>
      <c r="B127" s="2038"/>
      <c r="C127" s="2039"/>
      <c r="D127" s="2039"/>
      <c r="E127" s="2039"/>
      <c r="F127" s="2039"/>
      <c r="G127" s="2039"/>
      <c r="H127" s="2039"/>
      <c r="I127" s="2101" t="s">
        <v>2361</v>
      </c>
      <c r="J127" s="2101"/>
      <c r="K127" s="2101"/>
      <c r="L127" s="2101"/>
      <c r="M127" s="2101"/>
      <c r="N127" s="2101"/>
      <c r="O127" s="2102" t="s">
        <v>2360</v>
      </c>
      <c r="P127" s="2102"/>
      <c r="Q127" s="2102"/>
      <c r="R127" s="2102"/>
      <c r="S127" s="2102"/>
      <c r="T127" s="2102"/>
      <c r="U127" s="2103"/>
      <c r="V127" s="1190"/>
      <c r="W127" s="1190"/>
      <c r="X127" s="2041" t="s">
        <v>2330</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4"/>
    </row>
    <row r="128" spans="1:57" ht="15.75" customHeight="1">
      <c r="A128" s="1190"/>
      <c r="B128" s="2072" t="s">
        <v>2344</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0"/>
      <c r="W128" s="1190"/>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4"/>
    </row>
    <row r="129" spans="1:57" ht="15.75" customHeight="1" thickBot="1">
      <c r="A129" s="1190"/>
      <c r="B129" s="2066" t="s">
        <v>2343</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0"/>
      <c r="W129" s="1190"/>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4"/>
    </row>
    <row r="133" spans="1:57" ht="15.75" customHeight="1">
      <c r="A133" s="1190"/>
      <c r="B133" s="2098" t="s">
        <v>2358</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0"/>
      <c r="W133" s="1190"/>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4"/>
    </row>
    <row r="134" spans="1:57" ht="15.75" customHeight="1">
      <c r="A134" s="1190"/>
      <c r="B134" s="2038"/>
      <c r="C134" s="2039"/>
      <c r="D134" s="2039"/>
      <c r="E134" s="2039"/>
      <c r="F134" s="2039"/>
      <c r="G134" s="2039"/>
      <c r="H134" s="2039"/>
      <c r="I134" s="2076" t="s">
        <v>2346</v>
      </c>
      <c r="J134" s="2076"/>
      <c r="K134" s="2076"/>
      <c r="L134" s="2076"/>
      <c r="M134" s="2076"/>
      <c r="N134" s="2076"/>
      <c r="O134" s="2076"/>
      <c r="P134" s="2076" t="s">
        <v>2345</v>
      </c>
      <c r="Q134" s="2076"/>
      <c r="R134" s="2076"/>
      <c r="S134" s="2076"/>
      <c r="T134" s="2076"/>
      <c r="U134" s="2077"/>
      <c r="V134" s="1190"/>
      <c r="W134" s="1190"/>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4"/>
    </row>
    <row r="135" spans="1:57" ht="15.75" customHeight="1">
      <c r="A135" s="1190"/>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0"/>
      <c r="W135" s="1190"/>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4"/>
    </row>
    <row r="136" spans="1:57" ht="15.75" customHeight="1">
      <c r="A136" s="1190"/>
      <c r="B136" s="2072" t="s">
        <v>2344</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0"/>
      <c r="W136" s="1190"/>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4"/>
    </row>
    <row r="137" spans="1:57" ht="15.75" customHeight="1" thickBot="1">
      <c r="A137" s="1190"/>
      <c r="B137" s="2066" t="s">
        <v>2343</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0"/>
      <c r="W137" s="1190"/>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3" t="s">
        <v>2357</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545</v>
      </c>
      <c r="AI139" s="2081"/>
      <c r="AJ139" s="2081"/>
      <c r="AK139" s="2081"/>
      <c r="AL139" s="2081"/>
      <c r="AM139" s="2081"/>
      <c r="AN139" s="2081"/>
      <c r="AO139" s="2081"/>
      <c r="AP139" s="2081"/>
      <c r="AQ139" s="2081"/>
      <c r="AR139" s="2081"/>
      <c r="AS139" s="2081"/>
      <c r="AT139" s="2081"/>
      <c r="AU139" s="2081"/>
      <c r="AV139" s="2081"/>
      <c r="AW139" s="2081"/>
      <c r="AX139" s="2082"/>
      <c r="AY139" s="1190"/>
      <c r="AZ139" s="1190"/>
      <c r="BA139" s="1190"/>
      <c r="BB139" s="1190"/>
      <c r="BC139" s="1190"/>
      <c r="BD139" s="1190"/>
      <c r="BE139" s="1194"/>
    </row>
    <row r="140" spans="1:57" ht="15.75" customHeight="1" thickBot="1">
      <c r="A140" s="1190"/>
      <c r="B140" s="2078" t="s">
        <v>2356</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0"/>
      <c r="AZ140" s="1190"/>
      <c r="BA140" s="1190"/>
      <c r="BB140" s="1190"/>
      <c r="BC140" s="1190"/>
      <c r="BD140" s="1190"/>
      <c r="BE140" s="1194"/>
    </row>
    <row r="141" spans="1:57" ht="15.75" customHeight="1">
      <c r="A141" s="1190"/>
      <c r="B141" s="2078" t="s">
        <v>2355</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545</v>
      </c>
      <c r="AI141" s="2081"/>
      <c r="AJ141" s="2081"/>
      <c r="AK141" s="2081"/>
      <c r="AL141" s="2081"/>
      <c r="AM141" s="2081"/>
      <c r="AN141" s="2081"/>
      <c r="AO141" s="2081"/>
      <c r="AP141" s="2081"/>
      <c r="AQ141" s="2081"/>
      <c r="AR141" s="2081"/>
      <c r="AS141" s="2081"/>
      <c r="AT141" s="2081"/>
      <c r="AU141" s="2081"/>
      <c r="AV141" s="2081"/>
      <c r="AW141" s="2081"/>
      <c r="AX141" s="2082"/>
      <c r="AY141" s="1190"/>
      <c r="AZ141" s="1190"/>
      <c r="BA141" s="1190"/>
      <c r="BB141" s="1190"/>
      <c r="BC141" s="1190"/>
      <c r="BD141" s="1190"/>
      <c r="BE141" s="1194"/>
    </row>
    <row r="142" spans="1:57" ht="15.75" customHeight="1">
      <c r="A142" s="1190"/>
      <c r="B142" s="2083" t="s">
        <v>2354</v>
      </c>
      <c r="C142" s="2084"/>
      <c r="D142" s="2084"/>
      <c r="E142" s="2084"/>
      <c r="F142" s="2084"/>
      <c r="G142" s="2084"/>
      <c r="H142" s="2084"/>
      <c r="I142" s="2084"/>
      <c r="J142" s="2084"/>
      <c r="K142" s="2084"/>
      <c r="L142" s="2084"/>
      <c r="M142" s="2084"/>
      <c r="N142" s="2084"/>
      <c r="O142" s="2084"/>
      <c r="P142" s="2084"/>
      <c r="Q142" s="2084"/>
      <c r="R142" s="2085" t="s">
        <v>2353</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0"/>
      <c r="AZ142" s="1190"/>
      <c r="BA142" s="1190"/>
      <c r="BB142" s="1190"/>
      <c r="BC142" s="1190" t="s">
        <v>250</v>
      </c>
      <c r="BD142" s="1190"/>
      <c r="BE142" s="1194"/>
    </row>
    <row r="143" spans="1:57" ht="15.75" customHeight="1">
      <c r="A143" s="1190"/>
      <c r="B143" s="2087" t="s">
        <v>2352</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0"/>
      <c r="AZ143" s="1190"/>
      <c r="BA143" s="1190"/>
      <c r="BB143" s="1190"/>
      <c r="BC143" s="1190"/>
      <c r="BD143" s="1190"/>
      <c r="BE143" s="1194"/>
    </row>
    <row r="144" spans="1:57" ht="15.75" customHeight="1">
      <c r="A144" s="1190"/>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0"/>
      <c r="AZ144" s="1190"/>
      <c r="BA144" s="1190"/>
      <c r="BB144" s="1190"/>
      <c r="BC144" s="1190"/>
      <c r="BD144" s="1190"/>
      <c r="BE144" s="1194"/>
    </row>
    <row r="145" spans="1:57" ht="15.75" customHeight="1">
      <c r="A145" s="1190"/>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0"/>
      <c r="AZ145" s="1190"/>
      <c r="BA145" s="1190"/>
      <c r="BB145" s="1190"/>
      <c r="BC145" s="1190"/>
      <c r="BD145" s="1190"/>
      <c r="BE145" s="1194"/>
    </row>
    <row r="146" spans="1:57" ht="15.75" customHeight="1">
      <c r="A146" s="1190"/>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0"/>
      <c r="AZ146" s="1190"/>
      <c r="BA146" s="1190"/>
      <c r="BB146" s="1190"/>
      <c r="BC146" s="1190"/>
      <c r="BD146" s="1190"/>
      <c r="BE146" s="1194"/>
    </row>
    <row r="147" spans="1:57" ht="15.75" customHeight="1">
      <c r="A147" s="1190"/>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0"/>
      <c r="AZ147" s="1190"/>
      <c r="BA147" s="1190"/>
      <c r="BB147" s="1190"/>
      <c r="BC147" s="1190"/>
      <c r="BD147" s="1190"/>
      <c r="BE147" s="1194"/>
    </row>
    <row r="148" spans="1:57" ht="15.75" customHeight="1">
      <c r="A148" s="1190"/>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0"/>
      <c r="AZ148" s="1190"/>
      <c r="BA148" s="1190"/>
      <c r="BB148" s="1190"/>
      <c r="BC148" s="1190"/>
      <c r="BD148" s="1190"/>
      <c r="BE148" s="1194"/>
    </row>
    <row r="149" spans="1:57" ht="15.75" customHeight="1">
      <c r="A149" s="1190"/>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0"/>
      <c r="AZ149" s="1190"/>
      <c r="BA149" s="1190"/>
      <c r="BB149" s="1190"/>
      <c r="BC149" s="1190"/>
      <c r="BD149" s="1190"/>
      <c r="BE149" s="1194"/>
    </row>
    <row r="150" spans="1:57" ht="15.75" customHeight="1">
      <c r="A150" s="1190"/>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0"/>
      <c r="AZ150" s="1190"/>
      <c r="BA150" s="1190"/>
      <c r="BB150" s="1190"/>
      <c r="BC150" s="1190"/>
      <c r="BD150" s="1190"/>
      <c r="BE150" s="1194"/>
    </row>
    <row r="151" spans="1:57" ht="15.75" customHeight="1">
      <c r="A151" s="1190"/>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0"/>
      <c r="AZ151" s="1190"/>
      <c r="BA151" s="1190"/>
      <c r="BB151" s="1190"/>
      <c r="BC151" s="1190"/>
      <c r="BD151" s="1190"/>
      <c r="BE151" s="1194"/>
    </row>
    <row r="152" spans="1:57" ht="15.75" customHeight="1" thickBot="1">
      <c r="A152" s="1190"/>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0" t="s">
        <v>2349</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0"/>
      <c r="W156" s="1192"/>
      <c r="X156" s="2070" t="s">
        <v>2348</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8"/>
      <c r="C157" s="2039"/>
      <c r="D157" s="2039"/>
      <c r="E157" s="2039"/>
      <c r="F157" s="2039"/>
      <c r="G157" s="2039"/>
      <c r="H157" s="2039"/>
      <c r="I157" s="2076" t="s">
        <v>2346</v>
      </c>
      <c r="J157" s="2076"/>
      <c r="K157" s="2076"/>
      <c r="L157" s="2076"/>
      <c r="M157" s="2076"/>
      <c r="N157" s="2076"/>
      <c r="O157" s="2076"/>
      <c r="P157" s="2076" t="s">
        <v>2347</v>
      </c>
      <c r="Q157" s="2076"/>
      <c r="R157" s="2076"/>
      <c r="S157" s="2076"/>
      <c r="T157" s="2076"/>
      <c r="U157" s="2077"/>
      <c r="V157" s="1190"/>
      <c r="W157" s="1190"/>
      <c r="X157" s="2038"/>
      <c r="Y157" s="2039"/>
      <c r="Z157" s="2039"/>
      <c r="AA157" s="2039"/>
      <c r="AB157" s="2039"/>
      <c r="AC157" s="2039"/>
      <c r="AD157" s="2039"/>
      <c r="AE157" s="2076" t="s">
        <v>2346</v>
      </c>
      <c r="AF157" s="2076"/>
      <c r="AG157" s="2076"/>
      <c r="AH157" s="2076"/>
      <c r="AI157" s="2076"/>
      <c r="AJ157" s="2076"/>
      <c r="AK157" s="2076"/>
      <c r="AL157" s="2076" t="s">
        <v>2345</v>
      </c>
      <c r="AM157" s="2076"/>
      <c r="AN157" s="2076"/>
      <c r="AO157" s="2076"/>
      <c r="AP157" s="2076"/>
      <c r="AQ157" s="2077"/>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0"/>
      <c r="W158" s="1190"/>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2" t="s">
        <v>2344</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0"/>
      <c r="W159" s="1190"/>
      <c r="X159" s="2066" t="s">
        <v>2344</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6" t="s">
        <v>2343</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0" t="s">
        <v>2342</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8" t="s">
        <v>2327</v>
      </c>
      <c r="D163" s="2039"/>
      <c r="E163" s="2039"/>
      <c r="F163" s="2039"/>
      <c r="G163" s="2039"/>
      <c r="H163" s="2039"/>
      <c r="I163" s="2039"/>
      <c r="J163" s="2039"/>
      <c r="K163" s="2039"/>
      <c r="L163" s="2039"/>
      <c r="M163" s="2039"/>
      <c r="N163" s="2039"/>
      <c r="O163" s="2039"/>
      <c r="P163" s="2039"/>
      <c r="Q163" s="2039" t="s">
        <v>2341</v>
      </c>
      <c r="R163" s="2039"/>
      <c r="S163" s="2039"/>
      <c r="T163" s="2071" t="s">
        <v>2340</v>
      </c>
      <c r="U163" s="2071"/>
      <c r="V163" s="2071"/>
      <c r="W163" s="2071"/>
      <c r="X163" s="2071"/>
      <c r="Y163" s="2071"/>
      <c r="Z163" s="2071"/>
      <c r="AA163" s="2071"/>
      <c r="AB163" s="2039" t="s">
        <v>2339</v>
      </c>
      <c r="AC163" s="2039"/>
      <c r="AD163" s="2039"/>
      <c r="AE163" s="2039"/>
      <c r="AF163" s="2039"/>
      <c r="AG163" s="204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3" t="s">
        <v>2338</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3" t="s">
        <v>2337</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3" t="s">
        <v>2336</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3" t="s">
        <v>2335</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3" t="s">
        <v>170</v>
      </c>
      <c r="D168" s="2054"/>
      <c r="E168" s="2054"/>
      <c r="F168" s="2055" t="s">
        <v>2316</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3" t="s">
        <v>170</v>
      </c>
      <c r="D169" s="2054"/>
      <c r="E169" s="2054"/>
      <c r="F169" s="2055" t="s">
        <v>2316</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9" t="s">
        <v>170</v>
      </c>
      <c r="D170" s="2060"/>
      <c r="E170" s="2060"/>
      <c r="F170" s="2061" t="s">
        <v>2316</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4" t="s">
        <v>2334</v>
      </c>
      <c r="D172" s="2025"/>
      <c r="E172" s="2025"/>
      <c r="F172" s="2025"/>
      <c r="G172" s="2025"/>
      <c r="H172" s="2025"/>
      <c r="I172" s="2025"/>
      <c r="J172" s="2025"/>
      <c r="K172" s="2025"/>
      <c r="L172" s="2025"/>
      <c r="M172" s="2025"/>
      <c r="N172" s="2034"/>
      <c r="O172" s="1190"/>
      <c r="P172" s="2035" t="s">
        <v>2333</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8" t="s">
        <v>2332</v>
      </c>
      <c r="D173" s="2039"/>
      <c r="E173" s="2039"/>
      <c r="F173" s="2039"/>
      <c r="G173" s="2039"/>
      <c r="H173" s="2039"/>
      <c r="I173" s="2039" t="s">
        <v>2331</v>
      </c>
      <c r="J173" s="2039"/>
      <c r="K173" s="2039"/>
      <c r="L173" s="2039"/>
      <c r="M173" s="2039"/>
      <c r="N173" s="2040"/>
      <c r="O173" s="1190"/>
      <c r="P173" s="2041" t="s">
        <v>2330</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6"/>
      <c r="D174" s="1987"/>
      <c r="E174" s="1987"/>
      <c r="F174" s="1987"/>
      <c r="G174" s="1987"/>
      <c r="H174" s="1987"/>
      <c r="I174" s="2047"/>
      <c r="J174" s="2047"/>
      <c r="K174" s="2047"/>
      <c r="L174" s="2047"/>
      <c r="M174" s="2047"/>
      <c r="N174" s="2048"/>
      <c r="O174" s="1190"/>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6"/>
      <c r="D175" s="1987"/>
      <c r="E175" s="1987"/>
      <c r="F175" s="1987"/>
      <c r="G175" s="1987"/>
      <c r="H175" s="1987"/>
      <c r="I175" s="2047"/>
      <c r="J175" s="2047"/>
      <c r="K175" s="2047"/>
      <c r="L175" s="2047"/>
      <c r="M175" s="2047"/>
      <c r="N175" s="2048"/>
      <c r="O175" s="1190"/>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6"/>
      <c r="D176" s="1987"/>
      <c r="E176" s="1987"/>
      <c r="F176" s="1987"/>
      <c r="G176" s="1987"/>
      <c r="H176" s="1987"/>
      <c r="I176" s="2047"/>
      <c r="J176" s="2047"/>
      <c r="K176" s="2047"/>
      <c r="L176" s="2047"/>
      <c r="M176" s="2047"/>
      <c r="N176" s="2048"/>
      <c r="O176" s="1190"/>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6"/>
      <c r="D177" s="1987"/>
      <c r="E177" s="1987"/>
      <c r="F177" s="1987"/>
      <c r="G177" s="1987"/>
      <c r="H177" s="1987"/>
      <c r="I177" s="2047"/>
      <c r="J177" s="2047"/>
      <c r="K177" s="2047"/>
      <c r="L177" s="2047"/>
      <c r="M177" s="2047"/>
      <c r="N177" s="2048"/>
      <c r="O177" s="1190"/>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6"/>
      <c r="D178" s="1987"/>
      <c r="E178" s="1987"/>
      <c r="F178" s="1987"/>
      <c r="G178" s="1987"/>
      <c r="H178" s="1987"/>
      <c r="I178" s="2047"/>
      <c r="J178" s="2047"/>
      <c r="K178" s="2047"/>
      <c r="L178" s="2047"/>
      <c r="M178" s="2047"/>
      <c r="N178" s="2048"/>
      <c r="O178" s="1190"/>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6"/>
      <c r="D179" s="1987"/>
      <c r="E179" s="1987"/>
      <c r="F179" s="1987"/>
      <c r="G179" s="1987"/>
      <c r="H179" s="1987"/>
      <c r="I179" s="2047"/>
      <c r="J179" s="2047"/>
      <c r="K179" s="2047"/>
      <c r="L179" s="2047"/>
      <c r="M179" s="2047"/>
      <c r="N179" s="2048"/>
      <c r="O179" s="1190"/>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9"/>
      <c r="D180" s="2050"/>
      <c r="E180" s="2050"/>
      <c r="F180" s="2050"/>
      <c r="G180" s="2050"/>
      <c r="H180" s="2050"/>
      <c r="I180" s="2051"/>
      <c r="J180" s="2051"/>
      <c r="K180" s="2051"/>
      <c r="L180" s="2051"/>
      <c r="M180" s="2051"/>
      <c r="N180" s="2052"/>
      <c r="O180" s="1190"/>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5" t="s">
        <v>2329</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0"/>
      <c r="AG182" s="1190"/>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0"/>
      <c r="B183" s="1190"/>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0"/>
      <c r="AG183" s="1190"/>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0"/>
      <c r="B184" s="1190"/>
      <c r="C184" s="2024" t="s">
        <v>2327</v>
      </c>
      <c r="D184" s="2025"/>
      <c r="E184" s="2025"/>
      <c r="F184" s="2025"/>
      <c r="G184" s="2025"/>
      <c r="H184" s="2025"/>
      <c r="I184" s="2025"/>
      <c r="J184" s="2025"/>
      <c r="K184" s="2025"/>
      <c r="L184" s="2025"/>
      <c r="M184" s="2025"/>
      <c r="N184" s="2025" t="s">
        <v>2328</v>
      </c>
      <c r="O184" s="2025"/>
      <c r="P184" s="2025"/>
      <c r="Q184" s="2025"/>
      <c r="R184" s="2025"/>
      <c r="S184" s="2025"/>
      <c r="T184" s="2025"/>
      <c r="U184" s="2026" t="s">
        <v>2327</v>
      </c>
      <c r="V184" s="2026"/>
      <c r="W184" s="2026"/>
      <c r="X184" s="2026"/>
      <c r="Y184" s="2026"/>
      <c r="Z184" s="2026"/>
      <c r="AA184" s="2026"/>
      <c r="AB184" s="2026"/>
      <c r="AC184" s="2026"/>
      <c r="AD184" s="2026"/>
      <c r="AE184" s="2027"/>
      <c r="AF184" s="1190"/>
      <c r="AG184" s="1190"/>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0"/>
      <c r="B185" s="1190"/>
      <c r="C185" s="2003" t="s">
        <v>2326</v>
      </c>
      <c r="D185" s="2004"/>
      <c r="E185" s="2004"/>
      <c r="F185" s="2004"/>
      <c r="G185" s="2004"/>
      <c r="H185" s="2004"/>
      <c r="I185" s="2004"/>
      <c r="J185" s="2004"/>
      <c r="K185" s="2004"/>
      <c r="L185" s="2004"/>
      <c r="M185" s="2004"/>
      <c r="N185" s="2014">
        <f>'Sources and Uses Budget'!B105</f>
        <v>62718457</v>
      </c>
      <c r="O185" s="2014"/>
      <c r="P185" s="2014"/>
      <c r="Q185" s="2014"/>
      <c r="R185" s="2014"/>
      <c r="S185" s="2014"/>
      <c r="T185" s="2014"/>
      <c r="U185" s="2028"/>
      <c r="V185" s="2028"/>
      <c r="W185" s="2028"/>
      <c r="X185" s="2028"/>
      <c r="Y185" s="2028"/>
      <c r="Z185" s="2028"/>
      <c r="AA185" s="2028"/>
      <c r="AB185" s="2028"/>
      <c r="AC185" s="2028"/>
      <c r="AD185" s="2028"/>
      <c r="AE185" s="2029"/>
      <c r="AF185" s="1190"/>
      <c r="AG185" s="1190"/>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0"/>
      <c r="B186" s="1190"/>
      <c r="C186" s="2003" t="s">
        <v>2325</v>
      </c>
      <c r="D186" s="2004"/>
      <c r="E186" s="2004"/>
      <c r="F186" s="2004"/>
      <c r="G186" s="2004"/>
      <c r="H186" s="2004"/>
      <c r="I186" s="2004"/>
      <c r="J186" s="2004"/>
      <c r="K186" s="2004"/>
      <c r="L186" s="2004"/>
      <c r="M186" s="2004"/>
      <c r="N186" s="2014">
        <f>N185/J29</f>
        <v>282515.57207207207</v>
      </c>
      <c r="O186" s="2014"/>
      <c r="P186" s="2014"/>
      <c r="Q186" s="2014"/>
      <c r="R186" s="2014"/>
      <c r="S186" s="2014"/>
      <c r="T186" s="2014"/>
      <c r="U186" s="1228"/>
      <c r="V186" s="1228"/>
      <c r="W186" s="1228"/>
      <c r="X186" s="1228"/>
      <c r="Y186" s="1228"/>
      <c r="Z186" s="1228"/>
      <c r="AA186" s="1228"/>
      <c r="AB186" s="1228"/>
      <c r="AC186" s="1228"/>
      <c r="AD186" s="1228"/>
      <c r="AE186" s="1229"/>
      <c r="AF186" s="1190"/>
      <c r="AG186" s="1190"/>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0"/>
      <c r="B187" s="1190"/>
      <c r="C187" s="2030" t="s">
        <v>2324</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0"/>
      <c r="AG187" s="1190"/>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0"/>
      <c r="B188" s="1190"/>
      <c r="C188" s="2003" t="s">
        <v>2323</v>
      </c>
      <c r="D188" s="2004"/>
      <c r="E188" s="2004"/>
      <c r="F188" s="2004"/>
      <c r="G188" s="2004"/>
      <c r="H188" s="2004"/>
      <c r="I188" s="2004"/>
      <c r="J188" s="2004"/>
      <c r="K188" s="2004"/>
      <c r="L188" s="2004"/>
      <c r="M188" s="2004"/>
      <c r="N188" s="2033">
        <f>SUM('Sources and Uses Budget'!B85:B86)</f>
        <v>100000</v>
      </c>
      <c r="O188" s="2033"/>
      <c r="P188" s="2033"/>
      <c r="Q188" s="2033"/>
      <c r="R188" s="2033"/>
      <c r="S188" s="2033"/>
      <c r="T188" s="2033"/>
      <c r="U188" s="1990"/>
      <c r="V188" s="1990"/>
      <c r="W188" s="1990"/>
      <c r="X188" s="1990"/>
      <c r="Y188" s="1990"/>
      <c r="Z188" s="1990"/>
      <c r="AA188" s="1990"/>
      <c r="AB188" s="1990"/>
      <c r="AC188" s="1990"/>
      <c r="AD188" s="1990"/>
      <c r="AE188" s="1991"/>
      <c r="AF188" s="1190"/>
      <c r="AG188" s="1190"/>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0"/>
      <c r="B189" s="1190"/>
      <c r="C189" s="2003" t="s">
        <v>2322</v>
      </c>
      <c r="D189" s="2004"/>
      <c r="E189" s="2004"/>
      <c r="F189" s="2004"/>
      <c r="G189" s="2004"/>
      <c r="H189" s="2004"/>
      <c r="I189" s="2004"/>
      <c r="J189" s="2004"/>
      <c r="K189" s="2004"/>
      <c r="L189" s="2004"/>
      <c r="M189" s="2004"/>
      <c r="N189" s="2033">
        <f>'Sources and Uses Budget'!B8</f>
        <v>3000000</v>
      </c>
      <c r="O189" s="2033"/>
      <c r="P189" s="2033"/>
      <c r="Q189" s="2033"/>
      <c r="R189" s="2033"/>
      <c r="S189" s="2033"/>
      <c r="T189" s="2033"/>
      <c r="U189" s="1990"/>
      <c r="V189" s="1990"/>
      <c r="W189" s="1990"/>
      <c r="X189" s="1990"/>
      <c r="Y189" s="1990"/>
      <c r="Z189" s="1990"/>
      <c r="AA189" s="1990"/>
      <c r="AB189" s="1990"/>
      <c r="AC189" s="1990"/>
      <c r="AD189" s="1990"/>
      <c r="AE189" s="1991"/>
      <c r="AF189" s="1190"/>
      <c r="AG189" s="1190"/>
      <c r="AH189" s="2000" t="s">
        <v>2320</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0"/>
      <c r="B190" s="1190"/>
      <c r="C190" s="2003" t="s">
        <v>2321</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0"/>
      <c r="AG190" s="1190"/>
      <c r="AH190" s="2005" t="s">
        <v>2320</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0"/>
      <c r="B191" s="1190"/>
      <c r="C191" s="2003" t="s">
        <v>2319</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0"/>
      <c r="AG191" s="1190"/>
      <c r="AH191" s="2021" t="s">
        <v>2318</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0"/>
      <c r="B192" s="1190"/>
      <c r="C192" s="1995" t="s">
        <v>300</v>
      </c>
      <c r="D192" s="1996"/>
      <c r="E192" s="1988" t="s">
        <v>2316</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0"/>
      <c r="AG192" s="1190"/>
      <c r="AH192" s="1997" t="s">
        <v>2317</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0"/>
      <c r="B193" s="1190"/>
      <c r="C193" s="1986" t="s">
        <v>300</v>
      </c>
      <c r="D193" s="1987"/>
      <c r="E193" s="1988" t="s">
        <v>2316</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2"/>
      <c r="BD193" s="1993"/>
      <c r="BE193" s="1994"/>
    </row>
    <row r="194" spans="1:57" ht="15.75" customHeight="1" thickBot="1">
      <c r="A194" s="1190"/>
      <c r="B194" s="1190"/>
      <c r="C194" s="1974" t="s">
        <v>300</v>
      </c>
      <c r="D194" s="1975"/>
      <c r="E194" s="1976" t="s">
        <v>2316</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0"/>
      <c r="AG194" s="1190"/>
      <c r="AH194" s="1983" t="s">
        <v>2315</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1"/>
      <c r="BD194" s="1171"/>
      <c r="BE194" s="1232"/>
    </row>
    <row r="195" spans="1:57" ht="15.75" customHeight="1">
      <c r="A195" s="1190"/>
      <c r="B195" s="1190"/>
      <c r="C195" s="1957" t="s">
        <v>2314</v>
      </c>
      <c r="D195" s="1958"/>
      <c r="E195" s="1958"/>
      <c r="F195" s="1958"/>
      <c r="G195" s="1958"/>
      <c r="H195" s="1958"/>
      <c r="I195" s="1958"/>
      <c r="J195" s="1958"/>
      <c r="K195" s="1958"/>
      <c r="L195" s="1958"/>
      <c r="M195" s="1958"/>
      <c r="N195" s="1959">
        <f>SUM(N187:T194)</f>
        <v>3100000</v>
      </c>
      <c r="O195" s="1959"/>
      <c r="P195" s="1959"/>
      <c r="Q195" s="1959"/>
      <c r="R195" s="1959"/>
      <c r="S195" s="1959"/>
      <c r="T195" s="1960"/>
      <c r="U195" s="1190"/>
      <c r="V195" s="1190"/>
      <c r="W195" s="1190"/>
      <c r="X195" s="1190"/>
      <c r="Y195" s="1190"/>
      <c r="Z195" s="1190"/>
      <c r="AA195" s="1190"/>
      <c r="AB195" s="1190"/>
      <c r="AC195" s="1190"/>
      <c r="AD195" s="1190"/>
      <c r="AE195" s="1190"/>
      <c r="AF195" s="1190"/>
      <c r="AG195" s="1190"/>
      <c r="AH195" s="1961" t="s">
        <v>2313</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0"/>
      <c r="B196" s="1190"/>
      <c r="C196" s="1967" t="s">
        <v>2312</v>
      </c>
      <c r="D196" s="1968"/>
      <c r="E196" s="1968"/>
      <c r="F196" s="1968"/>
      <c r="G196" s="1968"/>
      <c r="H196" s="1968"/>
      <c r="I196" s="1968"/>
      <c r="J196" s="1968"/>
      <c r="K196" s="1968"/>
      <c r="L196" s="1968"/>
      <c r="M196" s="1968"/>
      <c r="N196" s="1969">
        <f>(N185-N195)/J29</f>
        <v>268551.60810810811</v>
      </c>
      <c r="O196" s="1970"/>
      <c r="P196" s="1970"/>
      <c r="Q196" s="1970"/>
      <c r="R196" s="1970"/>
      <c r="S196" s="1970"/>
      <c r="T196" s="1971"/>
      <c r="U196" s="1195"/>
      <c r="V196" s="1190"/>
      <c r="W196" s="1190"/>
      <c r="X196" s="1190"/>
      <c r="Y196" s="1190"/>
      <c r="Z196" s="1190"/>
      <c r="AA196" s="1190"/>
      <c r="AB196" s="1190"/>
      <c r="AC196" s="1190"/>
      <c r="AD196" s="1190"/>
      <c r="AE196" s="1190"/>
      <c r="AF196" s="1190"/>
      <c r="AG196" s="1190"/>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2" t="s">
        <v>2311</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5" t="s">
        <v>2310</v>
      </c>
      <c r="D200" s="1955"/>
      <c r="E200" s="1955"/>
      <c r="F200" s="1955"/>
      <c r="G200" s="1955"/>
      <c r="H200" s="1955"/>
      <c r="I200" s="1955"/>
      <c r="J200" s="1955"/>
      <c r="K200" s="1955"/>
      <c r="L200" s="1955"/>
      <c r="M200" s="1955"/>
      <c r="N200" s="1955"/>
      <c r="O200" s="1956" t="s">
        <v>2309</v>
      </c>
      <c r="P200" s="1956"/>
      <c r="Q200" s="1956"/>
      <c r="R200" s="1956"/>
      <c r="S200" s="1956"/>
      <c r="T200" s="1956"/>
      <c r="U200" s="1956"/>
      <c r="V200" s="1956"/>
      <c r="W200" s="1956"/>
      <c r="X200" s="1956" t="s">
        <v>2308</v>
      </c>
      <c r="Y200" s="1956"/>
      <c r="Z200" s="1956"/>
      <c r="AA200" s="1956"/>
      <c r="AB200" s="1956"/>
      <c r="AC200" s="1956"/>
      <c r="AD200" s="1956"/>
      <c r="AE200" s="19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7" t="s">
        <v>2307</v>
      </c>
      <c r="D201" s="1947"/>
      <c r="E201" s="1947"/>
      <c r="F201" s="1947"/>
      <c r="G201" s="1947"/>
      <c r="H201" s="1947"/>
      <c r="I201" s="1947"/>
      <c r="J201" s="1947"/>
      <c r="K201" s="1947"/>
      <c r="L201" s="1947"/>
      <c r="M201" s="1947"/>
      <c r="N201" s="1947"/>
      <c r="O201" s="1948" t="s">
        <v>2306</v>
      </c>
      <c r="P201" s="1948"/>
      <c r="Q201" s="1948"/>
      <c r="R201" s="1948"/>
      <c r="S201" s="1948"/>
      <c r="T201" s="1948"/>
      <c r="U201" s="1948"/>
      <c r="V201" s="1948"/>
      <c r="W201" s="1948"/>
      <c r="X201" s="1949">
        <v>0.03</v>
      </c>
      <c r="Y201" s="1949"/>
      <c r="Z201" s="1949"/>
      <c r="AA201" s="1949"/>
      <c r="AB201" s="1949"/>
      <c r="AC201" s="1949"/>
      <c r="AD201" s="1949"/>
      <c r="AE201" s="19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7" t="s">
        <v>854</v>
      </c>
      <c r="D202" s="1947"/>
      <c r="E202" s="1947"/>
      <c r="F202" s="1947"/>
      <c r="G202" s="1947"/>
      <c r="H202" s="1947"/>
      <c r="I202" s="1947"/>
      <c r="J202" s="1947"/>
      <c r="K202" s="1947"/>
      <c r="L202" s="1947"/>
      <c r="M202" s="1947"/>
      <c r="N202" s="1947"/>
      <c r="O202" s="1948" t="s">
        <v>2306</v>
      </c>
      <c r="P202" s="1948"/>
      <c r="Q202" s="1948"/>
      <c r="R202" s="1948"/>
      <c r="S202" s="1948"/>
      <c r="T202" s="1948"/>
      <c r="U202" s="1948"/>
      <c r="V202" s="1948"/>
      <c r="W202" s="1948"/>
      <c r="X202" s="1949">
        <v>0.03</v>
      </c>
      <c r="Y202" s="1949"/>
      <c r="Z202" s="1949"/>
      <c r="AA202" s="1949"/>
      <c r="AB202" s="1949"/>
      <c r="AC202" s="1949"/>
      <c r="AD202" s="1949"/>
      <c r="AE202" s="19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7" t="s">
        <v>2305</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2304</v>
      </c>
      <c r="Y203" s="1951"/>
      <c r="Z203" s="1951"/>
      <c r="AA203" s="1951"/>
      <c r="AB203" s="1951"/>
      <c r="AC203" s="1951"/>
      <c r="AD203" s="1951"/>
      <c r="AE203" s="19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1" t="s">
        <v>2303</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2" t="s">
        <v>2302</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5" t="s">
        <v>2301</v>
      </c>
      <c r="D207" s="1926"/>
      <c r="E207" s="1926"/>
      <c r="F207" s="1927"/>
      <c r="G207" s="1931" t="s">
        <v>2300</v>
      </c>
      <c r="H207" s="1926"/>
      <c r="I207" s="1926"/>
      <c r="J207" s="1926"/>
      <c r="K207" s="1926"/>
      <c r="L207" s="1926"/>
      <c r="M207" s="1926"/>
      <c r="N207" s="1926"/>
      <c r="O207" s="1927"/>
      <c r="P207" s="1933" t="s">
        <v>2299</v>
      </c>
      <c r="Q207" s="1934"/>
      <c r="R207" s="1934"/>
      <c r="S207" s="1934"/>
      <c r="T207" s="1935"/>
      <c r="U207" s="1939" t="s">
        <v>2298</v>
      </c>
      <c r="V207" s="1940"/>
      <c r="W207" s="1940"/>
      <c r="X207" s="1941"/>
      <c r="Y207" s="1939" t="s">
        <v>2297</v>
      </c>
      <c r="Z207" s="1940"/>
      <c r="AA207" s="1940"/>
      <c r="AB207" s="1941"/>
      <c r="AC207" s="1939" t="s">
        <v>2296</v>
      </c>
      <c r="AD207" s="1940"/>
      <c r="AE207" s="1940"/>
      <c r="AF207" s="1941"/>
      <c r="AG207" s="1931" t="s">
        <v>2295</v>
      </c>
      <c r="AH207" s="1926"/>
      <c r="AI207" s="1926"/>
      <c r="AJ207" s="1926"/>
      <c r="AK207" s="194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4">
        <v>1</v>
      </c>
      <c r="D209" s="1915"/>
      <c r="E209" s="1915"/>
      <c r="F209" s="1915"/>
      <c r="G209" s="1916" t="s">
        <v>1884</v>
      </c>
      <c r="H209" s="1916"/>
      <c r="I209" s="1916"/>
      <c r="J209" s="1916"/>
      <c r="K209" s="1916"/>
      <c r="L209" s="1916"/>
      <c r="M209" s="1916"/>
      <c r="N209" s="1916"/>
      <c r="O209" s="1916"/>
      <c r="P209" s="1917"/>
      <c r="Q209" s="1920"/>
      <c r="R209" s="1920"/>
      <c r="S209" s="1920"/>
      <c r="T209" s="1920"/>
      <c r="U209" s="1918" t="s">
        <v>1884</v>
      </c>
      <c r="V209" s="1918"/>
      <c r="W209" s="1918"/>
      <c r="X209" s="1918"/>
      <c r="Y209" s="1918" t="s">
        <v>1884</v>
      </c>
      <c r="Z209" s="1918"/>
      <c r="AA209" s="1918"/>
      <c r="AB209" s="1918"/>
      <c r="AC209" s="1919" t="s">
        <v>1884</v>
      </c>
      <c r="AD209" s="1919"/>
      <c r="AE209" s="1919"/>
      <c r="AF209" s="1919"/>
      <c r="AG209" s="1903"/>
      <c r="AH209" s="1904"/>
      <c r="AI209" s="1904"/>
      <c r="AJ209" s="1904"/>
      <c r="AK209" s="190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4">
        <v>2</v>
      </c>
      <c r="D210" s="1915"/>
      <c r="E210" s="1915"/>
      <c r="F210" s="1915"/>
      <c r="G210" s="1916" t="s">
        <v>1884</v>
      </c>
      <c r="H210" s="1916"/>
      <c r="I210" s="1916"/>
      <c r="J210" s="1916"/>
      <c r="K210" s="1916"/>
      <c r="L210" s="1916"/>
      <c r="M210" s="1916"/>
      <c r="N210" s="1916"/>
      <c r="O210" s="1916"/>
      <c r="P210" s="1917"/>
      <c r="Q210" s="1917"/>
      <c r="R210" s="1917"/>
      <c r="S210" s="1917"/>
      <c r="T210" s="1917"/>
      <c r="U210" s="1918" t="s">
        <v>1884</v>
      </c>
      <c r="V210" s="1918"/>
      <c r="W210" s="1918"/>
      <c r="X210" s="1918"/>
      <c r="Y210" s="1918" t="s">
        <v>1884</v>
      </c>
      <c r="Z210" s="1918"/>
      <c r="AA210" s="1918"/>
      <c r="AB210" s="1918"/>
      <c r="AC210" s="1919" t="s">
        <v>1884</v>
      </c>
      <c r="AD210" s="1919"/>
      <c r="AE210" s="1919"/>
      <c r="AF210" s="1919"/>
      <c r="AG210" s="1903"/>
      <c r="AH210" s="1904"/>
      <c r="AI210" s="1904"/>
      <c r="AJ210" s="1904"/>
      <c r="AK210" s="190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4">
        <v>3</v>
      </c>
      <c r="D211" s="1915"/>
      <c r="E211" s="1915"/>
      <c r="F211" s="1915"/>
      <c r="G211" s="1916" t="s">
        <v>1884</v>
      </c>
      <c r="H211" s="1916"/>
      <c r="I211" s="1916"/>
      <c r="J211" s="1916"/>
      <c r="K211" s="1916"/>
      <c r="L211" s="1916"/>
      <c r="M211" s="1916"/>
      <c r="N211" s="1916"/>
      <c r="O211" s="1916"/>
      <c r="P211" s="1917"/>
      <c r="Q211" s="1917"/>
      <c r="R211" s="1917"/>
      <c r="S211" s="1917"/>
      <c r="T211" s="1917"/>
      <c r="U211" s="1918" t="s">
        <v>1884</v>
      </c>
      <c r="V211" s="1918"/>
      <c r="W211" s="1918"/>
      <c r="X211" s="1918"/>
      <c r="Y211" s="1918" t="s">
        <v>1884</v>
      </c>
      <c r="Z211" s="1918"/>
      <c r="AA211" s="1918"/>
      <c r="AB211" s="1918"/>
      <c r="AC211" s="1919" t="s">
        <v>1884</v>
      </c>
      <c r="AD211" s="1919"/>
      <c r="AE211" s="1919"/>
      <c r="AF211" s="1919"/>
      <c r="AG211" s="1903"/>
      <c r="AH211" s="1904"/>
      <c r="AI211" s="1904"/>
      <c r="AJ211" s="1904"/>
      <c r="AK211" s="190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4">
        <v>4</v>
      </c>
      <c r="D212" s="1915"/>
      <c r="E212" s="1915"/>
      <c r="F212" s="1915"/>
      <c r="G212" s="1916" t="s">
        <v>1884</v>
      </c>
      <c r="H212" s="1916"/>
      <c r="I212" s="1916"/>
      <c r="J212" s="1916"/>
      <c r="K212" s="1916"/>
      <c r="L212" s="1916"/>
      <c r="M212" s="1916"/>
      <c r="N212" s="1916"/>
      <c r="O212" s="1916"/>
      <c r="P212" s="1917"/>
      <c r="Q212" s="1917"/>
      <c r="R212" s="1917"/>
      <c r="S212" s="1917"/>
      <c r="T212" s="1917"/>
      <c r="U212" s="1918" t="s">
        <v>1884</v>
      </c>
      <c r="V212" s="1918"/>
      <c r="W212" s="1918"/>
      <c r="X212" s="1918"/>
      <c r="Y212" s="1918" t="s">
        <v>1884</v>
      </c>
      <c r="Z212" s="1918"/>
      <c r="AA212" s="1918"/>
      <c r="AB212" s="1918"/>
      <c r="AC212" s="1919" t="s">
        <v>1884</v>
      </c>
      <c r="AD212" s="1919"/>
      <c r="AE212" s="1919"/>
      <c r="AF212" s="1919"/>
      <c r="AG212" s="1903"/>
      <c r="AH212" s="1904"/>
      <c r="AI212" s="1904"/>
      <c r="AJ212" s="1904"/>
      <c r="AK212" s="190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4">
        <v>5</v>
      </c>
      <c r="D213" s="1915"/>
      <c r="E213" s="1915"/>
      <c r="F213" s="1915"/>
      <c r="G213" s="1916" t="s">
        <v>1884</v>
      </c>
      <c r="H213" s="1916"/>
      <c r="I213" s="1916"/>
      <c r="J213" s="1916"/>
      <c r="K213" s="1916"/>
      <c r="L213" s="1916"/>
      <c r="M213" s="1916"/>
      <c r="N213" s="1916"/>
      <c r="O213" s="1916"/>
      <c r="P213" s="1917"/>
      <c r="Q213" s="1917"/>
      <c r="R213" s="1917"/>
      <c r="S213" s="1917"/>
      <c r="T213" s="1917"/>
      <c r="U213" s="1918" t="s">
        <v>1884</v>
      </c>
      <c r="V213" s="1918"/>
      <c r="W213" s="1918"/>
      <c r="X213" s="1918"/>
      <c r="Y213" s="1918" t="s">
        <v>1884</v>
      </c>
      <c r="Z213" s="1918"/>
      <c r="AA213" s="1918"/>
      <c r="AB213" s="1918"/>
      <c r="AC213" s="1919" t="s">
        <v>1884</v>
      </c>
      <c r="AD213" s="1919"/>
      <c r="AE213" s="1919"/>
      <c r="AF213" s="1919"/>
      <c r="AG213" s="1903"/>
      <c r="AH213" s="1904"/>
      <c r="AI213" s="1904"/>
      <c r="AJ213" s="1904"/>
      <c r="AK213" s="190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4">
        <v>6</v>
      </c>
      <c r="D214" s="1915"/>
      <c r="E214" s="1915"/>
      <c r="F214" s="1915"/>
      <c r="G214" s="1916" t="s">
        <v>1884</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1884</v>
      </c>
      <c r="AD214" s="1919"/>
      <c r="AE214" s="1919"/>
      <c r="AF214" s="1919"/>
      <c r="AG214" s="1903"/>
      <c r="AH214" s="1904"/>
      <c r="AI214" s="1904"/>
      <c r="AJ214" s="1904"/>
      <c r="AK214" s="190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1884</v>
      </c>
      <c r="AD215" s="1919"/>
      <c r="AE215" s="1919"/>
      <c r="AF215" s="1919"/>
      <c r="AG215" s="1903"/>
      <c r="AH215" s="1904"/>
      <c r="AI215" s="1904"/>
      <c r="AJ215" s="1904"/>
      <c r="AK215" s="190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6" t="s">
        <v>2294</v>
      </c>
      <c r="D216" s="1907"/>
      <c r="E216" s="1907"/>
      <c r="F216" s="1907"/>
      <c r="G216" s="1907"/>
      <c r="H216" s="1907"/>
      <c r="I216" s="1907"/>
      <c r="J216" s="1907"/>
      <c r="K216" s="1907"/>
      <c r="L216" s="1907"/>
      <c r="M216" s="1907"/>
      <c r="N216" s="1907"/>
      <c r="O216" s="1907"/>
      <c r="P216" s="1908"/>
      <c r="Q216" s="1908"/>
      <c r="R216" s="1908"/>
      <c r="S216" s="1908"/>
      <c r="T216" s="1908"/>
      <c r="U216" s="1909">
        <f>-SUM(U209:U215)</f>
        <v>0</v>
      </c>
      <c r="V216" s="1909"/>
      <c r="W216" s="1909"/>
      <c r="X216" s="1909"/>
      <c r="Y216" s="1909">
        <f>-SUM(Y209:Y215)</f>
        <v>0</v>
      </c>
      <c r="Z216" s="1909"/>
      <c r="AA216" s="1909"/>
      <c r="AB216" s="1909"/>
      <c r="AC216" s="1910">
        <f>-SUM(AC209:AC215)</f>
        <v>0</v>
      </c>
      <c r="AD216" s="1910"/>
      <c r="AE216" s="1910"/>
      <c r="AF216" s="1910"/>
      <c r="AG216" s="1911"/>
      <c r="AH216" s="1912"/>
      <c r="AI216" s="1912"/>
      <c r="AJ216" s="1912"/>
      <c r="AK216" s="19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0" t="s">
        <v>2292</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4"/>
    </row>
    <row r="222" spans="1:57" ht="15.75" customHeight="1">
      <c r="A222" s="1190"/>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4"/>
    </row>
    <row r="223" spans="1:57" ht="15.75" customHeight="1">
      <c r="A223" s="1190"/>
      <c r="B223" s="1896" t="s">
        <v>2291</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4"/>
    </row>
    <row r="224" spans="1:57" ht="15.75" customHeight="1">
      <c r="A224" s="1190"/>
      <c r="B224" s="1896" t="s">
        <v>2290</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9" t="s">
        <v>2289</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2" t="s">
        <v>2287</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5" t="s">
        <v>2286</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0"/>
      <c r="BB232" s="1190"/>
      <c r="BC232" s="1190"/>
      <c r="BD232" s="1194"/>
      <c r="BE232" s="1194"/>
    </row>
    <row r="233" spans="1:57" ht="15.75" customHeight="1">
      <c r="A233" s="1190"/>
      <c r="B233" s="1189"/>
      <c r="C233" s="1190"/>
      <c r="D233" s="1190"/>
      <c r="E233" s="1190"/>
      <c r="F233" s="1190"/>
      <c r="G233" s="1190"/>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0"/>
      <c r="BB233" s="1190"/>
      <c r="BC233" s="1190"/>
      <c r="BD233" s="1194"/>
      <c r="BE233" s="1194"/>
    </row>
    <row r="234" spans="1:57" ht="15.75" customHeight="1">
      <c r="A234" s="1190"/>
      <c r="B234" s="1189"/>
      <c r="C234" s="1190"/>
      <c r="D234" s="1190"/>
      <c r="E234" s="1190"/>
      <c r="F234" s="1190"/>
      <c r="G234" s="1190"/>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0"/>
      <c r="BB234" s="1190"/>
      <c r="BC234" s="1190"/>
      <c r="BD234" s="1194"/>
      <c r="BE234" s="1194"/>
    </row>
    <row r="235" spans="1:57" ht="15.75" customHeight="1">
      <c r="A235" s="1190"/>
      <c r="B235" s="1189"/>
      <c r="C235" s="1190"/>
      <c r="D235" s="1190"/>
      <c r="E235" s="1190"/>
      <c r="F235" s="1190"/>
      <c r="G235" s="1190"/>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6" t="s">
        <v>2285</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6" t="s">
        <v>2284</v>
      </c>
      <c r="I239" s="1876"/>
      <c r="J239" s="1876"/>
      <c r="K239" s="1876"/>
      <c r="L239" s="1239"/>
      <c r="M239" s="1239"/>
      <c r="N239" s="1239"/>
      <c r="O239" s="1239"/>
      <c r="P239" s="1239"/>
      <c r="Q239" s="1239"/>
      <c r="R239" s="1239"/>
      <c r="S239" s="1887"/>
      <c r="T239" s="1888"/>
      <c r="U239" s="1888"/>
      <c r="V239" s="1888"/>
      <c r="W239" s="1888"/>
      <c r="X239" s="1888"/>
      <c r="Y239" s="1888"/>
      <c r="Z239" s="1888"/>
      <c r="AA239" s="1888"/>
      <c r="AB239" s="1888"/>
      <c r="AC239" s="1888"/>
      <c r="AD239" s="1888"/>
      <c r="AE239" s="1888"/>
      <c r="AF239" s="1888"/>
      <c r="AG239" s="1888"/>
      <c r="AH239" s="1888"/>
      <c r="AI239" s="1888"/>
      <c r="AJ239" s="188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6" t="s">
        <v>2283</v>
      </c>
      <c r="I241" s="1876"/>
      <c r="J241" s="1876"/>
      <c r="K241" s="1241"/>
      <c r="L241" s="1239"/>
      <c r="M241" s="1239"/>
      <c r="N241" s="1239"/>
      <c r="O241" s="1239"/>
      <c r="P241" s="1239"/>
      <c r="Q241" s="1239"/>
      <c r="R241" s="1239"/>
      <c r="S241" s="1877"/>
      <c r="T241" s="1878"/>
      <c r="U241" s="1878"/>
      <c r="V241" s="1878"/>
      <c r="W241" s="1878"/>
      <c r="X241" s="1878"/>
      <c r="Y241" s="1878"/>
      <c r="Z241" s="1878"/>
      <c r="AA241" s="1878"/>
      <c r="AB241" s="1878"/>
      <c r="AC241" s="1878"/>
      <c r="AD241" s="1878"/>
      <c r="AE241" s="1878"/>
      <c r="AF241" s="1878"/>
      <c r="AG241" s="1878"/>
      <c r="AH241" s="1878"/>
      <c r="AI241" s="1878"/>
      <c r="AJ241" s="187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6" t="s">
        <v>441</v>
      </c>
      <c r="I243" s="1876"/>
      <c r="J243" s="1241"/>
      <c r="K243" s="1241"/>
      <c r="L243" s="1239"/>
      <c r="M243" s="1239"/>
      <c r="N243" s="1239"/>
      <c r="O243" s="1239"/>
      <c r="P243" s="1239"/>
      <c r="Q243" s="1239"/>
      <c r="R243" s="1239"/>
      <c r="S243" s="1877"/>
      <c r="T243" s="1878"/>
      <c r="U243" s="1878"/>
      <c r="V243" s="1878"/>
      <c r="W243" s="1878"/>
      <c r="X243" s="1878"/>
      <c r="Y243" s="1878"/>
      <c r="Z243" s="1878"/>
      <c r="AA243" s="1878"/>
      <c r="AB243" s="1878"/>
      <c r="AC243" s="1878"/>
      <c r="AD243" s="1878"/>
      <c r="AE243" s="1878"/>
      <c r="AF243" s="1878"/>
      <c r="AG243" s="1878"/>
      <c r="AH243" s="1878"/>
      <c r="AI243" s="1878"/>
      <c r="AJ243" s="187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0" t="s">
        <v>2282</v>
      </c>
      <c r="I245" s="1880"/>
      <c r="J245" s="1880"/>
      <c r="K245" s="1880"/>
      <c r="L245" s="1880"/>
      <c r="M245" s="1880"/>
      <c r="N245" s="1880"/>
      <c r="O245" s="1880"/>
      <c r="P245" s="1239"/>
      <c r="Q245" s="1239"/>
      <c r="R245" s="1239"/>
      <c r="S245" s="1877"/>
      <c r="T245" s="1878"/>
      <c r="U245" s="1878"/>
      <c r="V245" s="1878"/>
      <c r="W245" s="1878"/>
      <c r="X245" s="1878"/>
      <c r="Y245" s="1878"/>
      <c r="Z245" s="1878"/>
      <c r="AA245" s="1878"/>
      <c r="AB245" s="1878"/>
      <c r="AC245" s="1878"/>
      <c r="AD245" s="1878"/>
      <c r="AE245" s="1878"/>
      <c r="AF245" s="1878"/>
      <c r="AG245" s="1878"/>
      <c r="AH245" s="1878"/>
      <c r="AI245" s="1878"/>
      <c r="AJ245" s="187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1" t="s">
        <v>2281</v>
      </c>
      <c r="I247" s="1881"/>
      <c r="J247" s="1239"/>
      <c r="K247" s="1239"/>
      <c r="L247" s="1239"/>
      <c r="M247" s="1239"/>
      <c r="N247" s="1239"/>
      <c r="O247" s="1239"/>
      <c r="P247" s="1239"/>
      <c r="Q247" s="1239"/>
      <c r="R247" s="1239"/>
      <c r="S247" s="1882"/>
      <c r="T247" s="1883"/>
      <c r="U247" s="1883"/>
      <c r="V247" s="1883"/>
      <c r="W247" s="1883"/>
      <c r="X247" s="1883"/>
      <c r="Y247" s="1883"/>
      <c r="Z247" s="1883"/>
      <c r="AA247" s="1883"/>
      <c r="AB247" s="1883"/>
      <c r="AC247" s="1883"/>
      <c r="AD247" s="1883"/>
      <c r="AE247" s="1883"/>
      <c r="AF247" s="1883"/>
      <c r="AG247" s="1883"/>
      <c r="AH247" s="1883"/>
      <c r="AI247" s="1883"/>
      <c r="AJ247" s="188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9" sqref="AB59:AF5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1280</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22239546</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34860000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497</v>
      </c>
      <c r="C12" s="1308"/>
      <c r="D12" s="1308"/>
      <c r="E12" s="1308"/>
      <c r="F12" s="1308"/>
      <c r="G12" s="1308"/>
      <c r="H12" s="1308"/>
      <c r="I12" s="1308"/>
      <c r="J12" s="1308"/>
      <c r="K12" s="1308"/>
      <c r="L12" s="1308"/>
      <c r="M12" s="1308"/>
      <c r="N12" s="1308"/>
      <c r="O12" s="1308"/>
      <c r="P12" s="1308"/>
      <c r="Q12" s="1308"/>
      <c r="R12" s="1308"/>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498</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499</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500</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805</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501</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50"/>
      <c r="C18" s="1564" t="s">
        <v>960</v>
      </c>
      <c r="D18" s="1564"/>
      <c r="E18" s="1564"/>
      <c r="F18" s="1564"/>
      <c r="G18" s="1564"/>
      <c r="H18" s="1564"/>
      <c r="I18" s="1564"/>
      <c r="J18" s="1564"/>
      <c r="K18" s="1564"/>
      <c r="L18" s="1564"/>
      <c r="M18" s="1564"/>
      <c r="N18" s="1564"/>
      <c r="O18" s="1564"/>
      <c r="P18" s="1564"/>
      <c r="Q18" s="1564"/>
      <c r="R18" s="1564"/>
      <c r="S18" s="1565"/>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50"/>
      <c r="C19" s="1564" t="s">
        <v>960</v>
      </c>
      <c r="D19" s="1564"/>
      <c r="E19" s="1564"/>
      <c r="F19" s="1564"/>
      <c r="G19" s="1564"/>
      <c r="H19" s="1564"/>
      <c r="I19" s="1564"/>
      <c r="J19" s="1564"/>
      <c r="K19" s="1564"/>
      <c r="L19" s="1564"/>
      <c r="M19" s="1564"/>
      <c r="N19" s="1564"/>
      <c r="O19" s="1564"/>
      <c r="P19" s="1564"/>
      <c r="Q19" s="1564"/>
      <c r="R19" s="1564"/>
      <c r="S19" s="1565"/>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53">
        <f>T11+T22</f>
        <v>22239546</v>
      </c>
      <c r="U23" s="2334"/>
      <c r="V23" s="2334"/>
      <c r="W23" s="2334"/>
      <c r="X23" s="2334"/>
      <c r="Y23" s="2353">
        <f>Y11+Y22</f>
        <v>0</v>
      </c>
      <c r="Z23" s="2334"/>
      <c r="AA23" s="2334"/>
      <c r="AB23" s="2334"/>
      <c r="AC23" s="2334"/>
      <c r="AD23" s="2353">
        <f>AD11+AD22</f>
        <v>34860000</v>
      </c>
      <c r="AE23" s="2334"/>
      <c r="AF23" s="2334"/>
      <c r="AG23" s="2334"/>
      <c r="AH23" s="2334"/>
      <c r="AI23" s="235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44">
        <f>Application!AJ1053</f>
        <v>136663055.20000002</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1264</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53">
        <f>T23*T25</f>
        <v>28911409.800000001</v>
      </c>
      <c r="U26" s="2334"/>
      <c r="V26" s="2334"/>
      <c r="W26" s="2334"/>
      <c r="X26" s="2334"/>
      <c r="Y26" s="2353">
        <f>Y23*Y25</f>
        <v>0</v>
      </c>
      <c r="Z26" s="2334"/>
      <c r="AA26" s="2334"/>
      <c r="AB26" s="2334"/>
      <c r="AC26" s="2334"/>
      <c r="AD26" s="2353">
        <f>AD23*AD25</f>
        <v>34860000</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53">
        <f>IF(ISERROR((T26*T27)),0,(T26*T27))</f>
        <v>28911409.800000001</v>
      </c>
      <c r="U28" s="2334"/>
      <c r="V28" s="2334"/>
      <c r="W28" s="2334"/>
      <c r="X28" s="2334"/>
      <c r="Y28" s="2353">
        <f>IF(ISERROR((Y26*Y27)),0,(Y26*Y27))</f>
        <v>0</v>
      </c>
      <c r="Z28" s="2334"/>
      <c r="AA28" s="2334"/>
      <c r="AB28" s="2334"/>
      <c r="AC28" s="2334"/>
      <c r="AD28" s="2353">
        <f>IF(ISERROR((AD26*AD27)),0,(AD26*AD27))</f>
        <v>34860000</v>
      </c>
      <c r="AE28" s="2334"/>
      <c r="AF28" s="2334"/>
      <c r="AG28" s="2334"/>
      <c r="AH28" s="2334"/>
      <c r="AI28" s="235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44">
        <f>T28+Y28+AD28+AI28</f>
        <v>63771409.799999997</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1266</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1265</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1154</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28911409.800000001</v>
      </c>
      <c r="Z38" s="2334"/>
      <c r="AA38" s="2334"/>
      <c r="AB38" s="2334"/>
      <c r="AC38" s="2334"/>
      <c r="AD38" s="2334">
        <f>IF(T24&gt;=(T23+Y23+AD23+AI23),AD28+AI28,0)</f>
        <v>34860000</v>
      </c>
      <c r="AE38" s="2334"/>
      <c r="AF38" s="2334"/>
      <c r="AG38" s="2334"/>
      <c r="AH38" s="2334"/>
    </row>
    <row r="39" spans="1:76" ht="12.95"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1156456</v>
      </c>
      <c r="Z40" s="2334"/>
      <c r="AA40" s="2334"/>
      <c r="AB40" s="2334"/>
      <c r="AC40" s="2334"/>
      <c r="AD40" s="2353">
        <f>ROUND(AD38*AD39,0)</f>
        <v>1394400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2550856</v>
      </c>
      <c r="Z41" s="2352"/>
      <c r="AA41" s="2352"/>
      <c r="AB41" s="2352"/>
      <c r="AC41" s="2352"/>
      <c r="AD41" s="2352"/>
      <c r="AE41" s="2352"/>
      <c r="AF41" s="2352"/>
      <c r="AG41" s="2352"/>
      <c r="AH41" s="235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1276</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586</v>
      </c>
      <c r="C46" s="404" t="s">
        <v>282</v>
      </c>
    </row>
    <row r="47" spans="1:76" ht="12.95" customHeight="1">
      <c r="D47" s="404" t="s">
        <v>283</v>
      </c>
      <c r="AB47" s="2348">
        <f>'Sources and Uses Budget'!B105-MAX(IF('Sources and Uses Budget'!B15="",0,'Sources and Uses Budget'!B15),IF(Application!AG394="",0,Application!AG394))</f>
        <v>62718457</v>
      </c>
      <c r="AC47" s="2349"/>
      <c r="AD47" s="2349"/>
      <c r="AE47" s="2349"/>
      <c r="AF47" s="2350"/>
    </row>
    <row r="48" spans="1:76" ht="12.95" customHeight="1">
      <c r="D48" s="404" t="s">
        <v>21</v>
      </c>
      <c r="AB48" s="2348">
        <f>Application!AO639-MAX(IF('Sources and Uses Budget'!B15="",0,'Sources and Uses Budget'!B15),IF(Application!AG394="",0,Application!AG394))</f>
        <v>41036181</v>
      </c>
      <c r="AC48" s="2349"/>
      <c r="AD48" s="2349"/>
      <c r="AE48" s="2349"/>
      <c r="AF48" s="2350"/>
    </row>
    <row r="49" spans="1:76" ht="12.95" customHeight="1">
      <c r="D49" s="404" t="s">
        <v>91</v>
      </c>
      <c r="AB49" s="2348">
        <f>AB47-AB48</f>
        <v>21682276</v>
      </c>
      <c r="AC49" s="2349"/>
      <c r="AD49" s="2349"/>
      <c r="AE49" s="2349"/>
      <c r="AF49" s="2350"/>
    </row>
    <row r="50" spans="1:76" ht="12.95" customHeight="1">
      <c r="D50" s="404" t="s">
        <v>681</v>
      </c>
      <c r="AA50" s="415"/>
      <c r="AB50" s="2336">
        <v>0.85</v>
      </c>
      <c r="AC50" s="2337"/>
      <c r="AD50" s="2337"/>
      <c r="AE50" s="2337"/>
      <c r="AF50" s="2338"/>
    </row>
    <row r="51" spans="1:76" s="417" customFormat="1" ht="12.95" customHeight="1">
      <c r="A51" s="402"/>
      <c r="B51" s="402"/>
      <c r="C51" s="402"/>
      <c r="D51" s="402"/>
      <c r="E51" s="2347" t="s">
        <v>2611</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25508560</v>
      </c>
      <c r="AC54" s="2349"/>
      <c r="AD54" s="2349"/>
      <c r="AE54" s="2349"/>
      <c r="AF54" s="2350"/>
    </row>
    <row r="55" spans="1:76" ht="12.95" customHeight="1">
      <c r="D55" s="404" t="s">
        <v>333</v>
      </c>
      <c r="AB55" s="2348">
        <f>(AB54/10)</f>
        <v>2550856</v>
      </c>
      <c r="AC55" s="2349"/>
      <c r="AD55" s="2349"/>
      <c r="AE55" s="2349"/>
      <c r="AF55" s="2350"/>
    </row>
    <row r="56" spans="1:76" ht="12.95" customHeight="1">
      <c r="D56" s="404" t="s">
        <v>756</v>
      </c>
      <c r="AB56" s="2348">
        <f>ROUND((IF((Y41&lt;AB55),Y41,AB55)),0)</f>
        <v>2550856</v>
      </c>
      <c r="AC56" s="2349"/>
      <c r="AD56" s="2349"/>
      <c r="AE56" s="2349"/>
      <c r="AF56" s="2350"/>
    </row>
    <row r="57" spans="1:76" ht="12.95" customHeight="1">
      <c r="D57" s="404" t="s">
        <v>755</v>
      </c>
      <c r="AB57" s="2348">
        <f>ROUND((10*AB56*AB50),0)</f>
        <v>21682276</v>
      </c>
      <c r="AC57" s="2349"/>
      <c r="AD57" s="2349"/>
      <c r="AE57" s="2349"/>
      <c r="AF57" s="2350"/>
    </row>
    <row r="58" spans="1:76" ht="12.95" customHeight="1">
      <c r="D58" s="404"/>
      <c r="AB58" s="423"/>
      <c r="AC58" s="423"/>
      <c r="AD58" s="423"/>
      <c r="AE58" s="423"/>
      <c r="AF58" s="423"/>
    </row>
    <row r="59" spans="1:76" ht="12.95" customHeight="1">
      <c r="D59" s="404" t="s">
        <v>754</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589</v>
      </c>
      <c r="C63" s="205" t="s">
        <v>1248</v>
      </c>
      <c r="Y63" s="2343" t="s">
        <v>984</v>
      </c>
      <c r="Z63" s="2343"/>
      <c r="AA63" s="2343"/>
      <c r="AB63" s="2343"/>
      <c r="AC63" s="2343"/>
      <c r="AD63" s="2343" t="s">
        <v>369</v>
      </c>
      <c r="AE63" s="2343"/>
      <c r="AF63" s="2343"/>
      <c r="AG63" s="2343"/>
      <c r="AH63" s="234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22239546</v>
      </c>
      <c r="Z64" s="2345"/>
      <c r="AA64" s="2345"/>
      <c r="AB64" s="2345"/>
      <c r="AC64" s="2346"/>
      <c r="AD64" s="2344">
        <f>IF(AND(OR(Application!D211="At-Risk",Application!D211="At-Risk and Special Needs"),Application!M358="yes"),AD28+AI28,0)</f>
        <v>0</v>
      </c>
      <c r="AE64" s="2345"/>
      <c r="AF64" s="2345"/>
      <c r="AG64" s="2345"/>
      <c r="AH64" s="2346"/>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0.3</v>
      </c>
      <c r="Z67" s="2333"/>
      <c r="AA67" s="2333"/>
      <c r="AB67" s="2333"/>
      <c r="AC67" s="2333"/>
      <c r="AD67" s="2333">
        <f>IF(Application!Z205="15% set-aside with qualifying low value rehab", 0.95,IF(OR(Application!D211="At-Risk",'Points System'!B13="Yes"),0.13,0))</f>
        <v>0</v>
      </c>
      <c r="AE67" s="2333"/>
      <c r="AF67" s="2333"/>
      <c r="AG67" s="2333"/>
      <c r="AH67" s="2333"/>
    </row>
    <row r="68" spans="1:36" ht="12.95" customHeight="1">
      <c r="C68" s="404"/>
      <c r="D68" s="205" t="s">
        <v>2224</v>
      </c>
      <c r="Y68" s="2334">
        <f>ROUND(Y64*Y67,0)</f>
        <v>6671864</v>
      </c>
      <c r="Z68" s="2335"/>
      <c r="AA68" s="2335"/>
      <c r="AB68" s="2335"/>
      <c r="AC68" s="2335"/>
      <c r="AD68" s="2334">
        <f>ROUND(AD64*AD67,0)</f>
        <v>0</v>
      </c>
      <c r="AE68" s="2335"/>
      <c r="AF68" s="2335"/>
      <c r="AG68" s="2335"/>
      <c r="AH68" s="2335"/>
    </row>
    <row r="69" spans="1:36" ht="12.95" customHeight="1">
      <c r="C69" s="404"/>
      <c r="D69" s="205" t="s">
        <v>2225</v>
      </c>
      <c r="Y69" s="2334">
        <f>IF(OR(Application!Z205="State Farmworker Credit",Application!Z205="$500M (Farmworker Housing)"),Y68+AD68,MIN(Y68+AD68,200000*(Application!G753+Application!O777)))</f>
        <v>6671864</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36"/>
      <c r="AC72" s="2337"/>
      <c r="AD72" s="2337"/>
      <c r="AE72" s="2337"/>
      <c r="AF72" s="2338"/>
    </row>
    <row r="73" spans="1:36" ht="12.95" customHeight="1">
      <c r="A73" s="404"/>
      <c r="C73" s="404"/>
      <c r="D73" s="404"/>
      <c r="E73" s="2339" t="s">
        <v>1251</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6"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6"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7">
        <f>ROUND(IF(ISERROR((AB59/AB72)),0,(AB59/AB72)),0)</f>
        <v>0</v>
      </c>
      <c r="AC77" s="2327"/>
      <c r="AD77" s="2327"/>
      <c r="AE77" s="2327"/>
      <c r="AF77" s="2327"/>
    </row>
    <row r="78" spans="1:36" ht="12.95" customHeight="1">
      <c r="C78" s="404"/>
      <c r="D78" s="205" t="s">
        <v>1253</v>
      </c>
      <c r="AB78" s="2328">
        <f>ROUNDUP(MIN(Y69,AB77),0)</f>
        <v>0</v>
      </c>
      <c r="AC78" s="2329"/>
      <c r="AD78" s="2329"/>
      <c r="AE78" s="2329"/>
      <c r="AF78" s="2330"/>
    </row>
    <row r="79" spans="1:36" ht="12.95" customHeight="1">
      <c r="C79" s="404"/>
      <c r="D79" s="205" t="s">
        <v>1254</v>
      </c>
      <c r="AB79" s="2331">
        <f>AB78*AB72</f>
        <v>0</v>
      </c>
      <c r="AC79" s="2331"/>
      <c r="AD79" s="2331"/>
      <c r="AE79" s="2331"/>
      <c r="AF79" s="2331"/>
    </row>
    <row r="80" spans="1:36" ht="12.95" customHeight="1">
      <c r="C80" s="404"/>
      <c r="D80" s="404"/>
      <c r="AB80" s="425"/>
      <c r="AC80" s="425"/>
      <c r="AD80" s="425"/>
      <c r="AE80" s="425"/>
      <c r="AF80" s="425"/>
    </row>
    <row r="81" spans="1:78" ht="12.95" customHeight="1">
      <c r="D81" s="404" t="s">
        <v>754</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customHeight="1">
      <c r="A86" s="404"/>
      <c r="C86" s="205"/>
    </row>
    <row r="87" spans="1:78" ht="12.95" customHeight="1">
      <c r="D87" s="205"/>
      <c r="AB87" s="2383"/>
      <c r="AC87" s="2383"/>
      <c r="AD87" s="2383"/>
      <c r="AE87" s="2383"/>
      <c r="AF87" s="2383"/>
    </row>
    <row r="88" spans="1:78" ht="12.95"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11" workbookViewId="0">
      <selection activeCell="J128" sqref="J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5" t="s">
        <v>1300</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6" t="s">
        <v>1305</v>
      </c>
      <c r="AF7" s="2406"/>
      <c r="AG7" s="2406"/>
      <c r="AH7" s="2406"/>
      <c r="AI7" s="2406"/>
      <c r="AJ7" s="2406"/>
      <c r="AK7" s="2406"/>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6" t="s">
        <v>591</v>
      </c>
      <c r="C13" s="2396"/>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7"/>
      <c r="AH13" s="2427"/>
      <c r="AI13" s="2427"/>
      <c r="AJ13" s="24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6" t="s">
        <v>591</v>
      </c>
      <c r="C16" s="2396"/>
      <c r="D16" s="547"/>
      <c r="E16" s="2407" t="s">
        <v>1307</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c r="AO16" s="550">
        <f>IF($B25="yes",20,0)</f>
        <v>0</v>
      </c>
      <c r="AP16" s="14"/>
    </row>
    <row r="17" spans="1:42" s="536" customFormat="1" ht="12.75" customHeight="1">
      <c r="A17" s="540"/>
      <c r="B17" s="540"/>
      <c r="C17" s="540"/>
      <c r="D17" s="551"/>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0"/>
      <c r="AL17" s="540"/>
      <c r="AM17" s="540"/>
      <c r="AN17" s="535"/>
      <c r="AO17" s="550">
        <f>IF($B28="yes",20,0)</f>
        <v>0</v>
      </c>
    </row>
    <row r="18" spans="1:42" s="536" customFormat="1" ht="12.75" customHeight="1">
      <c r="A18" s="540"/>
      <c r="B18" s="540"/>
      <c r="C18" s="540"/>
      <c r="D18" s="551"/>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6" t="s">
        <v>591</v>
      </c>
      <c r="C22" s="2396"/>
      <c r="D22" s="547"/>
      <c r="E22" s="2432" t="s">
        <v>1310</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0"/>
      <c r="AL22" s="540"/>
      <c r="AM22" s="540"/>
      <c r="AN22" s="535"/>
      <c r="AO22" s="550">
        <f>IF($B40="yes",14,0)</f>
        <v>0</v>
      </c>
    </row>
    <row r="23" spans="1:42" s="536" customFormat="1" ht="12.75" customHeight="1">
      <c r="A23" s="540"/>
      <c r="B23" s="540"/>
      <c r="C23" s="540"/>
      <c r="D23" s="550"/>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6" t="s">
        <v>591</v>
      </c>
      <c r="C25" s="2396"/>
      <c r="D25" s="547"/>
      <c r="E25" s="2397" t="s">
        <v>2033</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0"/>
      <c r="AL25" s="540"/>
      <c r="AM25" s="540"/>
      <c r="AN25" s="535"/>
      <c r="AO25" s="550">
        <f>IF($B45="yes",6,0)</f>
        <v>0</v>
      </c>
    </row>
    <row r="26" spans="1:42" s="536" customFormat="1" ht="12.75" customHeight="1">
      <c r="A26" s="540"/>
      <c r="B26" s="540"/>
      <c r="C26" s="540"/>
      <c r="D26" s="550"/>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6" t="s">
        <v>591</v>
      </c>
      <c r="C28" s="2396"/>
      <c r="D28" s="547"/>
      <c r="E28" s="2420" t="s">
        <v>2248</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396" t="s">
        <v>591</v>
      </c>
      <c r="C33" s="2396"/>
      <c r="D33" s="547"/>
      <c r="E33" s="2432" t="s">
        <v>2250</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0"/>
      <c r="AL33" s="540"/>
      <c r="AM33" s="540"/>
      <c r="AN33" s="535"/>
      <c r="AO33" s="550"/>
    </row>
    <row r="34" spans="1:41" s="536" customFormat="1" ht="12.75" customHeight="1">
      <c r="A34" s="540"/>
      <c r="B34" s="540"/>
      <c r="C34" s="540"/>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6" t="s">
        <v>591</v>
      </c>
      <c r="C36" s="2396"/>
      <c r="D36" s="547"/>
      <c r="E36" s="2397" t="s">
        <v>2251</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0"/>
      <c r="AL36" s="540"/>
      <c r="AM36" s="540"/>
      <c r="AN36" s="535"/>
    </row>
    <row r="37" spans="1:41" s="536" customFormat="1" ht="12.75" customHeight="1">
      <c r="A37" s="540"/>
      <c r="B37" s="540"/>
      <c r="C37" s="540"/>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0"/>
      <c r="AL37" s="540"/>
      <c r="AM37" s="540"/>
      <c r="AN37" s="535"/>
    </row>
    <row r="38" spans="1:41" s="536" customFormat="1" ht="12.75" customHeight="1">
      <c r="A38" s="540"/>
      <c r="B38" s="540"/>
      <c r="C38" s="540"/>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6" t="s">
        <v>591</v>
      </c>
      <c r="C40" s="2396"/>
      <c r="D40" s="547"/>
      <c r="E40" s="2397" t="s">
        <v>2249</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0"/>
      <c r="AL40" s="540"/>
      <c r="AM40" s="540"/>
      <c r="AN40" s="535"/>
    </row>
    <row r="41" spans="1:41" s="536" customFormat="1" ht="12.75" customHeight="1">
      <c r="A41" s="540"/>
      <c r="B41" s="540"/>
      <c r="C41" s="540"/>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6" t="s">
        <v>591</v>
      </c>
      <c r="C45" s="2396"/>
      <c r="D45" s="1142"/>
      <c r="E45" s="2397" t="s">
        <v>2008</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2"/>
      <c r="AL45" s="540"/>
      <c r="AM45" s="540"/>
      <c r="AN45" s="535"/>
    </row>
    <row r="46" spans="1:41" s="536" customFormat="1" ht="12.75" customHeight="1">
      <c r="A46" s="540"/>
      <c r="B46" s="540"/>
      <c r="C46" s="540"/>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0"/>
      <c r="AL46" s="540"/>
      <c r="AM46" s="540"/>
      <c r="AN46" s="535"/>
    </row>
    <row r="47" spans="1:41" s="536" customFormat="1" ht="12.75" customHeight="1">
      <c r="A47" s="540"/>
      <c r="D47" s="547"/>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6" t="s">
        <v>545</v>
      </c>
      <c r="C52" s="2396"/>
      <c r="D52" s="540"/>
      <c r="E52" s="2397" t="s">
        <v>2013</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59"/>
    </row>
    <row r="53" spans="1:50" s="536" customFormat="1" ht="12.75" customHeight="1">
      <c r="A53" s="540"/>
      <c r="D53" s="547"/>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0"/>
      <c r="AL53" s="540"/>
      <c r="AM53" s="540"/>
      <c r="AN53" s="535"/>
      <c r="AO53" s="559"/>
    </row>
    <row r="54" spans="1:50" s="536" customFormat="1" ht="12.75" customHeight="1">
      <c r="A54" s="540"/>
      <c r="D54" s="540"/>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6" t="s">
        <v>545</v>
      </c>
      <c r="C56" s="2396"/>
      <c r="D56" s="540"/>
      <c r="E56" s="2417" t="s">
        <v>2014</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6" t="s">
        <v>545</v>
      </c>
      <c r="C58" s="2396"/>
      <c r="D58" s="540"/>
      <c r="E58" s="2397" t="s">
        <v>2015</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0"/>
      <c r="AL58" s="540"/>
      <c r="AM58" s="540"/>
      <c r="AN58" s="535"/>
    </row>
    <row r="59" spans="1:50" s="536" customFormat="1" ht="12.75" customHeight="1">
      <c r="A59" s="540"/>
      <c r="B59" s="547"/>
      <c r="C59" s="547"/>
      <c r="D59" s="547"/>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9">
        <f>AO39</f>
        <v>20</v>
      </c>
      <c r="AL62" s="2430"/>
      <c r="AM62" s="243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6" t="s">
        <v>1314</v>
      </c>
      <c r="AF65" s="2406"/>
      <c r="AG65" s="2406"/>
      <c r="AH65" s="2406"/>
      <c r="AI65" s="2406"/>
      <c r="AJ65" s="2406"/>
      <c r="AK65" s="2406"/>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6" t="s">
        <v>591</v>
      </c>
      <c r="C68" s="2396"/>
      <c r="D68" s="547" t="s">
        <v>1315</v>
      </c>
      <c r="E68" s="2407" t="s">
        <v>2016</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3"/>
      <c r="AL68" s="540"/>
      <c r="AM68" s="540"/>
      <c r="AN68" s="535"/>
      <c r="AO68" s="550">
        <f>IF($B68="yes",10,0)</f>
        <v>0</v>
      </c>
    </row>
    <row r="69" spans="1:42" s="536" customFormat="1" ht="12.75" customHeight="1">
      <c r="A69" s="538"/>
      <c r="B69" s="540"/>
      <c r="C69" s="540"/>
      <c r="D69" s="551"/>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3"/>
      <c r="AL69" s="540"/>
      <c r="AM69" s="540"/>
      <c r="AN69" s="535"/>
      <c r="AO69" s="550">
        <f>IF($B74="yes",10,0)</f>
        <v>0</v>
      </c>
    </row>
    <row r="70" spans="1:42" s="536" customFormat="1" ht="12.75" customHeight="1">
      <c r="A70" s="538"/>
      <c r="B70" s="540"/>
      <c r="C70" s="540"/>
      <c r="D70" s="551"/>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3"/>
      <c r="AL70" s="540"/>
      <c r="AM70" s="540"/>
      <c r="AN70" s="535"/>
      <c r="AO70" s="550">
        <f>IF($B81="yes",10,0)</f>
        <v>0</v>
      </c>
    </row>
    <row r="71" spans="1:42" s="536" customFormat="1" ht="12.75" customHeight="1">
      <c r="A71" s="538"/>
      <c r="B71" s="540"/>
      <c r="C71" s="540"/>
      <c r="D71" s="551"/>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IF(SUM(AO68:AO70)&gt;10,10,(SUM(AO68:AO70)))</f>
        <v>0</v>
      </c>
      <c r="AP71" s="574" t="s">
        <v>1316</v>
      </c>
    </row>
    <row r="72" spans="1:42" s="536" customFormat="1" ht="12.75" customHeight="1">
      <c r="A72" s="538"/>
      <c r="B72" s="540"/>
      <c r="C72" s="540"/>
      <c r="D72" s="551"/>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6" t="s">
        <v>591</v>
      </c>
      <c r="C74" s="2396"/>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6" t="s">
        <v>591</v>
      </c>
      <c r="F75" s="2396"/>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4" t="s">
        <v>591</v>
      </c>
      <c r="F76" s="2395"/>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4" t="s">
        <v>591</v>
      </c>
      <c r="F77" s="2395"/>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6" t="s">
        <v>591</v>
      </c>
      <c r="F79" s="2396"/>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6" t="s">
        <v>591</v>
      </c>
      <c r="C81" s="2396"/>
      <c r="D81" s="547" t="s">
        <v>1320</v>
      </c>
      <c r="E81" s="2397" t="s">
        <v>1740</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50"/>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9">
        <f>IF(AK62&gt;0,0,AO71)</f>
        <v>0</v>
      </c>
      <c r="AL84" s="2430"/>
      <c r="AM84" s="243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6" t="s">
        <v>1305</v>
      </c>
      <c r="AF87" s="2406"/>
      <c r="AG87" s="2406"/>
      <c r="AH87" s="2406"/>
      <c r="AI87" s="2406"/>
      <c r="AJ87" s="2406"/>
      <c r="AK87" s="2406"/>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6" t="s">
        <v>591</v>
      </c>
      <c r="C90" s="2396"/>
      <c r="D90" s="547" t="s">
        <v>1315</v>
      </c>
      <c r="E90" s="2407" t="s">
        <v>1325</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3"/>
      <c r="AL90" s="540"/>
      <c r="AM90" s="540"/>
      <c r="AN90" s="535"/>
    </row>
    <row r="91" spans="1:43" s="536" customFormat="1" ht="12.75" customHeight="1">
      <c r="A91" s="538"/>
      <c r="B91" s="539"/>
      <c r="C91" s="539"/>
      <c r="D91" s="539"/>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0">
        <f>Application!AC753</f>
        <v>0.5586363636363636</v>
      </c>
      <c r="F93" s="2391"/>
      <c r="G93" s="2391"/>
      <c r="H93" s="239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2">
        <f>0.6-ROUNDUP(E93,2)</f>
        <v>3.9999999999999925E-2</v>
      </c>
      <c r="F94" s="2393"/>
      <c r="G94" s="2393"/>
      <c r="H94" s="2393"/>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3">
        <f>IF(E94*200&gt;20,20,E94*200)</f>
        <v>7.9999999999999849</v>
      </c>
      <c r="F95" s="2424"/>
      <c r="G95" s="2424"/>
      <c r="H95" s="2424"/>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6" t="s">
        <v>545</v>
      </c>
      <c r="C98" s="2396"/>
      <c r="D98" s="547" t="s">
        <v>1317</v>
      </c>
      <c r="E98" s="2407" t="s">
        <v>1725</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3"/>
      <c r="AL98" s="540"/>
      <c r="AM98" s="540"/>
      <c r="AN98" s="535"/>
    </row>
    <row r="99" spans="1:47" s="536" customFormat="1" ht="12.75" customHeight="1">
      <c r="A99" s="538"/>
      <c r="B99" s="539"/>
      <c r="C99" s="539"/>
      <c r="D99" s="539"/>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3"/>
      <c r="AL99" s="540"/>
      <c r="AM99" s="540"/>
      <c r="AN99" s="535"/>
    </row>
    <row r="100" spans="1:47" s="536" customFormat="1" ht="12.75" customHeight="1">
      <c r="A100" s="538"/>
      <c r="B100" s="539"/>
      <c r="C100" s="539"/>
      <c r="D100" s="539"/>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3"/>
      <c r="AL100" s="540"/>
      <c r="AM100" s="540"/>
      <c r="AN100" s="535"/>
    </row>
    <row r="101" spans="1:47" s="536" customFormat="1" ht="12.75" customHeight="1">
      <c r="A101" s="538"/>
      <c r="B101" s="539"/>
      <c r="C101" s="539"/>
      <c r="D101" s="539"/>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0">
        <f>Application!AC753</f>
        <v>0.5586363636363636</v>
      </c>
      <c r="F103" s="2391"/>
      <c r="G103" s="2391"/>
      <c r="H103" s="239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0">
        <f ca="1">SUMIF(Application!AC718:AG752,0.2,Application!G718:J752)/Application!G753+SUMIF(Application!AC718:AG752,0.25,Application!G718:J752)/Application!G753+SUMIF(Application!AC718:AG752,0.3,Application!G718:J752)/Application!G753</f>
        <v>0.10454545454545454</v>
      </c>
      <c r="F104" s="2391"/>
      <c r="G104" s="2391"/>
      <c r="H104" s="239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0">
        <f ca="1">SUMIF(Application!AC718:AG752,0.35,Application!G718:J752)/Application!G753+SUMIF(Application!AC718:AG752,0.4,Application!G718:J752)/Application!G753+SUMIF(Application!AC718:AG752,0.45,Application!G718:J752)/Application!G753+SUMIF(Application!AC718:AG752,0.5,Application!G718:J752)/Application!G753</f>
        <v>0.1</v>
      </c>
      <c r="F105" s="2391"/>
      <c r="G105" s="2391"/>
      <c r="H105" s="239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8">
        <f ca="1">IF(AND(E103&lt;=0.6,OR(AND(E104&gt;=0.1,E105&gt;=0.1),AND(E104&gt;0.1,(E104+E105)&gt;=0.2))),20,0)</f>
        <v>20</v>
      </c>
      <c r="F106" s="2449"/>
      <c r="G106" s="2449"/>
      <c r="H106" s="244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9">
        <f ca="1">MAX(AP95,AP106)</f>
        <v>20</v>
      </c>
      <c r="AL109" s="2430"/>
      <c r="AM109" s="243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6" t="s">
        <v>1314</v>
      </c>
      <c r="AF112" s="2406"/>
      <c r="AG112" s="2406"/>
      <c r="AH112" s="2406"/>
      <c r="AI112" s="2406"/>
      <c r="AJ112" s="2406"/>
      <c r="AK112" s="2406"/>
      <c r="AL112" s="540"/>
      <c r="AM112" s="540"/>
      <c r="AN112" s="535"/>
      <c r="AO112" s="536" t="str">
        <f>Application!B718</f>
        <v>1 Bedroom</v>
      </c>
      <c r="AQ112" s="536">
        <f>Application!O718</f>
        <v>634</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1117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1358</v>
      </c>
    </row>
    <row r="115" spans="1:52" s="536" customFormat="1" ht="12.75" customHeight="1">
      <c r="A115" s="540"/>
      <c r="B115" s="2396" t="s">
        <v>545</v>
      </c>
      <c r="C115" s="2396"/>
      <c r="D115" s="547" t="s">
        <v>1315</v>
      </c>
      <c r="E115" s="2407" t="s">
        <v>1857</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0"/>
      <c r="AL115" s="540"/>
      <c r="AM115" s="540"/>
      <c r="AN115" s="535"/>
      <c r="AO115" s="536" t="str">
        <f>Application!B721</f>
        <v>2 Bedrooms</v>
      </c>
      <c r="AQ115" s="536">
        <f>Application!O721</f>
        <v>754</v>
      </c>
      <c r="AU115" s="536" t="s">
        <v>1840</v>
      </c>
      <c r="AV115" s="595" t="s">
        <v>1841</v>
      </c>
      <c r="AW115" s="536" t="s">
        <v>1842</v>
      </c>
    </row>
    <row r="116" spans="1:52" s="536" customFormat="1" ht="12.75" customHeight="1">
      <c r="A116" s="540"/>
      <c r="B116" s="539"/>
      <c r="C116" s="539"/>
      <c r="D116" s="539"/>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0"/>
      <c r="AL116" s="540"/>
      <c r="AM116" s="540"/>
      <c r="AN116" s="535"/>
      <c r="AO116" s="536" t="str">
        <f>Application!B722</f>
        <v>2 Bedrooms</v>
      </c>
      <c r="AQ116" s="536">
        <f>Application!O722</f>
        <v>1333</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0"/>
      <c r="AL117" s="540"/>
      <c r="AM117" s="540"/>
      <c r="AN117" s="535"/>
      <c r="AO117" s="536" t="str">
        <f>Application!B723</f>
        <v>2 Bedrooms</v>
      </c>
      <c r="AQ117" s="536">
        <f>Application!O723</f>
        <v>1623</v>
      </c>
      <c r="AU117" s="856" t="str">
        <f>J124</f>
        <v>1-bedroom</v>
      </c>
      <c r="AV117" s="536">
        <f t="array" ref="AV117">SUM(IF(Application!B718:F752="1 Bedroom",Application!G718:J752))</f>
        <v>144</v>
      </c>
      <c r="AW117" s="1011">
        <f>AV117/AV122</f>
        <v>0.65454545454545454</v>
      </c>
    </row>
    <row r="118" spans="1:52" s="536" customFormat="1" ht="12.75" customHeight="1">
      <c r="A118" s="540"/>
      <c r="B118" s="539"/>
      <c r="C118" s="539"/>
      <c r="D118" s="539"/>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0"/>
      <c r="AL118" s="540"/>
      <c r="AM118" s="540"/>
      <c r="AN118" s="535"/>
      <c r="AO118" s="536">
        <f>Application!B724</f>
        <v>0</v>
      </c>
      <c r="AQ118" s="536">
        <f>Application!O724</f>
        <v>0</v>
      </c>
      <c r="AU118" s="856" t="str">
        <f>O124</f>
        <v>2-bedroom</v>
      </c>
      <c r="AV118" s="536">
        <f t="array" ref="AV118">SUM(IF(Application!B718:F752="2 Bedrooms",Application!G718:J752))</f>
        <v>76</v>
      </c>
      <c r="AW118" s="1011">
        <f>AV118/AV122</f>
        <v>0.34545454545454546</v>
      </c>
    </row>
    <row r="119" spans="1:52" s="536" customFormat="1" ht="12.75" customHeight="1">
      <c r="A119" s="540"/>
      <c r="B119" s="539"/>
      <c r="C119" s="539"/>
      <c r="D119" s="539"/>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0"/>
      <c r="AL122" s="540"/>
      <c r="AM122" s="540"/>
      <c r="AN122" s="535"/>
      <c r="AO122" s="536">
        <f>Application!B728</f>
        <v>0</v>
      </c>
      <c r="AQ122" s="536">
        <f>Application!O728</f>
        <v>0</v>
      </c>
      <c r="AV122" s="536">
        <f>SUM(AV116:AV121)</f>
        <v>220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0" t="s">
        <v>1588</v>
      </c>
      <c r="F124" s="2391"/>
      <c r="G124" s="2391"/>
      <c r="H124" s="2391"/>
      <c r="I124" s="577"/>
      <c r="J124" s="2391" t="s">
        <v>1631</v>
      </c>
      <c r="K124" s="2391"/>
      <c r="L124" s="2391"/>
      <c r="M124" s="2391"/>
      <c r="N124" s="577"/>
      <c r="O124" s="2391" t="s">
        <v>1632</v>
      </c>
      <c r="P124" s="2391"/>
      <c r="Q124" s="2391"/>
      <c r="R124" s="2391"/>
      <c r="S124" s="577"/>
      <c r="T124" s="2391" t="s">
        <v>1334</v>
      </c>
      <c r="U124" s="2391"/>
      <c r="V124" s="2391"/>
      <c r="W124" s="2391"/>
      <c r="X124" s="577"/>
      <c r="Y124" s="2391" t="s">
        <v>1633</v>
      </c>
      <c r="Z124" s="2391"/>
      <c r="AA124" s="2391"/>
      <c r="AB124" s="2391"/>
      <c r="AC124" s="577"/>
      <c r="AD124" s="2391" t="s">
        <v>1634</v>
      </c>
      <c r="AE124" s="2391"/>
      <c r="AF124" s="2391"/>
      <c r="AG124" s="239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0"/>
      <c r="F127" s="2451"/>
      <c r="G127" s="2451"/>
      <c r="H127" s="2451"/>
      <c r="I127" s="864"/>
      <c r="J127" s="2451">
        <v>2026</v>
      </c>
      <c r="K127" s="2451"/>
      <c r="L127" s="2451"/>
      <c r="M127" s="2451"/>
      <c r="N127" s="864"/>
      <c r="O127" s="2451">
        <v>2236</v>
      </c>
      <c r="P127" s="2451"/>
      <c r="Q127" s="2451"/>
      <c r="R127" s="2451"/>
      <c r="S127" s="864"/>
      <c r="T127" s="2451"/>
      <c r="U127" s="2451"/>
      <c r="V127" s="2451"/>
      <c r="W127" s="2451"/>
      <c r="X127" s="864"/>
      <c r="Y127" s="2451"/>
      <c r="Z127" s="2451"/>
      <c r="AA127" s="2451"/>
      <c r="AB127" s="2451"/>
      <c r="AC127" s="864"/>
      <c r="AD127" s="2451"/>
      <c r="AE127" s="2451"/>
      <c r="AF127" s="2451"/>
      <c r="AG127" s="245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3">
        <f>Application!DX670</f>
        <v>0</v>
      </c>
      <c r="F130" s="2444"/>
      <c r="G130" s="2444"/>
      <c r="H130" s="2444"/>
      <c r="I130" s="864"/>
      <c r="J130" s="2444">
        <f>Application!EC670</f>
        <v>1274.2152777777778</v>
      </c>
      <c r="K130" s="2444"/>
      <c r="L130" s="2444"/>
      <c r="M130" s="2444"/>
      <c r="N130" s="864"/>
      <c r="O130" s="2444">
        <f>Application!EH670</f>
        <v>1466.6578947368421</v>
      </c>
      <c r="P130" s="2444"/>
      <c r="Q130" s="2444"/>
      <c r="R130" s="2444"/>
      <c r="S130" s="868"/>
      <c r="T130" s="2444">
        <f>Application!EM670</f>
        <v>0</v>
      </c>
      <c r="U130" s="2444"/>
      <c r="V130" s="2444"/>
      <c r="W130" s="2444"/>
      <c r="X130" s="868"/>
      <c r="Y130" s="2444">
        <f>Application!ER670</f>
        <v>0</v>
      </c>
      <c r="Z130" s="2444"/>
      <c r="AA130" s="2444"/>
      <c r="AB130" s="2444"/>
      <c r="AC130" s="868"/>
      <c r="AD130" s="2444">
        <f>Application!EW670</f>
        <v>0</v>
      </c>
      <c r="AE130" s="2444"/>
      <c r="AF130" s="2444"/>
      <c r="AG130" s="244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2" t="e">
        <f>(E127-E130)/E127</f>
        <v>#DIV/0!</v>
      </c>
      <c r="F133" s="2393"/>
      <c r="G133" s="2393"/>
      <c r="H133" s="2643"/>
      <c r="I133" s="577"/>
      <c r="J133" s="2642">
        <f>(J127-J130)/J127</f>
        <v>0.37106847098826368</v>
      </c>
      <c r="K133" s="2393"/>
      <c r="L133" s="2393"/>
      <c r="M133" s="2643"/>
      <c r="N133" s="577"/>
      <c r="O133" s="2642">
        <f>(O127-O130)/O127</f>
        <v>0.34407070897278974</v>
      </c>
      <c r="P133" s="2393"/>
      <c r="Q133" s="2393"/>
      <c r="R133" s="2643"/>
      <c r="S133" s="577"/>
      <c r="T133" s="2642" t="e">
        <f>(T127-T130)/T127</f>
        <v>#DIV/0!</v>
      </c>
      <c r="U133" s="2393"/>
      <c r="V133" s="2393"/>
      <c r="W133" s="2643"/>
      <c r="X133" s="577"/>
      <c r="Y133" s="2642" t="e">
        <f>(Y127-Y130)/Y127</f>
        <v>#DIV/0!</v>
      </c>
      <c r="Z133" s="2393"/>
      <c r="AA133" s="2393"/>
      <c r="AB133" s="2643"/>
      <c r="AC133" s="577"/>
      <c r="AD133" s="2642" t="e">
        <f>(AD127-AD130)/AD127</f>
        <v>#DIV/0!</v>
      </c>
      <c r="AE133" s="2393"/>
      <c r="AF133" s="2393"/>
      <c r="AG133" s="264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5" t="e">
        <f>IF(((E133-0.1)*AW116)&gt;0,((E133-0.1)*AW116),0)</f>
        <v>#DIV/0!</v>
      </c>
      <c r="F136" s="2446"/>
      <c r="G136" s="2446"/>
      <c r="H136" s="2447"/>
      <c r="I136" s="577"/>
      <c r="J136" s="2445">
        <f>IF(((J133-0.1)*AW117)&gt;0,((J133-0.1)*AW117),0)</f>
        <v>0.17742663555595442</v>
      </c>
      <c r="K136" s="2446"/>
      <c r="L136" s="2446"/>
      <c r="M136" s="2447"/>
      <c r="N136" s="577"/>
      <c r="O136" s="2445">
        <f>IF(((O133-0.1)*AW118)&gt;0,((O133-0.1)*AW118),0)</f>
        <v>8.4315335826963725E-2</v>
      </c>
      <c r="P136" s="2446"/>
      <c r="Q136" s="2446"/>
      <c r="R136" s="2447"/>
      <c r="S136" s="577"/>
      <c r="T136" s="2445" t="e">
        <f>IF(((T133-0.1)*AW119)&gt;0,((T133-0.1)*AW119),0)</f>
        <v>#DIV/0!</v>
      </c>
      <c r="U136" s="2446"/>
      <c r="V136" s="2446"/>
      <c r="W136" s="2447"/>
      <c r="X136" s="577"/>
      <c r="Y136" s="2445" t="e">
        <f>IF(((Y133-0.1)*AW120)&gt;0,((Y133-0.1)*AW120),0)</f>
        <v>#DIV/0!</v>
      </c>
      <c r="Z136" s="2446"/>
      <c r="AA136" s="2446"/>
      <c r="AB136" s="2447"/>
      <c r="AC136" s="577"/>
      <c r="AD136" s="2445" t="e">
        <f>IF(((AD133-0.1)*AW121)&gt;0,((AD133-0.1)*AW121),0)</f>
        <v>#DIV/0!</v>
      </c>
      <c r="AE136" s="2446"/>
      <c r="AF136" s="2446"/>
      <c r="AG136" s="244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2">
        <f>ROUNDDOWN(SUMIF(E136:AG136,"&gt;0"),2)</f>
        <v>0.26</v>
      </c>
      <c r="F138" s="2393"/>
      <c r="G138" s="2393"/>
      <c r="H138" s="2643"/>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9">
        <f>IF((E138*100)&gt;10,10,E138*100)</f>
        <v>10</v>
      </c>
      <c r="F139" s="2430"/>
      <c r="G139" s="2430"/>
      <c r="H139" s="2431"/>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9">
        <f>E139</f>
        <v>10</v>
      </c>
      <c r="AL143" s="2430"/>
      <c r="AM143" s="243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6" t="s">
        <v>1314</v>
      </c>
      <c r="AF146" s="2406"/>
      <c r="AG146" s="2406"/>
      <c r="AH146" s="2406"/>
      <c r="AI146" s="2406"/>
      <c r="AJ146" s="2406"/>
      <c r="AK146" s="240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1" t="s">
        <v>1338</v>
      </c>
      <c r="AG148" s="2441"/>
      <c r="AH148" s="2441"/>
      <c r="AI148" s="2441"/>
      <c r="AJ148" s="2441"/>
      <c r="AK148" s="2441"/>
      <c r="AL148" s="2441"/>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2" t="s">
        <v>2728</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8" t="s">
        <v>1341</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69" t="s">
        <v>591</v>
      </c>
      <c r="AC155" s="246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8" t="s">
        <v>1343</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9" t="s">
        <v>2475</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0"/>
      <c r="AM161" s="539"/>
      <c r="AN161" s="535"/>
      <c r="AO161" s="476"/>
      <c r="AP161" s="489"/>
    </row>
    <row r="162" spans="1:42" s="536"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0"/>
      <c r="AM162" s="539"/>
      <c r="AN162" s="535"/>
      <c r="AO162" s="476"/>
      <c r="AP162" s="489"/>
    </row>
    <row r="163" spans="1:42" s="536" customFormat="1" ht="12.75" customHeight="1">
      <c r="C163" s="2532" t="s">
        <v>2476</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0"/>
      <c r="AM163" s="539"/>
      <c r="AN163" s="535"/>
      <c r="AO163" s="476"/>
      <c r="AP163" s="489"/>
    </row>
    <row r="164" spans="1:42" s="536" customFormat="1" ht="12.75" customHeight="1">
      <c r="B164" s="1180"/>
      <c r="C164" s="2467" t="s">
        <v>2474</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0"/>
      <c r="AB164" s="1170"/>
      <c r="AC164" s="1170"/>
      <c r="AD164" s="1170"/>
      <c r="AE164" s="1170"/>
      <c r="AF164" s="1170"/>
      <c r="AG164" s="1170"/>
      <c r="AH164" s="1170"/>
      <c r="AJ164" s="2469" t="s">
        <v>591</v>
      </c>
      <c r="AK164" s="246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2">
        <f>IF($AB$155="N/A",VLOOKUP($B$153,$AO$151:$AP$154,2,FALSE),VLOOKUP($B$158,$AO$156:$AP$158,2,FALSE))</f>
        <v>7</v>
      </c>
      <c r="AK166" s="247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1" t="s">
        <v>1352</v>
      </c>
      <c r="AG168" s="2441"/>
      <c r="AH168" s="2441"/>
      <c r="AI168" s="2441"/>
      <c r="AJ168" s="2441"/>
      <c r="AK168" s="2441"/>
      <c r="AL168" s="2441"/>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8" t="s">
        <v>1350</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9" t="s">
        <v>591</v>
      </c>
      <c r="AG172" s="2469"/>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8" t="s">
        <v>1343</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0" t="str">
        <f>Application!AA335</f>
        <v xml:space="preserve">FPI Management Corporation </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1">
        <f>IF($AF$172="N/A",VLOOKUP($C$170,$AO$170:$AP$173,2,FALSE),VLOOKUP($C$174,$AO$177:$AP$179,2,FALSE))</f>
        <v>3</v>
      </c>
      <c r="AK180" s="247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9">
        <f>$AJ$166+$AJ$180</f>
        <v>10</v>
      </c>
      <c r="AL183" s="2430"/>
      <c r="AM183" s="243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6" t="s">
        <v>1314</v>
      </c>
      <c r="AF186" s="2406"/>
      <c r="AG186" s="2406"/>
      <c r="AH186" s="2406"/>
      <c r="AI186" s="2406"/>
      <c r="AJ186" s="2406"/>
      <c r="AK186" s="2406"/>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6" t="s">
        <v>1360</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6"/>
      <c r="AE188" s="536"/>
      <c r="AF188" s="2441" t="s">
        <v>1363</v>
      </c>
      <c r="AG188" s="2441"/>
      <c r="AH188" s="2441"/>
      <c r="AI188" s="2441"/>
      <c r="AJ188" s="2441"/>
      <c r="AK188" s="2441"/>
      <c r="AL188" s="2441"/>
      <c r="AN188" s="597"/>
      <c r="AP188" s="550" t="s">
        <v>1043</v>
      </c>
      <c r="AQ188" s="550">
        <v>10</v>
      </c>
    </row>
    <row r="189" spans="1:73" s="550" customFormat="1" ht="12.75" customHeight="1">
      <c r="A189" s="536"/>
      <c r="B189" s="2467" t="s">
        <v>1726</v>
      </c>
      <c r="C189" s="2467"/>
      <c r="D189" s="2467"/>
      <c r="E189" s="2467"/>
      <c r="F189" s="2467"/>
      <c r="G189" s="2467"/>
      <c r="H189" s="2467"/>
      <c r="I189" s="2467"/>
      <c r="J189" s="2467"/>
      <c r="K189" s="2467"/>
      <c r="L189" s="2467"/>
      <c r="M189" s="2467"/>
      <c r="N189" s="2467"/>
      <c r="O189" s="2467"/>
      <c r="P189" s="2467"/>
      <c r="Q189" s="2467"/>
      <c r="R189" s="2467"/>
      <c r="S189" s="2467"/>
      <c r="T189" s="2442" t="s">
        <v>591</v>
      </c>
      <c r="U189" s="2442"/>
      <c r="V189" s="2442"/>
      <c r="W189" s="2442"/>
      <c r="X189" s="2442"/>
      <c r="Y189" s="2442"/>
      <c r="Z189" s="2442"/>
      <c r="AA189" s="2442"/>
      <c r="AB189" s="2442"/>
      <c r="AC189" s="2442"/>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6">
        <f>IF(AK84&gt;0,VLOOKUP($B$188,AP185:AQ191,2,FALSE),0)</f>
        <v>0</v>
      </c>
      <c r="AL191" s="2477"/>
      <c r="AM191" s="247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6" t="s">
        <v>1372</v>
      </c>
      <c r="AF194" s="2406"/>
      <c r="AG194" s="2406"/>
      <c r="AH194" s="2406"/>
      <c r="AI194" s="2406"/>
      <c r="AJ194" s="2406"/>
      <c r="AK194" s="240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3" t="s">
        <v>2746</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6"/>
      <c r="AD199" s="2454">
        <v>5369319</v>
      </c>
      <c r="AE199" s="2454"/>
      <c r="AF199" s="2454"/>
      <c r="AG199" s="2454"/>
      <c r="AH199" s="2454"/>
      <c r="AI199" s="2454"/>
      <c r="AJ199" s="2454"/>
      <c r="AK199" s="610"/>
    </row>
    <row r="200" spans="1:40">
      <c r="A200" s="605"/>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6"/>
      <c r="AD200" s="2454"/>
      <c r="AE200" s="2454"/>
      <c r="AF200" s="2454"/>
      <c r="AG200" s="2454"/>
      <c r="AH200" s="2454"/>
      <c r="AI200" s="2454"/>
      <c r="AJ200" s="2454"/>
      <c r="AK200" s="610"/>
    </row>
    <row r="201" spans="1:40">
      <c r="A201" s="605"/>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6"/>
      <c r="AD201" s="2454"/>
      <c r="AE201" s="2454"/>
      <c r="AF201" s="2454"/>
      <c r="AG201" s="2454"/>
      <c r="AH201" s="2454"/>
      <c r="AI201" s="2454"/>
      <c r="AJ201" s="2454"/>
      <c r="AK201" s="610"/>
    </row>
    <row r="202" spans="1:40">
      <c r="A202" s="605"/>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6"/>
      <c r="AD202" s="2454"/>
      <c r="AE202" s="2454"/>
      <c r="AF202" s="2454"/>
      <c r="AG202" s="2454"/>
      <c r="AH202" s="2454"/>
      <c r="AI202" s="2454"/>
      <c r="AJ202" s="2454"/>
      <c r="AK202" s="610"/>
    </row>
    <row r="203" spans="1:40">
      <c r="A203" s="605"/>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6"/>
      <c r="AD203" s="2454"/>
      <c r="AE203" s="2454"/>
      <c r="AF203" s="2454"/>
      <c r="AG203" s="2454"/>
      <c r="AH203" s="2454"/>
      <c r="AI203" s="2454"/>
      <c r="AJ203" s="2454"/>
      <c r="AK203" s="610"/>
    </row>
    <row r="204" spans="1:40">
      <c r="A204" s="605"/>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6"/>
      <c r="AD204" s="2454"/>
      <c r="AE204" s="2454"/>
      <c r="AF204" s="2454"/>
      <c r="AG204" s="2454"/>
      <c r="AH204" s="2454"/>
      <c r="AI204" s="2454"/>
      <c r="AJ204" s="2454"/>
      <c r="AK204" s="610"/>
    </row>
    <row r="205" spans="1:40">
      <c r="A205" s="605"/>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6"/>
      <c r="AD205" s="2454"/>
      <c r="AE205" s="2454"/>
      <c r="AF205" s="2454"/>
      <c r="AG205" s="2454"/>
      <c r="AH205" s="2454"/>
      <c r="AI205" s="2454"/>
      <c r="AJ205" s="2454"/>
      <c r="AK205" s="610"/>
    </row>
    <row r="206" spans="1:40">
      <c r="A206" s="605"/>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6"/>
      <c r="AD206" s="2454"/>
      <c r="AE206" s="2454"/>
      <c r="AF206" s="2454"/>
      <c r="AG206" s="2454"/>
      <c r="AH206" s="2454"/>
      <c r="AI206" s="2454"/>
      <c r="AJ206" s="2454"/>
      <c r="AK206" s="610"/>
    </row>
    <row r="207" spans="1:40">
      <c r="A207" s="605"/>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6"/>
      <c r="AD207" s="2454"/>
      <c r="AE207" s="2454"/>
      <c r="AF207" s="2454"/>
      <c r="AG207" s="2454"/>
      <c r="AH207" s="2454"/>
      <c r="AI207" s="2454"/>
      <c r="AJ207" s="2454"/>
      <c r="AK207" s="610"/>
    </row>
    <row r="208" spans="1:40">
      <c r="A208" s="605"/>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6"/>
      <c r="AD208" s="2454"/>
      <c r="AE208" s="2454"/>
      <c r="AF208" s="2454"/>
      <c r="AG208" s="2454"/>
      <c r="AH208" s="2454"/>
      <c r="AI208" s="2454"/>
      <c r="AJ208" s="2454"/>
      <c r="AK208" s="610"/>
    </row>
    <row r="209" spans="1:37">
      <c r="A209" s="605"/>
      <c r="B209" s="2464" t="s">
        <v>1627</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6"/>
      <c r="AD209" s="2483">
        <f>AB260</f>
        <v>0</v>
      </c>
      <c r="AE209" s="2483"/>
      <c r="AF209" s="2483"/>
      <c r="AG209" s="2483"/>
      <c r="AH209" s="2483"/>
      <c r="AI209" s="2483"/>
      <c r="AJ209" s="2483"/>
      <c r="AK209" s="610"/>
    </row>
    <row r="210" spans="1:37">
      <c r="A210" s="605"/>
      <c r="B210" s="2610" t="s">
        <v>1590</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6"/>
      <c r="AD210" s="2484">
        <f>'Sources and Uses Budget'!B15</f>
        <v>0</v>
      </c>
      <c r="AE210" s="2484"/>
      <c r="AF210" s="2484"/>
      <c r="AG210" s="2484"/>
      <c r="AH210" s="2484"/>
      <c r="AI210" s="2484"/>
      <c r="AJ210" s="248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8">
        <f>SUM(AD199:AJ209)-AD210</f>
        <v>5369319</v>
      </c>
      <c r="AE211" s="2488"/>
      <c r="AF211" s="2488"/>
      <c r="AG211" s="2488"/>
      <c r="AH211" s="2488"/>
      <c r="AI211" s="2488"/>
      <c r="AJ211" s="248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7" t="s">
        <v>1607</v>
      </c>
      <c r="J222" s="2457"/>
      <c r="K222" s="2457"/>
      <c r="L222" s="536"/>
      <c r="M222" s="536"/>
      <c r="N222" s="536"/>
      <c r="O222" s="536"/>
      <c r="P222" s="536"/>
      <c r="Q222" s="536"/>
      <c r="R222" s="536"/>
      <c r="S222" s="536"/>
      <c r="T222" s="2645" t="s">
        <v>1601</v>
      </c>
      <c r="U222" s="2645"/>
      <c r="V222" s="2645"/>
      <c r="W222" s="2645"/>
      <c r="X222" s="2645"/>
      <c r="Y222" s="2645"/>
      <c r="Z222" s="849"/>
      <c r="AA222" s="489"/>
      <c r="AB222" s="2452" t="s">
        <v>1602</v>
      </c>
      <c r="AC222" s="2452"/>
      <c r="AD222" s="2452"/>
      <c r="AE222" s="2452"/>
      <c r="AF222" s="2452"/>
      <c r="AG222" s="2452"/>
      <c r="AH222" s="827"/>
      <c r="AI222" s="827"/>
      <c r="AJ222" s="827"/>
      <c r="AK222" s="610"/>
    </row>
    <row r="223" spans="1:37">
      <c r="A223" s="605"/>
      <c r="B223" s="2455" t="s">
        <v>1587</v>
      </c>
      <c r="C223" s="2455"/>
      <c r="D223" s="2455"/>
      <c r="E223" s="2455"/>
      <c r="F223" s="2455"/>
      <c r="G223" s="2455"/>
      <c r="I223" s="2456" t="s">
        <v>1608</v>
      </c>
      <c r="J223" s="2456"/>
      <c r="K223" s="2456"/>
      <c r="L223" s="1008"/>
      <c r="N223" s="2462" t="s">
        <v>1603</v>
      </c>
      <c r="O223" s="2462"/>
      <c r="P223" s="2462"/>
      <c r="Q223" s="2462"/>
      <c r="R223" s="2462"/>
      <c r="T223" s="2462" t="s">
        <v>1604</v>
      </c>
      <c r="U223" s="2462"/>
      <c r="V223" s="2462"/>
      <c r="W223" s="2462"/>
      <c r="X223" s="2462"/>
      <c r="Y223" s="2462"/>
      <c r="Z223" s="850"/>
      <c r="AA223" s="489"/>
      <c r="AB223" s="2599" t="s">
        <v>1605</v>
      </c>
      <c r="AC223" s="2599"/>
      <c r="AD223" s="2599"/>
      <c r="AE223" s="2599"/>
      <c r="AF223" s="2599"/>
      <c r="AG223" s="2599"/>
      <c r="AH223" s="827"/>
      <c r="AI223" s="827"/>
      <c r="AJ223" s="827"/>
      <c r="AK223" s="610"/>
    </row>
    <row r="224" spans="1:37">
      <c r="A224" s="605"/>
      <c r="B224" s="2459" t="s">
        <v>1184</v>
      </c>
      <c r="C224" s="2459"/>
      <c r="D224" s="2459"/>
      <c r="E224" s="2459"/>
      <c r="F224" s="2459"/>
      <c r="G224" s="2459"/>
      <c r="H224" s="852"/>
      <c r="I224" s="2458"/>
      <c r="J224" s="2458"/>
      <c r="K224" s="2458"/>
      <c r="L224" s="1008"/>
      <c r="N224" s="2463"/>
      <c r="O224" s="2463"/>
      <c r="P224" s="2463"/>
      <c r="Q224" s="2463"/>
      <c r="R224" s="2463"/>
      <c r="T224" s="2611"/>
      <c r="U224" s="2611"/>
      <c r="V224" s="2611"/>
      <c r="W224" s="2611"/>
      <c r="X224" s="2611"/>
      <c r="Y224" s="2611"/>
      <c r="Z224" s="851"/>
      <c r="AA224" s="851"/>
      <c r="AB224" s="2460">
        <f t="shared" ref="AB224:AB233" si="0">MAX(($T224-$N224)*$I224*12,0)</f>
        <v>0</v>
      </c>
      <c r="AC224" s="2460"/>
      <c r="AD224" s="2460"/>
      <c r="AE224" s="2460"/>
      <c r="AF224" s="2460"/>
      <c r="AG224" s="2460"/>
      <c r="AH224" s="827"/>
      <c r="AI224" s="827"/>
      <c r="AJ224" s="827"/>
      <c r="AK224" s="610"/>
    </row>
    <row r="225" spans="1:37">
      <c r="A225" s="605"/>
      <c r="B225" s="2459" t="s">
        <v>1184</v>
      </c>
      <c r="C225" s="2459"/>
      <c r="D225" s="2459"/>
      <c r="E225" s="2459"/>
      <c r="F225" s="2459"/>
      <c r="G225" s="2459"/>
      <c r="I225" s="2458"/>
      <c r="J225" s="2458"/>
      <c r="K225" s="2458"/>
      <c r="L225" s="1008"/>
      <c r="N225" s="2463"/>
      <c r="O225" s="2463"/>
      <c r="P225" s="2463"/>
      <c r="Q225" s="2463"/>
      <c r="R225" s="2463"/>
      <c r="T225" s="2611"/>
      <c r="U225" s="2611"/>
      <c r="V225" s="2611"/>
      <c r="W225" s="2611"/>
      <c r="X225" s="2611"/>
      <c r="Y225" s="2611"/>
      <c r="Z225" s="851"/>
      <c r="AA225" s="851"/>
      <c r="AB225" s="2460">
        <f t="shared" si="0"/>
        <v>0</v>
      </c>
      <c r="AC225" s="2460"/>
      <c r="AD225" s="2460"/>
      <c r="AE225" s="2460"/>
      <c r="AF225" s="2460"/>
      <c r="AG225" s="2460"/>
      <c r="AH225" s="827"/>
      <c r="AI225" s="827"/>
      <c r="AJ225" s="827"/>
      <c r="AK225" s="610"/>
    </row>
    <row r="226" spans="1:37">
      <c r="A226" s="605"/>
      <c r="B226" s="2459" t="s">
        <v>1184</v>
      </c>
      <c r="C226" s="2459"/>
      <c r="D226" s="2459"/>
      <c r="E226" s="2459"/>
      <c r="F226" s="2459"/>
      <c r="G226" s="2459"/>
      <c r="I226" s="2458"/>
      <c r="J226" s="2458"/>
      <c r="K226" s="2458"/>
      <c r="L226" s="1008"/>
      <c r="N226" s="2463"/>
      <c r="O226" s="2463"/>
      <c r="P226" s="2463"/>
      <c r="Q226" s="2463"/>
      <c r="R226" s="2463"/>
      <c r="T226" s="2611"/>
      <c r="U226" s="2611"/>
      <c r="V226" s="2611"/>
      <c r="W226" s="2611"/>
      <c r="X226" s="2611"/>
      <c r="Y226" s="2611"/>
      <c r="Z226" s="851"/>
      <c r="AA226" s="851"/>
      <c r="AB226" s="2460">
        <f t="shared" si="0"/>
        <v>0</v>
      </c>
      <c r="AC226" s="2460"/>
      <c r="AD226" s="2460"/>
      <c r="AE226" s="2460"/>
      <c r="AF226" s="2460"/>
      <c r="AG226" s="2460"/>
      <c r="AH226" s="827"/>
      <c r="AI226" s="827"/>
      <c r="AJ226" s="827"/>
      <c r="AK226" s="610"/>
    </row>
    <row r="227" spans="1:37">
      <c r="A227" s="605"/>
      <c r="B227" s="2459" t="s">
        <v>1184</v>
      </c>
      <c r="C227" s="2459"/>
      <c r="D227" s="2459"/>
      <c r="E227" s="2459"/>
      <c r="F227" s="2459"/>
      <c r="G227" s="2459"/>
      <c r="I227" s="2458"/>
      <c r="J227" s="2458"/>
      <c r="K227" s="2458"/>
      <c r="L227" s="1008"/>
      <c r="N227" s="2463"/>
      <c r="O227" s="2463"/>
      <c r="P227" s="2463"/>
      <c r="Q227" s="2463"/>
      <c r="R227" s="2463"/>
      <c r="T227" s="2611"/>
      <c r="U227" s="2611"/>
      <c r="V227" s="2611"/>
      <c r="W227" s="2611"/>
      <c r="X227" s="2611"/>
      <c r="Y227" s="2611"/>
      <c r="Z227" s="851"/>
      <c r="AA227" s="851"/>
      <c r="AB227" s="2460">
        <f t="shared" si="0"/>
        <v>0</v>
      </c>
      <c r="AC227" s="2460"/>
      <c r="AD227" s="2460"/>
      <c r="AE227" s="2460"/>
      <c r="AF227" s="2460"/>
      <c r="AG227" s="2460"/>
      <c r="AH227" s="827"/>
      <c r="AI227" s="827"/>
      <c r="AJ227" s="827"/>
      <c r="AK227" s="610"/>
    </row>
    <row r="228" spans="1:37">
      <c r="A228" s="605"/>
      <c r="B228" s="2459" t="s">
        <v>1184</v>
      </c>
      <c r="C228" s="2459"/>
      <c r="D228" s="2459"/>
      <c r="E228" s="2459"/>
      <c r="F228" s="2459"/>
      <c r="G228" s="2459"/>
      <c r="I228" s="2458"/>
      <c r="J228" s="2458"/>
      <c r="K228" s="2458"/>
      <c r="L228" s="1015"/>
      <c r="N228" s="2463"/>
      <c r="O228" s="2463"/>
      <c r="P228" s="2463"/>
      <c r="Q228" s="2463"/>
      <c r="R228" s="2463"/>
      <c r="T228" s="2611"/>
      <c r="U228" s="2611"/>
      <c r="V228" s="2611"/>
      <c r="W228" s="2611"/>
      <c r="X228" s="2611"/>
      <c r="Y228" s="2611"/>
      <c r="Z228" s="851"/>
      <c r="AA228" s="851"/>
      <c r="AB228" s="2460">
        <f t="shared" si="0"/>
        <v>0</v>
      </c>
      <c r="AC228" s="2460"/>
      <c r="AD228" s="2460"/>
      <c r="AE228" s="2460"/>
      <c r="AF228" s="2460"/>
      <c r="AG228" s="2460"/>
      <c r="AH228" s="827"/>
      <c r="AI228" s="827"/>
      <c r="AJ228" s="827"/>
      <c r="AK228" s="610"/>
    </row>
    <row r="229" spans="1:37">
      <c r="A229" s="605"/>
      <c r="B229" s="2459" t="s">
        <v>1184</v>
      </c>
      <c r="C229" s="2459"/>
      <c r="D229" s="2459"/>
      <c r="E229" s="2459"/>
      <c r="F229" s="2459"/>
      <c r="G229" s="2459"/>
      <c r="I229" s="2458"/>
      <c r="J229" s="2458"/>
      <c r="K229" s="2458"/>
      <c r="L229" s="1015"/>
      <c r="N229" s="2463"/>
      <c r="O229" s="2463"/>
      <c r="P229" s="2463"/>
      <c r="Q229" s="2463"/>
      <c r="R229" s="2463"/>
      <c r="T229" s="2611"/>
      <c r="U229" s="2611"/>
      <c r="V229" s="2611"/>
      <c r="W229" s="2611"/>
      <c r="X229" s="2611"/>
      <c r="Y229" s="2611"/>
      <c r="Z229" s="851"/>
      <c r="AA229" s="851"/>
      <c r="AB229" s="2460">
        <f t="shared" si="0"/>
        <v>0</v>
      </c>
      <c r="AC229" s="2460"/>
      <c r="AD229" s="2460"/>
      <c r="AE229" s="2460"/>
      <c r="AF229" s="2460"/>
      <c r="AG229" s="2460"/>
      <c r="AH229" s="827"/>
      <c r="AI229" s="827"/>
      <c r="AJ229" s="827"/>
      <c r="AK229" s="610"/>
    </row>
    <row r="230" spans="1:37">
      <c r="A230" s="605"/>
      <c r="B230" s="2459" t="s">
        <v>1184</v>
      </c>
      <c r="C230" s="2459"/>
      <c r="D230" s="2459"/>
      <c r="E230" s="2459"/>
      <c r="F230" s="2459"/>
      <c r="G230" s="2459"/>
      <c r="I230" s="2458"/>
      <c r="J230" s="2458"/>
      <c r="K230" s="2458"/>
      <c r="L230" s="1015"/>
      <c r="N230" s="2463"/>
      <c r="O230" s="2463"/>
      <c r="P230" s="2463"/>
      <c r="Q230" s="2463"/>
      <c r="R230" s="2463"/>
      <c r="T230" s="2611"/>
      <c r="U230" s="2611"/>
      <c r="V230" s="2611"/>
      <c r="W230" s="2611"/>
      <c r="X230" s="2611"/>
      <c r="Y230" s="2611"/>
      <c r="Z230" s="851"/>
      <c r="AA230" s="851"/>
      <c r="AB230" s="2460">
        <f t="shared" si="0"/>
        <v>0</v>
      </c>
      <c r="AC230" s="2460"/>
      <c r="AD230" s="2460"/>
      <c r="AE230" s="2460"/>
      <c r="AF230" s="2460"/>
      <c r="AG230" s="2460"/>
      <c r="AH230" s="827"/>
      <c r="AI230" s="827"/>
      <c r="AJ230" s="827"/>
      <c r="AK230" s="610"/>
    </row>
    <row r="231" spans="1:37">
      <c r="A231" s="605"/>
      <c r="B231" s="2459" t="s">
        <v>1184</v>
      </c>
      <c r="C231" s="2459"/>
      <c r="D231" s="2459"/>
      <c r="E231" s="2459"/>
      <c r="F231" s="2459"/>
      <c r="G231" s="2459"/>
      <c r="I231" s="2458"/>
      <c r="J231" s="2458"/>
      <c r="K231" s="2458"/>
      <c r="L231" s="1015"/>
      <c r="N231" s="2463"/>
      <c r="O231" s="2463"/>
      <c r="P231" s="2463"/>
      <c r="Q231" s="2463"/>
      <c r="R231" s="2463"/>
      <c r="T231" s="2611"/>
      <c r="U231" s="2611"/>
      <c r="V231" s="2611"/>
      <c r="W231" s="2611"/>
      <c r="X231" s="2611"/>
      <c r="Y231" s="2611"/>
      <c r="Z231" s="851"/>
      <c r="AA231" s="851"/>
      <c r="AB231" s="2460">
        <f t="shared" si="0"/>
        <v>0</v>
      </c>
      <c r="AC231" s="2460"/>
      <c r="AD231" s="2460"/>
      <c r="AE231" s="2460"/>
      <c r="AF231" s="2460"/>
      <c r="AG231" s="2460"/>
      <c r="AH231" s="827"/>
      <c r="AI231" s="827"/>
      <c r="AJ231" s="827"/>
      <c r="AK231" s="610"/>
    </row>
    <row r="232" spans="1:37">
      <c r="A232" s="605"/>
      <c r="B232" s="2459" t="s">
        <v>1184</v>
      </c>
      <c r="C232" s="2459"/>
      <c r="D232" s="2459"/>
      <c r="E232" s="2459"/>
      <c r="F232" s="2459"/>
      <c r="G232" s="2459"/>
      <c r="I232" s="2458"/>
      <c r="J232" s="2458"/>
      <c r="K232" s="2458"/>
      <c r="L232" s="1015"/>
      <c r="N232" s="2463"/>
      <c r="O232" s="2463"/>
      <c r="P232" s="2463"/>
      <c r="Q232" s="2463"/>
      <c r="R232" s="2463"/>
      <c r="T232" s="2611"/>
      <c r="U232" s="2611"/>
      <c r="V232" s="2611"/>
      <c r="W232" s="2611"/>
      <c r="X232" s="2611"/>
      <c r="Y232" s="2611"/>
      <c r="Z232" s="851"/>
      <c r="AA232" s="851"/>
      <c r="AB232" s="2460">
        <f t="shared" si="0"/>
        <v>0</v>
      </c>
      <c r="AC232" s="2460"/>
      <c r="AD232" s="2460"/>
      <c r="AE232" s="2460"/>
      <c r="AF232" s="2460"/>
      <c r="AG232" s="2460"/>
      <c r="AH232" s="827"/>
      <c r="AI232" s="827"/>
      <c r="AJ232" s="827"/>
      <c r="AK232" s="610"/>
    </row>
    <row r="233" spans="1:37">
      <c r="A233" s="605"/>
      <c r="B233" s="2459" t="s">
        <v>1184</v>
      </c>
      <c r="C233" s="2459"/>
      <c r="D233" s="2459"/>
      <c r="E233" s="2459"/>
      <c r="F233" s="2459"/>
      <c r="G233" s="2459"/>
      <c r="I233" s="2461"/>
      <c r="J233" s="2461"/>
      <c r="K233" s="2461"/>
      <c r="L233" s="1015"/>
      <c r="N233" s="2463"/>
      <c r="O233" s="2463"/>
      <c r="P233" s="2463"/>
      <c r="Q233" s="2463"/>
      <c r="R233" s="2463"/>
      <c r="T233" s="2611"/>
      <c r="U233" s="2611"/>
      <c r="V233" s="2611"/>
      <c r="W233" s="2611"/>
      <c r="X233" s="2611"/>
      <c r="Y233" s="2611"/>
      <c r="Z233" s="851"/>
      <c r="AA233" s="851"/>
      <c r="AB233" s="2609">
        <f t="shared" si="0"/>
        <v>0</v>
      </c>
      <c r="AC233" s="2609"/>
      <c r="AD233" s="2609"/>
      <c r="AE233" s="2609"/>
      <c r="AF233" s="2609"/>
      <c r="AG233" s="260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0">
        <f>SUM(AB224:AB233)</f>
        <v>0</v>
      </c>
      <c r="AC234" s="2460"/>
      <c r="AD234" s="2460"/>
      <c r="AE234" s="2460"/>
      <c r="AF234" s="2460"/>
      <c r="AG234" s="246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2"/>
      <c r="AC240" s="2612"/>
      <c r="AD240" s="2612"/>
      <c r="AE240" s="2612"/>
      <c r="AF240" s="2612"/>
      <c r="AG240" s="2612"/>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2"/>
      <c r="AC243" s="2612"/>
      <c r="AD243" s="2612"/>
      <c r="AE243" s="2612"/>
      <c r="AF243" s="2612"/>
      <c r="AG243" s="2612"/>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4"/>
      <c r="AC244" s="2644"/>
      <c r="AD244" s="2644"/>
      <c r="AE244" s="2644"/>
      <c r="AF244" s="2644"/>
      <c r="AG244" s="2644"/>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6">
        <f>IFERROR(AB243/AB244,0)</f>
        <v>0</v>
      </c>
      <c r="AC245" s="2626"/>
      <c r="AD245" s="2626"/>
      <c r="AE245" s="2626"/>
      <c r="AF245" s="2626"/>
      <c r="AG245" s="262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9">
        <f>MAX(AB240,AB245)</f>
        <v>0</v>
      </c>
      <c r="AC247" s="2609"/>
      <c r="AD247" s="2609"/>
      <c r="AE247" s="2609"/>
      <c r="AF247" s="2609"/>
      <c r="AG247" s="260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0">
        <f>AB234+AB247</f>
        <v>0</v>
      </c>
      <c r="AC250" s="2460"/>
      <c r="AD250" s="2460"/>
      <c r="AE250" s="2460"/>
      <c r="AF250" s="2460"/>
      <c r="AG250" s="246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2">
        <v>0.05</v>
      </c>
      <c r="AC251" s="2492"/>
      <c r="AD251" s="2492"/>
      <c r="AE251" s="2492"/>
      <c r="AF251" s="2492"/>
      <c r="AG251" s="2492"/>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3">
        <f>AB250-(AB250*AB251)</f>
        <v>0</v>
      </c>
      <c r="AC252" s="2493"/>
      <c r="AD252" s="2493"/>
      <c r="AE252" s="2493"/>
      <c r="AF252" s="2493"/>
      <c r="AG252" s="2493"/>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0">
        <f>AB252/AB258</f>
        <v>0</v>
      </c>
      <c r="AC254" s="2460"/>
      <c r="AD254" s="2460"/>
      <c r="AE254" s="2460"/>
      <c r="AF254" s="2460"/>
      <c r="AG254" s="246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2">
        <v>15</v>
      </c>
      <c r="AC256" s="2452"/>
      <c r="AD256" s="2452"/>
      <c r="AE256" s="2452"/>
      <c r="AF256" s="2452"/>
      <c r="AG256" s="245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4">
        <v>0.04</v>
      </c>
      <c r="AC257" s="2494"/>
      <c r="AD257" s="2494"/>
      <c r="AE257" s="2494"/>
      <c r="AF257" s="2494"/>
      <c r="AG257" s="249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5">
        <v>1.1499999999999999</v>
      </c>
      <c r="AC258" s="2465"/>
      <c r="AD258" s="2465"/>
      <c r="AE258" s="2465"/>
      <c r="AF258" s="2465"/>
      <c r="AG258" s="246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5">
        <f>PV(AB257/12,AB256*12,-AB254/12, ,0)</f>
        <v>0</v>
      </c>
      <c r="AC260" s="2486"/>
      <c r="AD260" s="2486"/>
      <c r="AE260" s="2486"/>
      <c r="AF260" s="2486"/>
      <c r="AG260" s="248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9">
        <f>IFERROR(('Sources and Uses Budget'!D105/'Sources and Uses Budget'!B105),0)</f>
        <v>0</v>
      </c>
      <c r="AC266" s="2490"/>
      <c r="AD266" s="2490"/>
      <c r="AE266" s="2490"/>
      <c r="AF266" s="2490"/>
      <c r="AG266" s="249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9">
        <f>AD211*(1-AB266)</f>
        <v>5369319</v>
      </c>
      <c r="AH268" s="2479"/>
      <c r="AI268" s="2479"/>
      <c r="AJ268" s="2479"/>
      <c r="AK268" s="2479"/>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9">
        <f>'Sources and Uses Budget'!C105</f>
        <v>62718457</v>
      </c>
      <c r="AH269" s="2479"/>
      <c r="AI269" s="2479"/>
      <c r="AJ269" s="2479"/>
      <c r="AK269" s="247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0">
        <f>ROUNDDOWN(IF(AND(C292="Yes",AK84=10),((AG268*2)/AG269),AG268/AG269),2)</f>
        <v>0.08</v>
      </c>
      <c r="AH270" s="2480"/>
      <c r="AI270" s="2480"/>
      <c r="AJ270" s="2480"/>
      <c r="AK270" s="248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1">
        <f>IFERROR(IF(AG270=0,0,IF((AG270*100)&gt;8,8,(AG270*100))),0)</f>
        <v>8</v>
      </c>
      <c r="AL273" s="2481"/>
      <c r="AM273" s="248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3" t="s">
        <v>545</v>
      </c>
      <c r="D278" s="2473"/>
      <c r="E278" s="547"/>
      <c r="F278" s="2630" t="s">
        <v>2024</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0"/>
      <c r="AF278" s="635"/>
      <c r="AG278" s="2474" t="s">
        <v>1363</v>
      </c>
      <c r="AH278" s="2474"/>
      <c r="AI278" s="2474"/>
      <c r="AJ278" s="2474"/>
      <c r="AK278" s="550"/>
      <c r="AL278" s="550"/>
      <c r="AM278" s="550"/>
      <c r="AO278" s="550"/>
    </row>
    <row r="279" spans="1:52" ht="13.7" customHeight="1">
      <c r="A279" s="550"/>
      <c r="B279" s="596"/>
      <c r="C279" s="636"/>
      <c r="D279" s="550"/>
      <c r="E279" s="547"/>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0"/>
      <c r="AF279" s="635"/>
      <c r="AG279" s="635"/>
      <c r="AH279" s="635"/>
      <c r="AI279" s="635"/>
      <c r="AJ279" s="550"/>
      <c r="AK279" s="550"/>
      <c r="AL279" s="550"/>
      <c r="AM279" s="550"/>
      <c r="AO279" s="550"/>
    </row>
    <row r="280" spans="1:52">
      <c r="A280" s="550"/>
      <c r="B280" s="596"/>
      <c r="C280" s="636"/>
      <c r="D280" s="550"/>
      <c r="E280" s="547"/>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0"/>
      <c r="AF280" s="635"/>
      <c r="AG280" s="635"/>
      <c r="AH280" s="635"/>
      <c r="AI280" s="635"/>
      <c r="AJ280" s="550"/>
      <c r="AK280" s="550"/>
      <c r="AL280" s="550"/>
      <c r="AM280" s="550"/>
      <c r="AO280" s="550"/>
      <c r="AP280" s="637"/>
    </row>
    <row r="281" spans="1:52">
      <c r="A281" s="550"/>
      <c r="B281" s="596"/>
      <c r="C281" s="636"/>
      <c r="D281" s="550"/>
      <c r="E281" s="547"/>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0"/>
      <c r="AF281" s="635"/>
      <c r="AG281" s="635"/>
      <c r="AH281" s="635"/>
      <c r="AI281" s="635"/>
      <c r="AJ281" s="550"/>
      <c r="AK281" s="550"/>
      <c r="AL281" s="550"/>
      <c r="AM281" s="550"/>
      <c r="AO281" s="550"/>
      <c r="AP281" s="637"/>
    </row>
    <row r="282" spans="1:52" ht="13.7" customHeight="1">
      <c r="A282" s="550"/>
      <c r="B282" s="596"/>
      <c r="C282" s="2475"/>
      <c r="D282" s="2475"/>
      <c r="E282" s="547"/>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0"/>
      <c r="AF282" s="635"/>
      <c r="AG282" s="2474"/>
      <c r="AH282" s="2474"/>
      <c r="AI282" s="2474"/>
      <c r="AJ282" s="247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1">
        <f>IF($C$278="yes",10,0)</f>
        <v>10</v>
      </c>
      <c r="AL285" s="2481"/>
      <c r="AM285" s="248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1382</v>
      </c>
      <c r="B292" s="1628"/>
      <c r="C292" s="2469" t="s">
        <v>591</v>
      </c>
      <c r="D292" s="2473"/>
      <c r="E292" s="547"/>
      <c r="F292" s="2501" t="s">
        <v>1383</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2"/>
      <c r="AF292" s="550"/>
      <c r="AG292" s="2504" t="s">
        <v>2017</v>
      </c>
      <c r="AH292" s="2504"/>
      <c r="AI292" s="2504"/>
      <c r="AJ292" s="2504"/>
      <c r="AK292" s="2504"/>
      <c r="AL292" s="550"/>
      <c r="AM292" s="550"/>
      <c r="AN292" s="73"/>
      <c r="AO292" s="14"/>
      <c r="AP292" s="30"/>
      <c r="AS292" s="570"/>
      <c r="AT292" s="570"/>
      <c r="AU292" s="570"/>
      <c r="AV292" s="32"/>
      <c r="AW292" s="32"/>
    </row>
    <row r="293" spans="1:49">
      <c r="A293" s="640"/>
      <c r="B293" s="596"/>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5" t="s">
        <v>2025</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5" t="s">
        <v>1384</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5" t="s">
        <v>1385</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1386</v>
      </c>
      <c r="B302" s="1628"/>
      <c r="C302" s="2473" t="s">
        <v>591</v>
      </c>
      <c r="D302" s="2473"/>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3" t="s">
        <v>2019</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1"/>
      <c r="AF303" s="551"/>
      <c r="AG303" s="551"/>
      <c r="AH303" s="551"/>
      <c r="AI303" s="551"/>
      <c r="AJ303" s="550"/>
      <c r="AK303" s="550"/>
      <c r="AL303" s="550"/>
      <c r="AM303" s="550"/>
      <c r="AR303" s="648"/>
    </row>
    <row r="304" spans="1:49" ht="15" customHeight="1">
      <c r="A304" s="550"/>
      <c r="B304" s="551"/>
      <c r="C304" s="550"/>
      <c r="D304" s="551"/>
      <c r="E304" s="550"/>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1"/>
      <c r="AF304" s="551"/>
      <c r="AG304" s="551"/>
      <c r="AH304" s="551"/>
      <c r="AI304" s="551"/>
      <c r="AJ304" s="550"/>
      <c r="AK304" s="550"/>
      <c r="AL304" s="550"/>
      <c r="AM304" s="550"/>
      <c r="AR304" s="648"/>
    </row>
    <row r="305" spans="1:44">
      <c r="A305" s="550"/>
      <c r="B305" s="551"/>
      <c r="C305" s="550"/>
      <c r="D305" s="551"/>
      <c r="E305" s="550"/>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1389</v>
      </c>
      <c r="B310" s="1628"/>
      <c r="C310" s="2473" t="s">
        <v>591</v>
      </c>
      <c r="D310" s="247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5" t="s">
        <v>2026</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1"/>
      <c r="AF311" s="551"/>
      <c r="AG311" s="539"/>
      <c r="AH311" s="551"/>
      <c r="AI311" s="551"/>
      <c r="AJ311" s="550"/>
      <c r="AK311" s="550"/>
      <c r="AL311" s="550"/>
      <c r="AM311" s="550"/>
      <c r="AN311" s="73"/>
      <c r="AO311" s="14"/>
      <c r="AP311" s="557" t="s">
        <v>1184</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5" t="s">
        <v>1184</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2"/>
      <c r="AF316" s="642"/>
      <c r="AG316" s="642"/>
      <c r="AH316" s="642"/>
      <c r="AI316" s="642"/>
      <c r="AJ316" s="642"/>
      <c r="AK316" s="642"/>
      <c r="AL316" s="550"/>
      <c r="AM316" s="550"/>
      <c r="AN316" s="73"/>
      <c r="AO316" s="14"/>
      <c r="AP316" s="30"/>
    </row>
    <row r="317" spans="1:44" hidden="1">
      <c r="A317" s="550"/>
      <c r="B317" s="551"/>
      <c r="C317" s="730"/>
      <c r="D317" s="730"/>
      <c r="E317" s="547"/>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1"/>
      <c r="AF317" s="551"/>
      <c r="AG317" s="539"/>
      <c r="AH317" s="551"/>
      <c r="AI317" s="551"/>
      <c r="AJ317" s="550"/>
      <c r="AK317" s="550"/>
      <c r="AL317" s="550"/>
      <c r="AM317" s="550"/>
      <c r="AN317" s="73"/>
      <c r="AO317" s="14"/>
      <c r="AP317" s="30"/>
    </row>
    <row r="318" spans="1:44" hidden="1">
      <c r="A318" s="550"/>
      <c r="B318" s="551"/>
      <c r="C318" s="730"/>
      <c r="D318" s="730"/>
      <c r="E318" s="547"/>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1"/>
      <c r="AF318" s="551"/>
      <c r="AG318" s="539"/>
      <c r="AH318" s="551"/>
      <c r="AI318" s="551"/>
      <c r="AJ318" s="550"/>
      <c r="AK318" s="550"/>
      <c r="AL318" s="550"/>
      <c r="AM318" s="550"/>
      <c r="AN318" s="73"/>
      <c r="AO318" s="14"/>
      <c r="AP318" s="30"/>
    </row>
    <row r="319" spans="1:44" hidden="1">
      <c r="A319" s="550"/>
      <c r="B319" s="551"/>
      <c r="C319" s="730"/>
      <c r="D319" s="730"/>
      <c r="E319" s="547"/>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1"/>
      <c r="AF319" s="551"/>
      <c r="AG319" s="539"/>
      <c r="AH319" s="551"/>
      <c r="AI319" s="551"/>
      <c r="AJ319" s="550"/>
      <c r="AK319" s="550"/>
      <c r="AL319" s="550"/>
      <c r="AM319" s="550"/>
      <c r="AN319" s="73"/>
      <c r="AO319" s="14"/>
      <c r="AP319" s="30"/>
    </row>
    <row r="320" spans="1:44" hidden="1">
      <c r="A320" s="550"/>
      <c r="B320" s="551"/>
      <c r="C320" s="730"/>
      <c r="D320" s="730"/>
      <c r="E320" s="547"/>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1" t="s">
        <v>1184</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1" t="s">
        <v>1184</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8" t="s">
        <v>1392</v>
      </c>
      <c r="B333" s="1628"/>
      <c r="C333" s="2473" t="s">
        <v>591</v>
      </c>
      <c r="D333" s="2473"/>
      <c r="E333" s="547"/>
      <c r="F333" s="2397" t="s">
        <v>2027</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1"/>
      <c r="AF334" s="551"/>
      <c r="AG334" s="551"/>
      <c r="AH334" s="551"/>
      <c r="AI334" s="551"/>
      <c r="AJ334" s="550"/>
      <c r="AK334" s="550"/>
      <c r="AL334" s="550"/>
      <c r="AM334" s="550"/>
      <c r="AN334" s="73"/>
      <c r="AO334" s="14"/>
    </row>
    <row r="335" spans="1:42" ht="15" hidden="1" customHeight="1">
      <c r="A335" s="550"/>
      <c r="B335" s="551"/>
      <c r="C335" s="551"/>
      <c r="D335" s="551"/>
      <c r="E335" s="551"/>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6">
        <f>IF(NOT(OR(Application!M355="Yes",Application!M356="Yes")),0,AP295)</f>
        <v>0</v>
      </c>
      <c r="AL338" s="2477"/>
      <c r="AM338" s="247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6" t="s">
        <v>1314</v>
      </c>
      <c r="AF341" s="2406"/>
      <c r="AG341" s="2406"/>
      <c r="AH341" s="2406"/>
      <c r="AI341" s="2406"/>
      <c r="AJ341" s="2406"/>
      <c r="AK341" s="240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5" t="s">
        <v>1454</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3"/>
      <c r="AL343" s="603"/>
      <c r="AM343" s="603"/>
      <c r="AN343" s="597"/>
    </row>
    <row r="344" spans="1:44" s="550" customFormat="1" ht="12.75" customHeight="1">
      <c r="A344" s="603"/>
      <c r="B344" s="611"/>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3"/>
      <c r="AL344" s="603"/>
      <c r="AM344" s="603"/>
      <c r="AN344" s="597"/>
    </row>
    <row r="345" spans="1:44" s="550" customFormat="1" ht="12.75" customHeight="1">
      <c r="A345" s="603"/>
      <c r="B345" s="611"/>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3"/>
      <c r="AL345" s="603"/>
      <c r="AM345" s="603"/>
      <c r="AN345" s="597"/>
      <c r="AQ345" s="570"/>
    </row>
    <row r="346" spans="1:44" s="550" customFormat="1" ht="12.75" customHeight="1">
      <c r="A346" s="603"/>
      <c r="B346" s="611"/>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3"/>
      <c r="AL346" s="603"/>
      <c r="AM346" s="603"/>
      <c r="AN346" s="597"/>
      <c r="AQ346" s="570"/>
    </row>
    <row r="347" spans="1:44" s="550" customFormat="1" ht="12.4" customHeight="1">
      <c r="A347" s="603"/>
      <c r="B347" s="611"/>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3"/>
      <c r="AL347" s="603"/>
      <c r="AM347" s="603"/>
      <c r="AN347" s="597"/>
      <c r="AQ347" s="570"/>
      <c r="AR347" s="570"/>
    </row>
    <row r="348" spans="1:44" s="550" customFormat="1" ht="45.75" customHeight="1">
      <c r="A348" s="603"/>
      <c r="B348" s="611"/>
      <c r="C348" s="2515" t="s">
        <v>2092</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5" t="s">
        <v>2207</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3"/>
      <c r="AL350" s="603"/>
      <c r="AM350" s="603"/>
      <c r="AN350" s="597"/>
      <c r="AQ350" s="570"/>
      <c r="AR350" s="570"/>
    </row>
    <row r="351" spans="1:44" s="550" customFormat="1" ht="30" customHeight="1">
      <c r="A351" s="603"/>
      <c r="B351" s="611"/>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3"/>
      <c r="AL351" s="603"/>
      <c r="AM351" s="603"/>
      <c r="AN351" s="597"/>
      <c r="AR351" s="570"/>
    </row>
    <row r="352" spans="1:44" s="550" customFormat="1" ht="12.75" customHeight="1">
      <c r="A352" s="603"/>
      <c r="B352" s="611"/>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3"/>
      <c r="AL352" s="603"/>
      <c r="AM352" s="603"/>
      <c r="AN352" s="597"/>
      <c r="AR352" s="570"/>
    </row>
    <row r="353" spans="1:46" s="550" customFormat="1" ht="12.75" customHeight="1">
      <c r="A353" s="603"/>
      <c r="B353" s="611"/>
      <c r="C353" s="2515" t="s">
        <v>1455</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3"/>
      <c r="AL353" s="603"/>
      <c r="AM353" s="603"/>
      <c r="AN353" s="597"/>
      <c r="AQ353" s="570"/>
      <c r="AR353" s="570"/>
    </row>
    <row r="354" spans="1:46" s="550" customFormat="1" ht="12.75" customHeight="1">
      <c r="A354" s="603"/>
      <c r="B354" s="611"/>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3"/>
      <c r="AL354" s="603"/>
      <c r="AM354" s="603"/>
      <c r="AN354" s="597"/>
      <c r="AQ354" s="570"/>
      <c r="AR354" s="570"/>
    </row>
    <row r="355" spans="1:46" s="550" customFormat="1" ht="13.15" customHeight="1">
      <c r="A355" s="603"/>
      <c r="B355" s="611"/>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3"/>
      <c r="AL355" s="603"/>
      <c r="AM355" s="603"/>
      <c r="AN355" s="597"/>
      <c r="AQ355" s="570"/>
      <c r="AR355" s="570"/>
    </row>
    <row r="356" spans="1:46" s="550" customFormat="1" ht="12.75" customHeight="1">
      <c r="A356" s="603"/>
      <c r="B356" s="611"/>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3"/>
      <c r="AL356" s="603"/>
      <c r="AM356" s="603"/>
      <c r="AN356" s="597"/>
      <c r="AO356" s="694"/>
      <c r="AP356" s="694"/>
      <c r="AQ356" s="570"/>
    </row>
    <row r="357" spans="1:46" s="550" customFormat="1" ht="11.85" customHeight="1">
      <c r="A357" s="603"/>
      <c r="B357" s="611"/>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3"/>
      <c r="AL357" s="603"/>
      <c r="AM357" s="603"/>
      <c r="AN357" s="597"/>
      <c r="AO357" s="695" t="s">
        <v>112</v>
      </c>
      <c r="AP357" s="696">
        <f>IF(C381="Yes",5,0)</f>
        <v>0</v>
      </c>
      <c r="AS357" s="539" t="s">
        <v>1456</v>
      </c>
    </row>
    <row r="358" spans="1:46" s="550" customFormat="1" ht="12.75" customHeight="1">
      <c r="A358" s="603"/>
      <c r="B358" s="611"/>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3"/>
      <c r="AL358" s="603"/>
      <c r="AM358" s="603"/>
      <c r="AN358" s="597"/>
      <c r="AO358" s="695" t="s">
        <v>113</v>
      </c>
      <c r="AP358" s="696">
        <f>IF(C389="Yes",5,0)</f>
        <v>0</v>
      </c>
      <c r="AS358" s="2536">
        <f>IF(Application!D211="Non-Targeted",(SUM(AQ366+AQ375)),AS362)</f>
        <v>10</v>
      </c>
      <c r="AT358" s="2536"/>
    </row>
    <row r="359" spans="1:46" s="550" customFormat="1" ht="12.75" customHeight="1">
      <c r="A359" s="603"/>
      <c r="B359" s="611"/>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3"/>
      <c r="AL359" s="603"/>
      <c r="AM359" s="603"/>
      <c r="AN359" s="597"/>
      <c r="AO359" s="695" t="s">
        <v>119</v>
      </c>
      <c r="AP359" s="696">
        <f>IF(C397="Yes",7,0)</f>
        <v>7</v>
      </c>
      <c r="AS359" s="539" t="s">
        <v>1457</v>
      </c>
    </row>
    <row r="360" spans="1:46" s="550" customFormat="1" ht="12.75" customHeight="1">
      <c r="A360" s="603"/>
      <c r="B360" s="611"/>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3"/>
      <c r="AL360" s="603"/>
      <c r="AM360" s="603"/>
      <c r="AN360" s="597"/>
      <c r="AO360" s="597"/>
      <c r="AP360" s="696">
        <f>IF(C399="Yes",5,0)</f>
        <v>0</v>
      </c>
      <c r="AS360" s="2536">
        <f>IF(AND(AQ366&gt;0,AQ375&gt;0),(AQ366+AQ375)/2,0)</f>
        <v>0</v>
      </c>
      <c r="AT360" s="2536"/>
    </row>
    <row r="361" spans="1:46" s="550" customFormat="1" ht="12.75" customHeight="1">
      <c r="A361" s="603"/>
      <c r="B361" s="611"/>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3"/>
      <c r="AL361" s="603"/>
      <c r="AM361" s="603"/>
      <c r="AN361" s="597"/>
      <c r="AO361" s="695" t="s">
        <v>581</v>
      </c>
      <c r="AP361" s="696">
        <f>IF(C407="Yes",5,0)</f>
        <v>0</v>
      </c>
      <c r="AS361" s="539" t="s">
        <v>1878</v>
      </c>
    </row>
    <row r="362" spans="1:46" s="550" customFormat="1" ht="12.75" customHeight="1">
      <c r="A362" s="603"/>
      <c r="B362" s="611"/>
      <c r="C362" s="2537" t="s">
        <v>2231</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3</v>
      </c>
      <c r="AS362" s="2536">
        <f>IF(AQ366=0,AQ375,AQ366)</f>
        <v>10</v>
      </c>
      <c r="AT362" s="2536"/>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763</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584</v>
      </c>
      <c r="AP364" s="696">
        <f>IF(C421="Yes",5,0)</f>
        <v>0</v>
      </c>
    </row>
    <row r="365" spans="1:46" s="550" customFormat="1" ht="11.85"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4"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227</v>
      </c>
      <c r="AP366" s="700">
        <f>SUM(AP357:AP365)</f>
        <v>10</v>
      </c>
      <c r="AQ366" s="2538">
        <f>IF(AP366&gt;0,AP366,0)</f>
        <v>10</v>
      </c>
      <c r="AR366" s="2538"/>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5" t="s">
        <v>1458</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3"/>
      <c r="AL369" s="603"/>
      <c r="AM369" s="603"/>
      <c r="AN369" s="597"/>
      <c r="AO369" s="695" t="s">
        <v>456</v>
      </c>
      <c r="AP369" s="696">
        <f>IF(C442="Yes",5,0)</f>
        <v>0</v>
      </c>
    </row>
    <row r="370" spans="1:81" s="550" customFormat="1" ht="12.75" customHeight="1">
      <c r="A370" s="603"/>
      <c r="B370" s="611"/>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3"/>
      <c r="AL370" s="603"/>
      <c r="AM370" s="603"/>
      <c r="AN370" s="597"/>
      <c r="AO370" s="695" t="s">
        <v>461</v>
      </c>
      <c r="AP370" s="696">
        <f>IF(C449="Yes",5,0)</f>
        <v>0</v>
      </c>
    </row>
    <row r="371" spans="1:81" s="550" customFormat="1" ht="68.099999999999994" customHeight="1">
      <c r="A371" s="603"/>
      <c r="B371" s="611"/>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3">
        <f>Application!DU802-U374</f>
        <v>296</v>
      </c>
      <c r="V373" s="2623"/>
      <c r="W373" s="262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4">
        <f>IF(Application!D211="SRO",Application!DU755,Application!AG756)</f>
        <v>0</v>
      </c>
      <c r="V374" s="2624"/>
      <c r="W374" s="262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8">
        <f>IF(AP375&gt;0,AP375,0)</f>
        <v>0</v>
      </c>
      <c r="AR375" s="2538"/>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9" t="s">
        <v>1460</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6" t="s">
        <v>591</v>
      </c>
      <c r="D381" s="247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7" t="s">
        <v>1462</v>
      </c>
      <c r="AG381" s="2517"/>
      <c r="AH381" s="2517"/>
      <c r="AI381" s="2517"/>
      <c r="AJ381" s="2517"/>
      <c r="AK381" s="2517"/>
      <c r="AL381" s="251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9" t="s">
        <v>1463</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2"/>
      <c r="AN388" s="597"/>
      <c r="BS388" s="30"/>
      <c r="BT388" s="30"/>
      <c r="BU388" s="14"/>
      <c r="BV388" s="14"/>
      <c r="BW388" s="14"/>
      <c r="BX388" s="14"/>
      <c r="BY388" s="14"/>
      <c r="BZ388" s="14"/>
      <c r="CA388" s="14"/>
      <c r="CB388" s="14"/>
      <c r="CC388" s="14"/>
    </row>
    <row r="389" spans="1:81" s="550" customFormat="1" ht="12.75" customHeight="1">
      <c r="A389" s="536"/>
      <c r="B389" s="14"/>
      <c r="C389" s="2516" t="s">
        <v>591</v>
      </c>
      <c r="D389" s="247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7" t="s">
        <v>1462</v>
      </c>
      <c r="AG389" s="2517"/>
      <c r="AH389" s="2517"/>
      <c r="AI389" s="2517"/>
      <c r="AJ389" s="2517"/>
      <c r="AK389" s="2517"/>
      <c r="AL389" s="251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9" t="s">
        <v>1465</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6" t="s">
        <v>545</v>
      </c>
      <c r="D397" s="247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7" t="s">
        <v>1467</v>
      </c>
      <c r="AG397" s="2517"/>
      <c r="AH397" s="2517"/>
      <c r="AI397" s="2517"/>
      <c r="AJ397" s="2517"/>
      <c r="AK397" s="2517"/>
      <c r="AL397" s="251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6" t="s">
        <v>591</v>
      </c>
      <c r="D399" s="247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7" t="s">
        <v>1462</v>
      </c>
      <c r="AG399" s="2517"/>
      <c r="AH399" s="2517"/>
      <c r="AI399" s="2517"/>
      <c r="AJ399" s="2517"/>
      <c r="AK399" s="2517"/>
      <c r="AL399" s="251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9" t="s">
        <v>1471</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6" t="s">
        <v>591</v>
      </c>
      <c r="D407" s="247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7" t="s">
        <v>1462</v>
      </c>
      <c r="AG407" s="2517"/>
      <c r="AH407" s="2517"/>
      <c r="AI407" s="2517"/>
      <c r="AJ407" s="2517"/>
      <c r="AK407" s="2517"/>
      <c r="AL407" s="251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6" t="s">
        <v>545</v>
      </c>
      <c r="D409" s="247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7" t="s">
        <v>1474</v>
      </c>
      <c r="AG409" s="2517"/>
      <c r="AH409" s="2517"/>
      <c r="AI409" s="2517"/>
      <c r="AJ409" s="2517"/>
      <c r="AK409" s="2517"/>
      <c r="AL409" s="251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6" t="s">
        <v>591</v>
      </c>
      <c r="D412" s="2473"/>
      <c r="E412" s="715" t="s">
        <v>1475</v>
      </c>
      <c r="F412" s="2519" t="s">
        <v>1476</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1462</v>
      </c>
      <c r="AG413" s="2441"/>
      <c r="AH413" s="2441"/>
      <c r="AI413" s="2441"/>
      <c r="AJ413" s="2441"/>
      <c r="AK413" s="2441"/>
      <c r="AL413" s="2521"/>
      <c r="AM413" s="570"/>
      <c r="AN413" s="597"/>
      <c r="BS413" s="570"/>
      <c r="BT413" s="570"/>
      <c r="BY413" s="570"/>
      <c r="BZ413" s="570"/>
      <c r="CA413" s="570"/>
      <c r="CB413" s="570"/>
      <c r="CC413" s="570"/>
    </row>
    <row r="414" spans="1:81" s="550" customFormat="1" ht="12.75" customHeight="1">
      <c r="A414" s="536"/>
      <c r="B414" s="14"/>
      <c r="C414" s="731"/>
      <c r="D414" s="14"/>
      <c r="E414" s="691"/>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9" t="s">
        <v>1478</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7"/>
      <c r="AG417" s="747"/>
      <c r="AH417" s="747"/>
      <c r="AI417" s="747"/>
      <c r="AJ417" s="747"/>
      <c r="AK417" s="747"/>
      <c r="AL417" s="748"/>
      <c r="AM417" s="570"/>
    </row>
    <row r="418" spans="1:55">
      <c r="A418" s="536"/>
      <c r="C418" s="731"/>
      <c r="E418" s="691"/>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39"/>
      <c r="AG418" s="536"/>
      <c r="AH418" s="550"/>
      <c r="AI418" s="550"/>
      <c r="AJ418" s="550"/>
      <c r="AK418" s="550"/>
      <c r="AL418" s="732"/>
      <c r="AM418" s="570"/>
    </row>
    <row r="419" spans="1:55" s="550" customFormat="1" ht="12.75" customHeight="1">
      <c r="A419" s="536"/>
      <c r="B419" s="14"/>
      <c r="C419" s="731"/>
      <c r="D419" s="14"/>
      <c r="E419" s="691"/>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2"/>
      <c r="AM419" s="570"/>
      <c r="AN419" s="597"/>
    </row>
    <row r="420" spans="1:55" s="550" customFormat="1" ht="12.75" customHeight="1">
      <c r="A420" s="536"/>
      <c r="B420" s="14"/>
      <c r="C420" s="739"/>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2"/>
      <c r="AM420" s="570"/>
      <c r="AN420" s="597"/>
    </row>
    <row r="421" spans="1:55" s="550" customFormat="1" ht="12.75" customHeight="1">
      <c r="A421" s="536"/>
      <c r="B421" s="14"/>
      <c r="C421" s="2516" t="s">
        <v>591</v>
      </c>
      <c r="D421" s="247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1" t="s">
        <v>1462</v>
      </c>
      <c r="AG421" s="2441"/>
      <c r="AH421" s="2441"/>
      <c r="AI421" s="2441"/>
      <c r="AJ421" s="2441"/>
      <c r="AK421" s="2441"/>
      <c r="AL421" s="2521"/>
      <c r="AM421" s="570"/>
      <c r="AN421" s="597"/>
    </row>
    <row r="422" spans="1:55" s="550" customFormat="1" ht="12.75" customHeight="1">
      <c r="A422" s="536"/>
      <c r="B422" s="14"/>
      <c r="C422" s="739"/>
      <c r="AL422" s="732"/>
      <c r="AM422" s="570"/>
      <c r="AN422" s="597"/>
    </row>
    <row r="423" spans="1:55" s="550" customFormat="1" ht="12.75" customHeight="1">
      <c r="A423" s="536"/>
      <c r="B423" s="14"/>
      <c r="C423" s="2516" t="s">
        <v>591</v>
      </c>
      <c r="D423" s="247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1" t="s">
        <v>1474</v>
      </c>
      <c r="AG423" s="2441"/>
      <c r="AH423" s="2441"/>
      <c r="AI423" s="2441"/>
      <c r="AJ423" s="2441"/>
      <c r="AK423" s="2441"/>
      <c r="AL423" s="252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9" t="s">
        <v>1482</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4"/>
      <c r="AG427" s="714"/>
      <c r="AH427" s="714"/>
      <c r="AI427" s="714"/>
      <c r="AJ427" s="714"/>
      <c r="AK427" s="714"/>
      <c r="AL427" s="745"/>
      <c r="AM427" s="570"/>
      <c r="AN427" s="597"/>
    </row>
    <row r="428" spans="1:55" s="550" customFormat="1" ht="12.75" customHeight="1">
      <c r="A428" s="536"/>
      <c r="B428" s="14"/>
      <c r="C428" s="731"/>
      <c r="D428" s="14"/>
      <c r="E428" s="691"/>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39"/>
      <c r="AG428" s="536"/>
      <c r="AL428" s="732"/>
      <c r="AM428" s="570"/>
      <c r="AN428" s="597"/>
    </row>
    <row r="429" spans="1:55" s="550" customFormat="1" ht="12.4" customHeight="1">
      <c r="A429" s="536"/>
      <c r="B429" s="14"/>
      <c r="C429" s="731"/>
      <c r="D429" s="14"/>
      <c r="E429" s="691"/>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2"/>
      <c r="AM429" s="570"/>
      <c r="AN429" s="597"/>
    </row>
    <row r="430" spans="1:55" s="550" customFormat="1" ht="12.75" customHeight="1">
      <c r="A430" s="536"/>
      <c r="B430" s="14"/>
      <c r="C430" s="2516" t="s">
        <v>591</v>
      </c>
      <c r="D430" s="247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1" t="s">
        <v>1462</v>
      </c>
      <c r="AG430" s="2441"/>
      <c r="AH430" s="2441"/>
      <c r="AI430" s="2441"/>
      <c r="AJ430" s="2441"/>
      <c r="AK430" s="2441"/>
      <c r="AL430" s="252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19" t="s">
        <v>1485</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7"/>
      <c r="AG433" s="747"/>
      <c r="AH433" s="747"/>
      <c r="AI433" s="747"/>
      <c r="AJ433" s="747"/>
      <c r="AK433" s="747"/>
      <c r="AL433" s="748"/>
      <c r="AM433" s="570"/>
      <c r="AO433" s="550"/>
      <c r="AP433" s="550"/>
      <c r="BD433" s="14"/>
      <c r="BE433" s="14"/>
      <c r="BF433" s="14"/>
      <c r="BG433" s="14"/>
      <c r="BH433" s="14"/>
    </row>
    <row r="434" spans="1:60">
      <c r="A434" s="536"/>
      <c r="C434" s="731"/>
      <c r="E434" s="691"/>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4"/>
      <c r="AG434" s="594"/>
      <c r="AH434" s="594"/>
      <c r="AI434" s="594"/>
      <c r="AJ434" s="594"/>
      <c r="AK434" s="594"/>
      <c r="AL434" s="750"/>
      <c r="AM434" s="570"/>
      <c r="AO434" s="550"/>
      <c r="AP434" s="550"/>
    </row>
    <row r="435" spans="1:60" s="550" customFormat="1" ht="12.75" customHeight="1">
      <c r="A435" s="536"/>
      <c r="B435" s="14"/>
      <c r="C435" s="731"/>
      <c r="D435" s="14"/>
      <c r="E435" s="691"/>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4"/>
      <c r="AG435" s="594"/>
      <c r="AH435" s="594"/>
      <c r="AI435" s="594"/>
      <c r="AJ435" s="594"/>
      <c r="AK435" s="594"/>
      <c r="AL435" s="750"/>
      <c r="AM435" s="570"/>
      <c r="AN435" s="597"/>
    </row>
    <row r="436" spans="1:60" s="550" customFormat="1" ht="12.75" customHeight="1">
      <c r="A436" s="536"/>
      <c r="B436" s="14"/>
      <c r="C436" s="751"/>
      <c r="D436" s="730"/>
      <c r="E436" s="719"/>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4"/>
      <c r="AG437" s="594"/>
      <c r="AH437" s="594"/>
      <c r="AI437" s="594"/>
      <c r="AJ437" s="594"/>
      <c r="AK437" s="594"/>
      <c r="AL437" s="750"/>
      <c r="AM437" s="570"/>
      <c r="AN437" s="597"/>
    </row>
    <row r="438" spans="1:60" s="550" customFormat="1" ht="12.75" customHeight="1">
      <c r="A438" s="536"/>
      <c r="B438" s="14"/>
      <c r="C438" s="751"/>
      <c r="D438" s="730"/>
      <c r="E438" s="719"/>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4"/>
      <c r="AG438" s="594"/>
      <c r="AH438" s="594"/>
      <c r="AI438" s="594"/>
      <c r="AJ438" s="594"/>
      <c r="AK438" s="594"/>
      <c r="AL438" s="750"/>
      <c r="AM438" s="570"/>
      <c r="AN438" s="597"/>
    </row>
    <row r="439" spans="1:60" s="550" customFormat="1" ht="12.75" customHeight="1">
      <c r="A439" s="536"/>
      <c r="B439" s="14"/>
      <c r="C439" s="751"/>
      <c r="D439" s="730"/>
      <c r="E439" s="719"/>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4"/>
      <c r="AG439" s="594"/>
      <c r="AH439" s="594"/>
      <c r="AI439" s="594"/>
      <c r="AJ439" s="594"/>
      <c r="AK439" s="594"/>
      <c r="AL439" s="750"/>
      <c r="AM439" s="570"/>
      <c r="AN439" s="597"/>
    </row>
    <row r="440" spans="1:60" s="550" customFormat="1" ht="12.75" customHeight="1">
      <c r="A440" s="536"/>
      <c r="B440" s="14"/>
      <c r="C440" s="751"/>
      <c r="D440" s="730"/>
      <c r="E440" s="719"/>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4"/>
      <c r="AG440" s="594"/>
      <c r="AH440" s="594"/>
      <c r="AI440" s="594"/>
      <c r="AJ440" s="594"/>
      <c r="AK440" s="594"/>
      <c r="AL440" s="750"/>
      <c r="AM440" s="570"/>
      <c r="AN440" s="597"/>
    </row>
    <row r="441" spans="1:60" s="550" customFormat="1" ht="17.25" customHeight="1">
      <c r="A441" s="536"/>
      <c r="B441" s="14"/>
      <c r="C441" s="751"/>
      <c r="D441" s="730"/>
      <c r="E441" s="719"/>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2"/>
      <c r="AM441" s="570"/>
      <c r="AN441" s="597"/>
    </row>
    <row r="442" spans="1:60" s="550" customFormat="1" ht="12.75" customHeight="1">
      <c r="A442" s="536"/>
      <c r="B442" s="14"/>
      <c r="C442" s="2516" t="s">
        <v>591</v>
      </c>
      <c r="D442" s="247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1" t="s">
        <v>1462</v>
      </c>
      <c r="AG442" s="2441"/>
      <c r="AH442" s="2441"/>
      <c r="AI442" s="2441"/>
      <c r="AJ442" s="2441"/>
      <c r="AK442" s="2441"/>
      <c r="AL442" s="252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9" t="s">
        <v>1488</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4"/>
      <c r="AG445" s="714"/>
      <c r="AH445" s="714"/>
      <c r="AI445" s="714"/>
      <c r="AJ445" s="714"/>
      <c r="AK445" s="714"/>
      <c r="AL445" s="745"/>
      <c r="AM445" s="570"/>
      <c r="AN445" s="597"/>
    </row>
    <row r="446" spans="1:60" s="550" customFormat="1" ht="12.75" customHeight="1">
      <c r="A446" s="536"/>
      <c r="B446" s="14"/>
      <c r="C446" s="751"/>
      <c r="D446" s="730"/>
      <c r="E446" s="719"/>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1"/>
      <c r="AG446" s="591"/>
      <c r="AH446" s="591"/>
      <c r="AI446" s="591"/>
      <c r="AJ446" s="591"/>
      <c r="AK446" s="591"/>
      <c r="AL446" s="720"/>
      <c r="AM446" s="570"/>
      <c r="AN446" s="597"/>
    </row>
    <row r="447" spans="1:60" s="550" customFormat="1" ht="12.75" customHeight="1">
      <c r="A447" s="536"/>
      <c r="B447" s="14"/>
      <c r="C447" s="751"/>
      <c r="D447" s="730"/>
      <c r="E447" s="719"/>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1"/>
      <c r="AG447" s="591"/>
      <c r="AH447" s="591"/>
      <c r="AI447" s="591"/>
      <c r="AJ447" s="591"/>
      <c r="AK447" s="591"/>
      <c r="AL447" s="720"/>
      <c r="AM447" s="570"/>
      <c r="AN447" s="597"/>
    </row>
    <row r="448" spans="1:60" s="550" customFormat="1" ht="12.75" customHeight="1">
      <c r="A448" s="536"/>
      <c r="B448" s="14"/>
      <c r="C448" s="751"/>
      <c r="D448" s="730"/>
      <c r="E448" s="719"/>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2"/>
      <c r="AM448" s="570"/>
      <c r="AN448" s="597"/>
    </row>
    <row r="449" spans="1:40" s="550" customFormat="1" ht="12.75" customHeight="1">
      <c r="A449" s="536"/>
      <c r="B449" s="14"/>
      <c r="C449" s="2516" t="s">
        <v>591</v>
      </c>
      <c r="D449" s="247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1" t="s">
        <v>1462</v>
      </c>
      <c r="AG449" s="2441"/>
      <c r="AH449" s="2441"/>
      <c r="AI449" s="2441"/>
      <c r="AJ449" s="2441"/>
      <c r="AK449" s="2441"/>
      <c r="AL449" s="252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2" t="s">
        <v>591</v>
      </c>
      <c r="D453" s="2523"/>
      <c r="E453" s="715" t="s">
        <v>1497</v>
      </c>
      <c r="F453" s="2519" t="s">
        <v>1498</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1462</v>
      </c>
      <c r="AG453" s="2540"/>
      <c r="AH453" s="2540"/>
      <c r="AI453" s="2540"/>
      <c r="AJ453" s="2540"/>
      <c r="AK453" s="2540"/>
      <c r="AL453" s="2541"/>
      <c r="AM453" s="570"/>
      <c r="AN453" s="753"/>
    </row>
    <row r="454" spans="1:40" s="550" customFormat="1" ht="12.75" customHeight="1">
      <c r="A454" s="536"/>
      <c r="B454" s="14"/>
      <c r="C454" s="751"/>
      <c r="D454" s="730"/>
      <c r="E454" s="719"/>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1"/>
      <c r="AG454" s="591"/>
      <c r="AH454" s="591"/>
      <c r="AI454" s="591"/>
      <c r="AJ454" s="591"/>
      <c r="AK454" s="591"/>
      <c r="AL454" s="720"/>
      <c r="AM454" s="570"/>
      <c r="AN454" s="754"/>
    </row>
    <row r="455" spans="1:40" s="550" customFormat="1" ht="17.649999999999999" customHeight="1">
      <c r="A455" s="536"/>
      <c r="B455" s="14"/>
      <c r="C455" s="756"/>
      <c r="D455" s="723"/>
      <c r="E455" s="724"/>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6" t="s">
        <v>591</v>
      </c>
      <c r="D457" s="2473"/>
      <c r="E457" s="715" t="s">
        <v>1503</v>
      </c>
      <c r="F457" s="2519" t="s">
        <v>1504</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1462</v>
      </c>
      <c r="AG457" s="2540"/>
      <c r="AH457" s="2540"/>
      <c r="AI457" s="2540"/>
      <c r="AJ457" s="2540"/>
      <c r="AK457" s="2540"/>
      <c r="AL457" s="2541"/>
      <c r="AM457" s="570"/>
      <c r="AN457" s="535"/>
    </row>
    <row r="458" spans="1:40" s="550" customFormat="1" ht="12.75" customHeight="1">
      <c r="A458" s="536"/>
      <c r="B458" s="14"/>
      <c r="C458" s="731"/>
      <c r="D458" s="14"/>
      <c r="E458" s="691"/>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39"/>
      <c r="AG458" s="536"/>
      <c r="AL458" s="732"/>
      <c r="AM458" s="570"/>
      <c r="AN458" s="535"/>
    </row>
    <row r="459" spans="1:40" s="550" customFormat="1" ht="12.75" customHeight="1">
      <c r="A459" s="536"/>
      <c r="B459" s="14"/>
      <c r="C459" s="731"/>
      <c r="D459" s="14"/>
      <c r="E459" s="691"/>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39"/>
      <c r="AG459" s="536"/>
      <c r="AL459" s="732"/>
      <c r="AM459" s="570"/>
      <c r="AN459" s="535"/>
    </row>
    <row r="460" spans="1:40" s="550" customFormat="1" ht="12.75" customHeight="1">
      <c r="A460" s="536"/>
      <c r="B460" s="14"/>
      <c r="C460" s="756"/>
      <c r="D460" s="723"/>
      <c r="E460" s="724"/>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9" t="s">
        <v>1507</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4"/>
      <c r="AH462" s="714"/>
      <c r="AI462" s="714"/>
      <c r="AJ462" s="714"/>
      <c r="AK462" s="714"/>
      <c r="AL462" s="745"/>
      <c r="AM462" s="570"/>
      <c r="AN462" s="597"/>
    </row>
    <row r="463" spans="1:40" s="550" customFormat="1" ht="12.75" customHeight="1">
      <c r="A463" s="536"/>
      <c r="B463" s="14"/>
      <c r="C463" s="731"/>
      <c r="D463" s="14"/>
      <c r="E463" s="691"/>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2"/>
      <c r="AM463" s="570"/>
      <c r="AN463" s="597"/>
    </row>
    <row r="464" spans="1:40" s="550" customFormat="1" ht="12.75" customHeight="1">
      <c r="A464" s="536"/>
      <c r="B464" s="14"/>
      <c r="C464" s="739"/>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2"/>
      <c r="AM464" s="570"/>
      <c r="AN464" s="597"/>
    </row>
    <row r="465" spans="1:58" s="550" customFormat="1" ht="12.75" customHeight="1">
      <c r="A465" s="536"/>
      <c r="B465" s="14"/>
      <c r="C465" s="739"/>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2"/>
      <c r="AM465" s="570"/>
      <c r="AN465" s="597"/>
    </row>
    <row r="466" spans="1:58" s="550" customFormat="1" ht="12.75" customHeight="1">
      <c r="A466" s="536"/>
      <c r="B466" s="14"/>
      <c r="C466" s="2516" t="s">
        <v>591</v>
      </c>
      <c r="D466" s="247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7" t="s">
        <v>1462</v>
      </c>
      <c r="AG466" s="2517"/>
      <c r="AH466" s="2517"/>
      <c r="AI466" s="2517"/>
      <c r="AJ466" s="2517"/>
      <c r="AK466" s="2517"/>
      <c r="AL466" s="251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6">
        <f>IF(Application!D214="N/A",AS358,AS360)</f>
        <v>10</v>
      </c>
      <c r="AL469" s="2477"/>
      <c r="AM469" s="247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7" t="s">
        <v>1511</v>
      </c>
      <c r="AF472" s="2517"/>
      <c r="AG472" s="2517"/>
      <c r="AH472" s="2517"/>
      <c r="AI472" s="2517"/>
      <c r="AJ472" s="2517"/>
      <c r="AK472" s="2517"/>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2" t="s">
        <v>591</v>
      </c>
      <c r="D478" s="2543"/>
      <c r="E478" s="761" t="s">
        <v>507</v>
      </c>
      <c r="F478" s="2544" t="s">
        <v>1517</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8" t="s">
        <v>591</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9" t="s">
        <v>545</v>
      </c>
      <c r="D482" s="2620"/>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7" t="s">
        <v>591</v>
      </c>
      <c r="W485" s="2617"/>
      <c r="X485" s="261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7" t="s">
        <v>591</v>
      </c>
      <c r="W487" s="2617"/>
      <c r="X487" s="261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7" t="s">
        <v>591</v>
      </c>
      <c r="W492" s="2617"/>
      <c r="X492" s="261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7"/>
      <c r="E495" s="2607"/>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7" t="s">
        <v>591</v>
      </c>
      <c r="W496" s="2617"/>
      <c r="X496" s="261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7" t="s">
        <v>591</v>
      </c>
      <c r="W498" s="2617"/>
      <c r="X498" s="261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2" t="s">
        <v>591</v>
      </c>
      <c r="D501" s="2543"/>
      <c r="E501" s="761" t="s">
        <v>507</v>
      </c>
      <c r="F501" s="2544" t="s">
        <v>1517</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3" t="s">
        <v>591</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2" t="s">
        <v>591</v>
      </c>
      <c r="D505" s="2543"/>
      <c r="E505" s="761" t="s">
        <v>757</v>
      </c>
      <c r="F505" s="2614" t="s">
        <v>1539</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6" t="s">
        <v>591</v>
      </c>
      <c r="G508" s="2616"/>
      <c r="H508" s="261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2" t="s">
        <v>591</v>
      </c>
      <c r="D510" s="2543"/>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6"/>
      <c r="D512" s="2607"/>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8" t="s">
        <v>591</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6" t="s">
        <v>591</v>
      </c>
      <c r="D515" s="2547"/>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6" t="s">
        <v>591</v>
      </c>
      <c r="D519" s="2547"/>
      <c r="F519" s="795" t="s">
        <v>1547</v>
      </c>
      <c r="G519" s="2520" t="s">
        <v>1548</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8" t="s">
        <v>591</v>
      </c>
      <c r="D523" s="2549"/>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0" t="s">
        <v>591</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6">
        <f>SUM(AG479:AG524)</f>
        <v>0</v>
      </c>
      <c r="AL535" s="2477"/>
      <c r="AM535" s="247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6" t="s">
        <v>1560</v>
      </c>
      <c r="AF538" s="2406"/>
      <c r="AG538" s="2406"/>
      <c r="AH538" s="2406"/>
      <c r="AI538" s="2406"/>
      <c r="AJ538" s="2406"/>
      <c r="AK538" s="2406"/>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3" t="s">
        <v>545</v>
      </c>
      <c r="D541" s="2473"/>
      <c r="E541" s="551"/>
      <c r="F541" s="2600" t="s">
        <v>1561</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5"/>
      <c r="AN541" s="597"/>
    </row>
    <row r="542" spans="1:81" s="550" customFormat="1" ht="12.75" customHeight="1">
      <c r="A542" s="539"/>
      <c r="B542" s="539"/>
      <c r="C542" s="551"/>
      <c r="D542" s="551"/>
      <c r="E542" s="551"/>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3" t="s">
        <v>591</v>
      </c>
      <c r="D544" s="247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5" t="s">
        <v>1563</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5"/>
      <c r="AN545" s="597"/>
      <c r="AS545" s="870"/>
      <c r="AT545" s="870"/>
      <c r="AU545" s="870"/>
      <c r="AV545" s="870"/>
      <c r="AW545" s="870"/>
    </row>
    <row r="546" spans="1:49" s="550" customFormat="1" ht="12.75" customHeight="1">
      <c r="B546" s="806"/>
      <c r="C546" s="806"/>
      <c r="D546" s="806"/>
      <c r="E546" s="806"/>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5" t="s">
        <v>1564</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3"/>
      <c r="AM548" s="595"/>
      <c r="AN548" s="597"/>
    </row>
    <row r="549" spans="1:49" s="550" customFormat="1" ht="12.75" customHeight="1">
      <c r="B549" s="806"/>
      <c r="C549" s="806"/>
      <c r="D549" s="806"/>
      <c r="E549" s="806"/>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2">
        <f>Application!AJ992</f>
        <v>91108704</v>
      </c>
      <c r="AQ550" s="2622"/>
      <c r="AR550" s="2622"/>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9">
        <f>'Sources and Uses Budget'!S107+'Sources and Uses Budget'!T107</f>
        <v>57099546</v>
      </c>
      <c r="AG551" s="2479"/>
      <c r="AH551" s="2479"/>
      <c r="AI551" s="2479"/>
      <c r="AJ551" s="2479"/>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7">
        <f>IFERROR(AP559,0)</f>
        <v>136663055.20000002</v>
      </c>
      <c r="AG552" s="2627"/>
      <c r="AH552" s="2627"/>
      <c r="AI552" s="2627"/>
      <c r="AJ552" s="2627"/>
      <c r="AK552" s="595"/>
      <c r="AL552" s="595"/>
      <c r="AM552" s="595"/>
      <c r="AN552" s="597"/>
      <c r="AP552" s="2622">
        <f>Application!AJ1045</f>
        <v>9110870.4000000004</v>
      </c>
      <c r="AQ552" s="2622"/>
      <c r="AR552" s="2622"/>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8">
        <f>IFERROR(ROUNDDOWN(IF(C544="YES",((1-(AF551/AF552))*2),(1-(AF551/AF552))),2),0)</f>
        <v>0.57999999999999996</v>
      </c>
      <c r="AG553" s="2628"/>
      <c r="AH553" s="2628"/>
      <c r="AI553" s="2628"/>
      <c r="AJ553" s="2628"/>
      <c r="AK553" s="595"/>
      <c r="AL553" s="595"/>
      <c r="AM553" s="595"/>
      <c r="AN553" s="597"/>
      <c r="AP553" s="2625">
        <f>Application!AJ1049</f>
        <v>18221740.800000001</v>
      </c>
      <c r="AQ553" s="2625"/>
      <c r="AR553" s="2625"/>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1">
        <f>IF(((AP552+AP553)/AP550)&gt;0.8,0.8,((AP552+AP553)/AP550))</f>
        <v>0.30000000000000004</v>
      </c>
      <c r="AQ554" s="2621"/>
      <c r="AR554" s="2621"/>
      <c r="AS554" s="550" t="s">
        <v>2171</v>
      </c>
    </row>
    <row r="555" spans="1:49" s="550" customFormat="1" ht="12.75" customHeight="1">
      <c r="A555" s="624"/>
      <c r="B555" s="2558" t="s">
        <v>2031</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5"/>
      <c r="AL555" s="595"/>
      <c r="AM555" s="595"/>
      <c r="AN555" s="597"/>
    </row>
    <row r="556" spans="1:49" s="550" customFormat="1" ht="12.75" customHeight="1">
      <c r="A556" s="624"/>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5"/>
      <c r="AL556" s="595"/>
      <c r="AM556" s="595"/>
      <c r="AN556" s="597"/>
      <c r="AP556" s="2622">
        <f>AP557-AP552-AP553</f>
        <v>109330444.00000001</v>
      </c>
      <c r="AQ556" s="2531"/>
      <c r="AR556" s="2531"/>
      <c r="AS556" s="550" t="s">
        <v>2173</v>
      </c>
    </row>
    <row r="557" spans="1:49" s="550" customFormat="1" ht="12.75" customHeight="1">
      <c r="A557" s="624"/>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5"/>
      <c r="AL557" s="595"/>
      <c r="AM557" s="595"/>
      <c r="AN557" s="597"/>
      <c r="AP557" s="2622">
        <f>Application!AJ1053</f>
        <v>136663055.20000002</v>
      </c>
      <c r="AQ557" s="2622"/>
      <c r="AR557" s="2622"/>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7">
        <f>IFERROR(IF(AND(C541="N/A",C544="N/A"),0,IF(AF553=0,0,IF((AF553*100)&gt;12,12,(AF553*100)))),0)</f>
        <v>12</v>
      </c>
      <c r="AL559" s="2567"/>
      <c r="AM559" s="2568"/>
      <c r="AN559" s="597"/>
      <c r="AP559" s="2639">
        <f>AP556+(AP550*AP554)</f>
        <v>136663055.20000002</v>
      </c>
      <c r="AQ559" s="2640"/>
      <c r="AR559" s="264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6" t="s">
        <v>1314</v>
      </c>
      <c r="AF562" s="2406"/>
      <c r="AG562" s="2406"/>
      <c r="AH562" s="2406"/>
      <c r="AI562" s="2406"/>
      <c r="AJ562" s="2406"/>
      <c r="AK562" s="240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6" t="s">
        <v>2022</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2"/>
      <c r="AL564" s="573"/>
      <c r="AM564" s="603"/>
      <c r="AN564" s="597"/>
    </row>
    <row r="565" spans="1:42" s="550" customFormat="1" ht="12.75" customHeight="1">
      <c r="A565" s="603"/>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2"/>
      <c r="AL565" s="573"/>
      <c r="AM565" s="603"/>
      <c r="AN565" s="597"/>
    </row>
    <row r="566" spans="1:42" s="550" customFormat="1" ht="12.75" customHeight="1">
      <c r="A566" s="603"/>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2"/>
      <c r="AL566" s="573"/>
      <c r="AM566" s="603"/>
      <c r="AN566" s="597"/>
    </row>
    <row r="567" spans="1:42" s="550" customFormat="1" ht="12.75" customHeight="1">
      <c r="A567" s="603"/>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2"/>
      <c r="AL567" s="573"/>
      <c r="AM567" s="603"/>
      <c r="AN567" s="597"/>
    </row>
    <row r="568" spans="1:42" s="550" customFormat="1" ht="12.75" customHeight="1">
      <c r="A568" s="603"/>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2"/>
      <c r="AL568" s="573"/>
      <c r="AM568" s="603"/>
      <c r="AN568" s="597"/>
    </row>
    <row r="569" spans="1:42" s="550" customFormat="1" ht="12.75" customHeight="1">
      <c r="A569" s="603"/>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2"/>
      <c r="AL569" s="573"/>
      <c r="AM569" s="603"/>
      <c r="AN569" s="597"/>
    </row>
    <row r="570" spans="1:42" s="550" customFormat="1" ht="12.75" customHeight="1">
      <c r="A570" s="603"/>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2"/>
      <c r="AL570" s="573"/>
      <c r="AM570" s="603"/>
      <c r="AN570" s="597"/>
    </row>
    <row r="571" spans="1:42" ht="12.75" customHeight="1">
      <c r="A571" s="603"/>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2"/>
      <c r="AL571" s="573"/>
      <c r="AM571" s="603"/>
    </row>
    <row r="572" spans="1:42" s="550"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1" t="s">
        <v>1338</v>
      </c>
      <c r="AG578" s="2441"/>
      <c r="AH578" s="2441"/>
      <c r="AI578" s="2441"/>
      <c r="AJ578" s="2441"/>
      <c r="AK578" s="2441"/>
      <c r="AL578" s="2441"/>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1" t="s">
        <v>1396</v>
      </c>
      <c r="AG585" s="2441"/>
      <c r="AH585" s="2441"/>
      <c r="AI585" s="2441"/>
      <c r="AJ585" s="2441"/>
      <c r="AK585" s="2441"/>
      <c r="AL585" s="2441"/>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1" t="s">
        <v>1378</v>
      </c>
      <c r="AG591" s="2441"/>
      <c r="AH591" s="2441"/>
      <c r="AI591" s="2441"/>
      <c r="AJ591" s="2441"/>
      <c r="AK591" s="2441"/>
      <c r="AL591" s="2441"/>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1" t="s">
        <v>1399</v>
      </c>
      <c r="AG597" s="2441"/>
      <c r="AH597" s="2441"/>
      <c r="AI597" s="2441"/>
      <c r="AJ597" s="2441"/>
      <c r="AK597" s="2441"/>
      <c r="AL597" s="2441"/>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7" t="s">
        <v>1184</v>
      </c>
      <c r="P601" s="2527"/>
      <c r="Q601" s="2527"/>
      <c r="R601" s="2527"/>
      <c r="S601" s="2527"/>
      <c r="T601" s="2527"/>
      <c r="U601" s="2527"/>
      <c r="V601" s="2527"/>
      <c r="W601" s="2527"/>
      <c r="X601" s="2527"/>
      <c r="Y601" s="2527"/>
      <c r="Z601" s="2527"/>
      <c r="AA601" s="2527"/>
      <c r="AB601" s="252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1" t="s">
        <v>1352</v>
      </c>
      <c r="AG603" s="2441"/>
      <c r="AH603" s="2441"/>
      <c r="AI603" s="2441"/>
      <c r="AJ603" s="2441"/>
      <c r="AK603" s="2441"/>
      <c r="AL603" s="2441"/>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5" t="s">
        <v>1397</v>
      </c>
      <c r="I606" s="2525"/>
      <c r="J606" s="936"/>
      <c r="K606" s="936"/>
      <c r="L606" s="936"/>
      <c r="N606" s="22"/>
      <c r="O606" s="22"/>
      <c r="P606" s="22"/>
      <c r="Q606" s="1151" t="s">
        <v>2176</v>
      </c>
      <c r="R606" s="2528"/>
      <c r="S606" s="2528"/>
      <c r="T606" s="2528"/>
      <c r="U606" s="2528"/>
      <c r="V606" s="2528"/>
      <c r="W606" s="2528"/>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9"/>
      <c r="Z608" s="2529"/>
      <c r="AA608" s="2529"/>
      <c r="AB608" s="2529"/>
      <c r="AC608" s="2529"/>
      <c r="AD608" s="2529"/>
      <c r="AE608" s="2529"/>
      <c r="AF608" s="2529"/>
      <c r="AG608" s="2529"/>
      <c r="AH608" s="2529"/>
      <c r="AI608" s="2529"/>
      <c r="AJ608" s="2529"/>
      <c r="AK608" s="2529"/>
      <c r="AL608" s="2529"/>
      <c r="AM608" s="2530"/>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6" t="s">
        <v>591</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9" t="s">
        <v>591</v>
      </c>
      <c r="C616" s="2469"/>
      <c r="D616" s="642"/>
      <c r="E616" s="2496" t="s">
        <v>1403</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2"/>
      <c r="AI616" s="642"/>
      <c r="AJ616" s="642"/>
      <c r="AK616" s="642"/>
      <c r="AL616" s="642"/>
      <c r="AN616" s="597"/>
    </row>
    <row r="617" spans="1:42" s="550" customFormat="1" ht="12.75" customHeight="1">
      <c r="B617" s="536"/>
      <c r="C617" s="933"/>
      <c r="D617" s="642"/>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2"/>
      <c r="AI617" s="642"/>
      <c r="AJ617" s="642"/>
      <c r="AK617" s="642"/>
      <c r="AL617" s="642"/>
      <c r="AN617" s="597"/>
    </row>
    <row r="618" spans="1:42" s="550" customFormat="1" ht="12.75" customHeight="1">
      <c r="B618" s="536"/>
      <c r="C618" s="933"/>
      <c r="D618" s="642"/>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2"/>
      <c r="AI618" s="642"/>
      <c r="AJ618" s="642"/>
      <c r="AK618" s="642"/>
      <c r="AL618" s="642"/>
      <c r="AN618" s="597"/>
    </row>
    <row r="619" spans="1:42" s="550" customFormat="1" ht="12.75" customHeight="1">
      <c r="B619" s="536"/>
      <c r="C619" s="933"/>
      <c r="D619" s="642"/>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6">
        <f>VLOOKUP($H$606,$AO$586:$AP$591,2,FALSE)+IF(R606=AO594,0,VLOOKUP($I$614,$AO$613:$AP$615,2,FALSE))</f>
        <v>4</v>
      </c>
      <c r="AK621" s="247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4" t="s">
        <v>1694</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39"/>
      <c r="AF625" s="2441" t="s">
        <v>1352</v>
      </c>
      <c r="AG625" s="2441"/>
      <c r="AH625" s="2441"/>
      <c r="AI625" s="2441"/>
      <c r="AJ625" s="2441"/>
      <c r="AK625" s="2441"/>
      <c r="AL625" s="2441"/>
      <c r="AM625" s="550"/>
      <c r="AN625" s="678"/>
    </row>
    <row r="626" spans="1:42" s="550" customFormat="1" ht="12.75" customHeight="1">
      <c r="A626" s="679"/>
      <c r="B626" s="536"/>
      <c r="C626" s="933"/>
      <c r="D626" s="663"/>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6"/>
      <c r="AF626" s="536"/>
      <c r="AG626" s="536"/>
      <c r="AH626" s="536"/>
      <c r="AI626" s="536"/>
      <c r="AJ626" s="536"/>
      <c r="AK626" s="536"/>
      <c r="AL626" s="536"/>
      <c r="AN626" s="597"/>
    </row>
    <row r="627" spans="1:42" s="550" customFormat="1" ht="12.75" customHeight="1">
      <c r="B627" s="536"/>
      <c r="C627" s="931"/>
      <c r="D627" s="663"/>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6"/>
      <c r="AF627" s="536"/>
      <c r="AG627" s="536"/>
      <c r="AH627" s="536"/>
      <c r="AI627" s="536"/>
      <c r="AJ627" s="536"/>
      <c r="AK627" s="536"/>
      <c r="AL627" s="536"/>
      <c r="AN627" s="597"/>
    </row>
    <row r="628" spans="1:42" s="550" customFormat="1" ht="12.75" customHeight="1">
      <c r="B628" s="536"/>
      <c r="C628" s="931"/>
      <c r="D628" s="663"/>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6"/>
      <c r="AF628" s="536"/>
      <c r="AG628" s="536"/>
      <c r="AH628" s="536"/>
      <c r="AI628" s="536"/>
      <c r="AJ628" s="536"/>
      <c r="AK628" s="536"/>
      <c r="AL628" s="536"/>
      <c r="AN628" s="597"/>
    </row>
    <row r="629" spans="1:42" s="550" customFormat="1" ht="12.75" customHeight="1">
      <c r="B629" s="536"/>
      <c r="C629" s="931"/>
      <c r="D629" s="663"/>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6"/>
      <c r="AF629" s="536"/>
      <c r="AG629" s="536"/>
      <c r="AH629" s="536"/>
      <c r="AI629" s="536"/>
      <c r="AJ629" s="536"/>
      <c r="AK629" s="536"/>
      <c r="AL629" s="536"/>
      <c r="AN629" s="597"/>
    </row>
    <row r="630" spans="1:42" s="550" customFormat="1" ht="12.75" customHeight="1">
      <c r="B630" s="536"/>
      <c r="C630" s="931"/>
      <c r="D630" s="663"/>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6"/>
      <c r="AF630" s="536"/>
      <c r="AG630" s="536"/>
      <c r="AH630" s="536"/>
      <c r="AI630" s="536"/>
      <c r="AJ630" s="536"/>
      <c r="AK630" s="536"/>
      <c r="AL630" s="536"/>
      <c r="AN630" s="597"/>
    </row>
    <row r="631" spans="1:42" s="550" customFormat="1" ht="12.75" customHeight="1">
      <c r="A631" s="637"/>
      <c r="B631" s="616"/>
      <c r="C631" s="940"/>
      <c r="D631" s="663"/>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6"/>
      <c r="AF631" s="616"/>
      <c r="AG631" s="616"/>
      <c r="AH631" s="616"/>
      <c r="AI631" s="616"/>
      <c r="AJ631" s="616"/>
      <c r="AK631" s="536"/>
      <c r="AL631" s="536"/>
      <c r="AN631" s="597"/>
    </row>
    <row r="632" spans="1:42" s="550" customFormat="1" ht="12.75" customHeight="1">
      <c r="B632" s="616"/>
      <c r="C632" s="940"/>
      <c r="D632" s="663"/>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9" t="s">
        <v>591</v>
      </c>
      <c r="Y634" s="2469"/>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1" t="s">
        <v>1408</v>
      </c>
      <c r="AG636" s="2441"/>
      <c r="AH636" s="2441"/>
      <c r="AI636" s="2441"/>
      <c r="AJ636" s="2441"/>
      <c r="AK636" s="2441"/>
      <c r="AL636" s="244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5" t="s">
        <v>687</v>
      </c>
      <c r="I638" s="252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6">
        <f>VLOOKUP($H$638,$AO$605:$AP$607,2,FALSE)</f>
        <v>3</v>
      </c>
      <c r="AK640" s="247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6" t="s">
        <v>2097</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6"/>
      <c r="AF644" s="2441" t="s">
        <v>1352</v>
      </c>
      <c r="AG644" s="2441"/>
      <c r="AH644" s="2441"/>
      <c r="AI644" s="2441"/>
      <c r="AJ644" s="2441"/>
      <c r="AK644" s="2441"/>
      <c r="AL644" s="2441"/>
      <c r="AN644" s="597"/>
    </row>
    <row r="645" spans="1:42" s="550" customFormat="1" ht="12.75" customHeight="1">
      <c r="B645" s="536"/>
      <c r="C645" s="536"/>
      <c r="D645" s="663"/>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1" t="s">
        <v>1408</v>
      </c>
      <c r="AG647" s="2441"/>
      <c r="AH647" s="2441"/>
      <c r="AI647" s="2441"/>
      <c r="AJ647" s="2441"/>
      <c r="AK647" s="2441"/>
      <c r="AL647" s="2441"/>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5" t="s">
        <v>591</v>
      </c>
      <c r="I650" s="252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6">
        <f>VLOOKUP(H650,AT605:AU607,2,FALSE)</f>
        <v>0</v>
      </c>
      <c r="AK652" s="247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6" t="s">
        <v>1418</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6"/>
      <c r="AE657" s="536"/>
      <c r="AF657" s="2441" t="s">
        <v>1378</v>
      </c>
      <c r="AG657" s="2441"/>
      <c r="AH657" s="2441"/>
      <c r="AI657" s="2441"/>
      <c r="AJ657" s="2441"/>
      <c r="AK657" s="2441"/>
      <c r="AL657" s="2441"/>
      <c r="AN657" s="597"/>
    </row>
    <row r="658" spans="1:42" s="550" customFormat="1" ht="12.75" customHeight="1">
      <c r="B658" s="536"/>
      <c r="C658" s="539"/>
      <c r="D658" s="536"/>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6"/>
      <c r="AE658" s="536"/>
      <c r="AF658" s="536"/>
      <c r="AG658" s="536"/>
      <c r="AH658" s="536"/>
      <c r="AI658" s="536"/>
      <c r="AJ658" s="536"/>
      <c r="AK658" s="536"/>
      <c r="AL658" s="536"/>
      <c r="AN658" s="597"/>
    </row>
    <row r="659" spans="1:42" s="550" customFormat="1" ht="12.75" customHeight="1">
      <c r="B659" s="536"/>
      <c r="C659" s="539"/>
      <c r="D659" s="663"/>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6" t="s">
        <v>1419</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6"/>
      <c r="AE661" s="536"/>
      <c r="AF661" s="2441" t="s">
        <v>1399</v>
      </c>
      <c r="AG661" s="2441"/>
      <c r="AH661" s="2441"/>
      <c r="AI661" s="2441"/>
      <c r="AJ661" s="2441"/>
      <c r="AK661" s="2441"/>
      <c r="AL661" s="2441"/>
      <c r="AN661" s="597"/>
    </row>
    <row r="662" spans="1:42" s="550" customFormat="1" ht="12.75" customHeight="1">
      <c r="B662" s="536"/>
      <c r="C662" s="539"/>
      <c r="D662" s="536"/>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6"/>
      <c r="AE662" s="536"/>
      <c r="AF662" s="536"/>
      <c r="AG662" s="536"/>
      <c r="AH662" s="536"/>
      <c r="AI662" s="536"/>
      <c r="AJ662" s="536"/>
      <c r="AK662" s="536"/>
      <c r="AL662" s="536"/>
      <c r="AN662" s="597"/>
    </row>
    <row r="663" spans="1:42" s="550" customFormat="1" ht="15" customHeight="1">
      <c r="B663" s="536"/>
      <c r="C663" s="539"/>
      <c r="D663" s="663"/>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6" t="s">
        <v>1420</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6"/>
      <c r="AE665" s="536"/>
      <c r="AF665" s="2441" t="s">
        <v>1352</v>
      </c>
      <c r="AG665" s="2441"/>
      <c r="AH665" s="2441"/>
      <c r="AI665" s="2441"/>
      <c r="AJ665" s="2441"/>
      <c r="AK665" s="2441"/>
      <c r="AL665" s="2441"/>
      <c r="AN665" s="597"/>
    </row>
    <row r="666" spans="1:42" s="550" customFormat="1" ht="12.75" customHeight="1">
      <c r="B666" s="536"/>
      <c r="C666" s="931"/>
      <c r="D666" s="536"/>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6"/>
      <c r="AE666" s="2441"/>
      <c r="AF666" s="2441"/>
      <c r="AG666" s="2441"/>
      <c r="AH666" s="2441"/>
      <c r="AI666" s="2441"/>
      <c r="AJ666" s="2441"/>
      <c r="AK666" s="2441"/>
      <c r="AL666" s="594"/>
      <c r="AN666" s="597"/>
      <c r="AO666" s="550" t="s">
        <v>591</v>
      </c>
      <c r="AP666" s="673">
        <v>0</v>
      </c>
    </row>
    <row r="667" spans="1:42" s="550" customFormat="1" ht="12.75" customHeight="1">
      <c r="A667" s="679"/>
      <c r="B667" s="536"/>
      <c r="C667" s="536"/>
      <c r="D667" s="663"/>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6" t="s">
        <v>1421</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6"/>
      <c r="AE669" s="536"/>
      <c r="AF669" s="2441" t="s">
        <v>1399</v>
      </c>
      <c r="AG669" s="2441"/>
      <c r="AH669" s="2441"/>
      <c r="AI669" s="2441"/>
      <c r="AJ669" s="2441"/>
      <c r="AK669" s="2441"/>
      <c r="AL669" s="2441"/>
      <c r="AN669" s="597"/>
    </row>
    <row r="670" spans="1:42" s="550" customFormat="1" ht="12.75" customHeight="1">
      <c r="A670" s="670"/>
      <c r="B670" s="536"/>
      <c r="C670" s="947"/>
      <c r="D670" s="663"/>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6" t="s">
        <v>1422</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6"/>
      <c r="AE673" s="536"/>
      <c r="AF673" s="2441" t="s">
        <v>1352</v>
      </c>
      <c r="AG673" s="2441"/>
      <c r="AH673" s="2441"/>
      <c r="AI673" s="2441"/>
      <c r="AJ673" s="2441"/>
      <c r="AK673" s="2441"/>
      <c r="AL673" s="2441"/>
      <c r="AM673" s="596"/>
      <c r="AN673" s="597"/>
    </row>
    <row r="674" spans="1:42" s="550" customFormat="1" ht="12.75" customHeight="1">
      <c r="B674" s="536"/>
      <c r="C674" s="931"/>
      <c r="D674" s="663"/>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6"/>
      <c r="AE674" s="536"/>
      <c r="AF674" s="536"/>
      <c r="AG674" s="536"/>
      <c r="AH674" s="536"/>
      <c r="AI674" s="536"/>
      <c r="AJ674" s="536"/>
      <c r="AK674" s="536"/>
      <c r="AL674" s="536"/>
      <c r="AM674" s="596"/>
      <c r="AN674" s="597"/>
    </row>
    <row r="675" spans="1:42" s="550" customFormat="1" ht="12.75" customHeight="1">
      <c r="B675" s="536"/>
      <c r="C675" s="931"/>
      <c r="D675" s="663"/>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6" t="s">
        <v>1423</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6"/>
      <c r="AE677" s="536"/>
      <c r="AF677" s="2441" t="s">
        <v>1408</v>
      </c>
      <c r="AG677" s="2441"/>
      <c r="AH677" s="2441"/>
      <c r="AI677" s="2441"/>
      <c r="AJ677" s="2441"/>
      <c r="AK677" s="2441"/>
      <c r="AL677" s="2441"/>
      <c r="AM677" s="596"/>
      <c r="AN677" s="597"/>
    </row>
    <row r="678" spans="1:42" s="550" customFormat="1" ht="12.75" customHeight="1">
      <c r="A678" s="679"/>
      <c r="B678" s="536"/>
      <c r="C678" s="931"/>
      <c r="D678" s="663"/>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6" t="s">
        <v>1424</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6"/>
      <c r="AE681" s="536"/>
      <c r="AF681" s="2441" t="s">
        <v>1425</v>
      </c>
      <c r="AG681" s="2441"/>
      <c r="AH681" s="2441"/>
      <c r="AI681" s="2441"/>
      <c r="AJ681" s="2441"/>
      <c r="AK681" s="2441"/>
      <c r="AL681" s="2441"/>
      <c r="AM681" s="596"/>
      <c r="AN681" s="597"/>
      <c r="AO681" s="611" t="s">
        <v>687</v>
      </c>
      <c r="AP681" s="550">
        <v>3</v>
      </c>
    </row>
    <row r="682" spans="1:42" s="550" customFormat="1" ht="12.75" customHeight="1">
      <c r="A682" s="679"/>
      <c r="B682" s="536"/>
      <c r="C682" s="931"/>
      <c r="D682" s="663"/>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5" t="s">
        <v>509</v>
      </c>
      <c r="I685" s="252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6">
        <f>VLOOKUP($H$685,$AO$633:$AP$640,2,FALSE)</f>
        <v>4</v>
      </c>
      <c r="AK687" s="247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220</v>
      </c>
    </row>
    <row r="691" spans="1:51" s="550" customFormat="1" ht="12.75" customHeight="1">
      <c r="A691" s="679"/>
      <c r="B691" s="536"/>
      <c r="C691" s="948"/>
      <c r="D691" s="663" t="s">
        <v>687</v>
      </c>
      <c r="E691" s="2532" t="s">
        <v>2189</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6"/>
      <c r="AD691" s="536"/>
      <c r="AE691" s="536"/>
      <c r="AF691" s="2441" t="s">
        <v>1352</v>
      </c>
      <c r="AG691" s="2441"/>
      <c r="AH691" s="2441"/>
      <c r="AI691" s="2441"/>
      <c r="AJ691" s="2441"/>
      <c r="AK691" s="2441"/>
      <c r="AL691" s="2441"/>
      <c r="AN691" s="597"/>
      <c r="AW691" s="22" t="s">
        <v>2184</v>
      </c>
      <c r="AX691" s="550">
        <f>Application!DE753</f>
        <v>0</v>
      </c>
    </row>
    <row r="692" spans="1:51" s="550" customFormat="1" ht="12.75" customHeight="1">
      <c r="A692" s="679"/>
      <c r="B692" s="536"/>
      <c r="C692" s="948"/>
      <c r="D692" s="663"/>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6" t="s">
        <v>2133</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6"/>
      <c r="AD694" s="536"/>
      <c r="AE694" s="536"/>
      <c r="AF694" s="2441" t="s">
        <v>1352</v>
      </c>
      <c r="AG694" s="2441"/>
      <c r="AH694" s="2441"/>
      <c r="AI694" s="2441"/>
      <c r="AJ694" s="2441"/>
      <c r="AK694" s="2441"/>
      <c r="AL694" s="2441"/>
      <c r="AN694" s="597"/>
      <c r="AW694" s="22" t="s">
        <v>2187</v>
      </c>
      <c r="AX694" s="550">
        <f>AX691+AX692+AX693</f>
        <v>0</v>
      </c>
    </row>
    <row r="695" spans="1:51" s="550" customFormat="1" ht="12.75" customHeight="1">
      <c r="B695" s="536"/>
      <c r="C695" s="940"/>
      <c r="D695" s="663"/>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6"/>
      <c r="AD695" s="536"/>
      <c r="AE695" s="616"/>
      <c r="AF695" s="536"/>
      <c r="AG695" s="536"/>
      <c r="AH695" s="536"/>
      <c r="AI695" s="536"/>
      <c r="AJ695" s="536"/>
      <c r="AK695" s="536"/>
      <c r="AL695" s="536"/>
      <c r="AN695" s="597"/>
      <c r="AO695" s="2531" t="b">
        <f>IF(Application!D211="Special Needs",IF(AY695&gt;=0.25,TRUE,FALSE),IF(AX695&gt;=0.25,TRUE,FALSE))</f>
        <v>0</v>
      </c>
      <c r="AP695" s="2531"/>
      <c r="AW695" s="22" t="s">
        <v>2188</v>
      </c>
      <c r="AX695" s="550">
        <f>IFERROR(AX694/AX690,0)</f>
        <v>0</v>
      </c>
      <c r="AY695" s="550">
        <f>IFERROR(AX694/(AX690-AX689),0)</f>
        <v>0</v>
      </c>
    </row>
    <row r="696" spans="1:51" s="550" customFormat="1" ht="12.75" customHeight="1">
      <c r="B696" s="536"/>
      <c r="C696" s="940"/>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6" t="s">
        <v>2134</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6"/>
      <c r="AD699" s="536"/>
      <c r="AE699" s="536"/>
      <c r="AF699" s="2441" t="s">
        <v>1408</v>
      </c>
      <c r="AG699" s="2441"/>
      <c r="AH699" s="2441"/>
      <c r="AI699" s="2441"/>
      <c r="AJ699" s="2441"/>
      <c r="AK699" s="2441"/>
      <c r="AL699" s="2441"/>
      <c r="AN699" s="597"/>
      <c r="AO699" s="611" t="s">
        <v>509</v>
      </c>
      <c r="AP699" s="550">
        <v>1</v>
      </c>
    </row>
    <row r="700" spans="1:51" s="550" customFormat="1" ht="12" customHeight="1">
      <c r="B700" s="536"/>
      <c r="C700" s="931"/>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6"/>
      <c r="AD700" s="536"/>
      <c r="AE700" s="616"/>
      <c r="AF700" s="536"/>
      <c r="AG700" s="536"/>
      <c r="AH700" s="536"/>
      <c r="AI700" s="536"/>
      <c r="AJ700" s="536"/>
      <c r="AK700" s="536"/>
      <c r="AL700" s="536"/>
      <c r="AN700" s="597"/>
    </row>
    <row r="701" spans="1:51" s="550" customFormat="1" ht="12" customHeight="1">
      <c r="B701" s="536"/>
      <c r="C701" s="931"/>
      <c r="D701" s="536"/>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6"/>
      <c r="AD701" s="536"/>
      <c r="AE701" s="616"/>
      <c r="AF701" s="536"/>
      <c r="AG701" s="536"/>
      <c r="AH701" s="536"/>
      <c r="AI701" s="536"/>
      <c r="AJ701" s="536"/>
      <c r="AK701" s="536"/>
      <c r="AL701" s="536"/>
      <c r="AN701" s="597"/>
    </row>
    <row r="702" spans="1:51" s="550" customFormat="1" ht="12" customHeight="1">
      <c r="B702" s="536"/>
      <c r="C702" s="931"/>
      <c r="D702" s="536"/>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6" t="s">
        <v>1693</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5" t="s">
        <v>591</v>
      </c>
      <c r="I709" s="252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6">
        <f>VLOOKUP($H$709,$AO$703:$AP$706,2,FALSE)</f>
        <v>0</v>
      </c>
      <c r="AK711" s="247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3" t="s">
        <v>1695</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441" t="s">
        <v>1352</v>
      </c>
      <c r="AG715" s="2441"/>
      <c r="AH715" s="2441"/>
      <c r="AI715" s="2441"/>
      <c r="AJ715" s="2441"/>
      <c r="AK715" s="2441"/>
      <c r="AL715" s="2441"/>
      <c r="AM715" s="550"/>
      <c r="AN715" s="684"/>
      <c r="AP715" s="570" t="s">
        <v>1432</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4" t="s">
        <v>1435</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441" t="s">
        <v>1408</v>
      </c>
      <c r="AG719" s="2441"/>
      <c r="AH719" s="2441"/>
      <c r="AI719" s="2441"/>
      <c r="AJ719" s="2441"/>
      <c r="AK719" s="2441"/>
      <c r="AL719" s="244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5" t="s">
        <v>591</v>
      </c>
      <c r="I723" s="252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6">
        <f>VLOOKUP($H$723,$AP$720:$AQ$722,2,FALSE)</f>
        <v>0</v>
      </c>
      <c r="AK725" s="2478"/>
      <c r="AL725" s="595"/>
      <c r="AM725" s="550"/>
      <c r="AN725" s="684"/>
      <c r="AP725" s="2476"/>
      <c r="AQ725" s="247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6" t="s">
        <v>1696</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6"/>
      <c r="AD729" s="536"/>
      <c r="AE729" s="536"/>
      <c r="AF729" s="2441" t="s">
        <v>1352</v>
      </c>
      <c r="AG729" s="2441"/>
      <c r="AH729" s="2441"/>
      <c r="AI729" s="2441"/>
      <c r="AJ729" s="2441"/>
      <c r="AK729" s="2441"/>
      <c r="AL729" s="2441"/>
      <c r="AM729" s="550"/>
      <c r="AN729" s="684"/>
      <c r="AT729" s="14"/>
      <c r="AU729" s="14"/>
      <c r="AV729" s="14"/>
      <c r="AW729" s="14"/>
      <c r="AX729" s="14"/>
      <c r="AY729" s="14"/>
      <c r="AZ729" s="14"/>
    </row>
    <row r="730" spans="1:81" s="570" customFormat="1">
      <c r="A730" s="550"/>
      <c r="B730" s="536"/>
      <c r="C730" s="933"/>
      <c r="D730" s="663"/>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6" t="s">
        <v>1439</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6"/>
      <c r="AD732" s="536"/>
      <c r="AE732" s="536"/>
      <c r="AF732" s="2441" t="s">
        <v>1408</v>
      </c>
      <c r="AG732" s="2441"/>
      <c r="AH732" s="2441"/>
      <c r="AI732" s="2441"/>
      <c r="AJ732" s="2441"/>
      <c r="AK732" s="2441"/>
      <c r="AL732" s="2441"/>
      <c r="AM732" s="550"/>
      <c r="AN732" s="684"/>
      <c r="AT732" s="14"/>
      <c r="AU732" s="14"/>
      <c r="AV732" s="14"/>
      <c r="AW732" s="14"/>
      <c r="AX732" s="14"/>
      <c r="AY732" s="14"/>
      <c r="AZ732" s="14"/>
    </row>
    <row r="733" spans="1:81" s="570" customFormat="1">
      <c r="A733" s="550"/>
      <c r="B733" s="536"/>
      <c r="C733" s="933"/>
      <c r="D733" s="536"/>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5" t="s">
        <v>591</v>
      </c>
      <c r="I735" s="252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6">
        <f>VLOOKUP($H$735,$AO$666:$AP$668,2,FALSE)</f>
        <v>0</v>
      </c>
      <c r="AK737" s="247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6" t="s">
        <v>1442</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6"/>
      <c r="AD741" s="536"/>
      <c r="AE741" s="536"/>
      <c r="AF741" s="2441" t="s">
        <v>1352</v>
      </c>
      <c r="AG741" s="2441"/>
      <c r="AH741" s="2441"/>
      <c r="AI741" s="2441"/>
      <c r="AJ741" s="2441"/>
      <c r="AK741" s="2441"/>
      <c r="AL741" s="2441"/>
      <c r="AM741" s="550"/>
      <c r="AN741" s="684"/>
      <c r="AT741" s="14"/>
      <c r="AU741" s="14"/>
      <c r="AV741" s="14"/>
      <c r="AW741" s="14"/>
      <c r="AX741" s="14"/>
      <c r="AY741" s="14"/>
      <c r="AZ741" s="14"/>
    </row>
    <row r="742" spans="1:81" s="570" customFormat="1">
      <c r="A742" s="550"/>
      <c r="B742" s="536"/>
      <c r="C742" s="931"/>
      <c r="D742" s="663"/>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6" t="s">
        <v>1443</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5"/>
      <c r="AC746" s="536"/>
      <c r="AD746" s="536"/>
      <c r="AE746" s="536"/>
      <c r="AF746" s="2441" t="s">
        <v>1408</v>
      </c>
      <c r="AG746" s="2441"/>
      <c r="AH746" s="2441"/>
      <c r="AI746" s="2441"/>
      <c r="AJ746" s="2441"/>
      <c r="AK746" s="2441"/>
      <c r="AL746" s="2441"/>
      <c r="AM746" s="550"/>
      <c r="AN746" s="684"/>
      <c r="AO746" s="30"/>
      <c r="AP746" s="14"/>
    </row>
    <row r="747" spans="1:81" s="570" customFormat="1">
      <c r="A747" s="550"/>
      <c r="B747" s="536"/>
      <c r="C747" s="931"/>
      <c r="D747" s="663"/>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5" t="s">
        <v>591</v>
      </c>
      <c r="I751" s="252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6">
        <f>VLOOKUP($H$751,$AO$680:$AP$682,2,FALSE)</f>
        <v>0</v>
      </c>
      <c r="AK753" s="247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6" t="s">
        <v>1445</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6"/>
      <c r="AD757" s="536"/>
      <c r="AE757" s="536"/>
      <c r="AF757" s="2441" t="s">
        <v>1408</v>
      </c>
      <c r="AG757" s="2441"/>
      <c r="AH757" s="2441"/>
      <c r="AI757" s="2441"/>
      <c r="AJ757" s="2441"/>
      <c r="AK757" s="2441"/>
      <c r="AL757" s="244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6" t="s">
        <v>1446</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6"/>
      <c r="AD760" s="536"/>
      <c r="AE760" s="536"/>
      <c r="AF760" s="2441" t="s">
        <v>1425</v>
      </c>
      <c r="AG760" s="2441"/>
      <c r="AH760" s="2441"/>
      <c r="AI760" s="2441"/>
      <c r="AJ760" s="2441"/>
      <c r="AK760" s="2441"/>
      <c r="AL760" s="244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5" t="s">
        <v>509</v>
      </c>
      <c r="I763" s="252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6">
        <f>VLOOKUP($H$763,$AO$697:$AP$699,2,FALSE)</f>
        <v>1</v>
      </c>
      <c r="AK765" s="247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6" t="s">
        <v>1692</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6"/>
      <c r="AF769" s="2441" t="s">
        <v>1408</v>
      </c>
      <c r="AG769" s="2441"/>
      <c r="AH769" s="2441"/>
      <c r="AI769" s="2441"/>
      <c r="AJ769" s="2441"/>
      <c r="AK769" s="2441"/>
      <c r="AL769" s="2441"/>
      <c r="AM769" s="613"/>
      <c r="AN769" s="684"/>
      <c r="AO769" s="550" t="s">
        <v>591</v>
      </c>
      <c r="AP769" s="673">
        <v>0</v>
      </c>
    </row>
    <row r="770" spans="1:81" s="570" customFormat="1" ht="13.7" customHeight="1">
      <c r="A770" s="550"/>
      <c r="B770" s="616"/>
      <c r="C770" s="940"/>
      <c r="D770" s="663"/>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441" t="s">
        <v>1352</v>
      </c>
      <c r="AG774" s="2441"/>
      <c r="AH774" s="2441"/>
      <c r="AI774" s="2441"/>
      <c r="AJ774" s="2441"/>
      <c r="AK774" s="2441"/>
      <c r="AL774" s="2441"/>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5" t="s">
        <v>591</v>
      </c>
      <c r="I779" s="252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6">
        <f>VLOOKUP($H$779,$AO$769:$AP$771,2,FALSE)</f>
        <v>0</v>
      </c>
      <c r="AK781" s="247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6" t="s">
        <v>2032</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6"/>
      <c r="AF785" s="2441" t="s">
        <v>1352</v>
      </c>
      <c r="AG785" s="2441"/>
      <c r="AH785" s="2441"/>
      <c r="AI785" s="2441"/>
      <c r="AJ785" s="2441"/>
      <c r="AK785" s="2441"/>
      <c r="AL785" s="2441"/>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5" t="s">
        <v>545</v>
      </c>
      <c r="I790" s="252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6">
        <f>VLOOKUP($H$790,$AO$784:$AP$785,2,FALSE)</f>
        <v>3</v>
      </c>
      <c r="AK792" s="247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6">
        <f>IF(($AJ$621+$AJ$640+$AJ$652+$AJ$687+$AJ$711+$AJ$725+$AJ$737+$AJ$753+$AJ$765+$AJ$781+AJ792)&gt;10,10,($AJ$621+$AJ$640+$AJ$652+$AJ$687+$AJ$711+$AJ$725+$AJ$737+$AJ$753+$AJ$765+$AJ$781+AJ792))</f>
        <v>10</v>
      </c>
      <c r="AL794" s="2477"/>
      <c r="AM794" s="247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9" t="s">
        <v>1568</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6"/>
      <c r="AQ800" s="816"/>
    </row>
    <row r="801" spans="1:81">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2" t="s">
        <v>1569</v>
      </c>
      <c r="U802" s="2573"/>
      <c r="V802" s="2573"/>
      <c r="W802" s="2573"/>
      <c r="X802" s="2573"/>
      <c r="Y802" s="2574"/>
      <c r="Z802" s="2572" t="s">
        <v>1570</v>
      </c>
      <c r="AA802" s="2573"/>
      <c r="AB802" s="2573"/>
      <c r="AC802" s="2573"/>
      <c r="AD802" s="2573"/>
      <c r="AE802" s="2574"/>
      <c r="AF802" s="2572" t="s">
        <v>1571</v>
      </c>
      <c r="AG802" s="2573"/>
      <c r="AH802" s="2573"/>
      <c r="AI802" s="2573"/>
      <c r="AJ802" s="2573"/>
      <c r="AK802" s="257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5"/>
      <c r="U803" s="2576"/>
      <c r="V803" s="2576"/>
      <c r="W803" s="2576"/>
      <c r="X803" s="2576"/>
      <c r="Y803" s="2577"/>
      <c r="Z803" s="2575"/>
      <c r="AA803" s="2576"/>
      <c r="AB803" s="2576"/>
      <c r="AC803" s="2576"/>
      <c r="AD803" s="2576"/>
      <c r="AE803" s="2577"/>
      <c r="AF803" s="2575"/>
      <c r="AG803" s="2576"/>
      <c r="AH803" s="2576"/>
      <c r="AI803" s="2576"/>
      <c r="AJ803" s="2576"/>
      <c r="AK803" s="2577"/>
      <c r="AL803" s="818"/>
      <c r="AM803" s="596"/>
      <c r="AO803" s="816"/>
      <c r="AP803" s="816"/>
      <c r="AQ803" s="816"/>
    </row>
    <row r="804" spans="1:81">
      <c r="A804" s="819" t="s">
        <v>757</v>
      </c>
      <c r="B804" s="2552" t="s">
        <v>1304</v>
      </c>
      <c r="C804" s="2552"/>
      <c r="D804" s="2552"/>
      <c r="E804" s="2552"/>
      <c r="F804" s="2552"/>
      <c r="G804" s="2552"/>
      <c r="H804" s="2552"/>
      <c r="I804" s="2552"/>
      <c r="J804" s="2552"/>
      <c r="K804" s="2552"/>
      <c r="L804" s="2552"/>
      <c r="M804" s="2552"/>
      <c r="N804" s="2552"/>
      <c r="O804" s="2552"/>
      <c r="P804" s="2552"/>
      <c r="Q804" s="2552"/>
      <c r="R804" s="2552"/>
      <c r="S804" s="2553"/>
      <c r="T804" s="2554">
        <f>AK62</f>
        <v>20</v>
      </c>
      <c r="U804" s="2555"/>
      <c r="V804" s="2555"/>
      <c r="W804" s="2555"/>
      <c r="X804" s="2555"/>
      <c r="Y804" s="2556"/>
      <c r="Z804" s="2557">
        <v>20</v>
      </c>
      <c r="AA804" s="2555"/>
      <c r="AB804" s="2555"/>
      <c r="AC804" s="2555"/>
      <c r="AD804" s="2555"/>
      <c r="AE804" s="2556"/>
      <c r="AF804" s="2538">
        <f>IF(T804&gt;Z804,Z804,T804)</f>
        <v>20</v>
      </c>
      <c r="AG804" s="2538"/>
      <c r="AH804" s="2538"/>
      <c r="AI804" s="2538"/>
      <c r="AJ804" s="2538"/>
      <c r="AK804" s="2538"/>
      <c r="AL804" s="818"/>
      <c r="AM804" s="596"/>
      <c r="AO804" s="816"/>
      <c r="AP804" s="816"/>
      <c r="AQ804" s="816"/>
    </row>
    <row r="805" spans="1:81">
      <c r="A805" s="819" t="s">
        <v>1541</v>
      </c>
      <c r="B805" s="2552" t="s">
        <v>1313</v>
      </c>
      <c r="C805" s="2552"/>
      <c r="D805" s="2552"/>
      <c r="E805" s="2552"/>
      <c r="F805" s="2552"/>
      <c r="G805" s="2552"/>
      <c r="H805" s="2552"/>
      <c r="I805" s="2552"/>
      <c r="J805" s="2552"/>
      <c r="K805" s="2552"/>
      <c r="L805" s="2552"/>
      <c r="M805" s="2552"/>
      <c r="N805" s="2552"/>
      <c r="O805" s="2552"/>
      <c r="P805" s="2552"/>
      <c r="Q805" s="2552"/>
      <c r="R805" s="2552"/>
      <c r="S805" s="2553"/>
      <c r="T805" s="2554">
        <f>AK84</f>
        <v>0</v>
      </c>
      <c r="U805" s="2555"/>
      <c r="V805" s="2555"/>
      <c r="W805" s="2555"/>
      <c r="X805" s="2555"/>
      <c r="Y805" s="2556"/>
      <c r="Z805" s="2557">
        <v>10</v>
      </c>
      <c r="AA805" s="2555"/>
      <c r="AB805" s="2555"/>
      <c r="AC805" s="2555"/>
      <c r="AD805" s="2555"/>
      <c r="AE805" s="2556"/>
      <c r="AF805" s="2538">
        <f>IF(T805&gt;Z805,Z805,T805)</f>
        <v>0</v>
      </c>
      <c r="AG805" s="2538"/>
      <c r="AH805" s="2538"/>
      <c r="AI805" s="2538"/>
      <c r="AJ805" s="2538"/>
      <c r="AK805" s="2538"/>
      <c r="AL805" s="818"/>
      <c r="AM805" s="596"/>
      <c r="AO805" s="816"/>
      <c r="AP805" s="816"/>
      <c r="AQ805" s="816"/>
    </row>
    <row r="806" spans="1:81">
      <c r="A806" s="819" t="s">
        <v>1550</v>
      </c>
      <c r="B806" s="2552" t="s">
        <v>1323</v>
      </c>
      <c r="C806" s="2552"/>
      <c r="D806" s="2552"/>
      <c r="E806" s="2552"/>
      <c r="F806" s="2552"/>
      <c r="G806" s="2552"/>
      <c r="H806" s="2552"/>
      <c r="I806" s="2552"/>
      <c r="J806" s="2552"/>
      <c r="K806" s="2552"/>
      <c r="L806" s="2552"/>
      <c r="M806" s="2552"/>
      <c r="N806" s="2552"/>
      <c r="O806" s="2552"/>
      <c r="P806" s="2552"/>
      <c r="Q806" s="2552"/>
      <c r="R806" s="2552"/>
      <c r="S806" s="2553"/>
      <c r="T806" s="2554">
        <f ca="1">AK109</f>
        <v>20</v>
      </c>
      <c r="U806" s="2555"/>
      <c r="V806" s="2555"/>
      <c r="W806" s="2555"/>
      <c r="X806" s="2555"/>
      <c r="Y806" s="2556"/>
      <c r="Z806" s="2557">
        <v>20</v>
      </c>
      <c r="AA806" s="2555"/>
      <c r="AB806" s="2555"/>
      <c r="AC806" s="2555"/>
      <c r="AD806" s="2555"/>
      <c r="AE806" s="2556"/>
      <c r="AF806" s="2538">
        <f ca="1">IF(T806&gt;Z806,Z806,T806)</f>
        <v>20</v>
      </c>
      <c r="AG806" s="2538"/>
      <c r="AH806" s="2538"/>
      <c r="AI806" s="2538"/>
      <c r="AJ806" s="2538"/>
      <c r="AK806" s="2538"/>
      <c r="AL806" s="818"/>
      <c r="AM806" s="596"/>
      <c r="AO806" s="816"/>
      <c r="AP806" s="816"/>
      <c r="AQ806" s="816"/>
    </row>
    <row r="807" spans="1:81">
      <c r="A807" s="819" t="s">
        <v>1572</v>
      </c>
      <c r="B807" s="2552" t="s">
        <v>1333</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8"/>
      <c r="AM807" s="596"/>
      <c r="AO807" s="816"/>
      <c r="AP807" s="816"/>
      <c r="AQ807" s="816"/>
    </row>
    <row r="808" spans="1:81">
      <c r="A808" s="820" t="s">
        <v>1573</v>
      </c>
      <c r="B808" s="2552" t="s">
        <v>1574</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8"/>
      <c r="AM808" s="596"/>
    </row>
    <row r="809" spans="1:81">
      <c r="A809" s="535"/>
      <c r="B809" s="601"/>
      <c r="C809" s="2579" t="s">
        <v>1575</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8"/>
      <c r="AM809" s="596"/>
    </row>
    <row r="810" spans="1:81">
      <c r="A810" s="600"/>
      <c r="B810" s="601"/>
      <c r="C810" s="2579" t="s">
        <v>1576</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8"/>
      <c r="AM810" s="596"/>
      <c r="AO810" s="550"/>
    </row>
    <row r="811" spans="1:81">
      <c r="A811" s="820" t="s">
        <v>1361</v>
      </c>
      <c r="B811" s="2552" t="s">
        <v>1577</v>
      </c>
      <c r="C811" s="2552"/>
      <c r="D811" s="2552"/>
      <c r="E811" s="2552"/>
      <c r="F811" s="2552"/>
      <c r="G811" s="2552"/>
      <c r="H811" s="2552"/>
      <c r="I811" s="2552"/>
      <c r="J811" s="2552"/>
      <c r="K811" s="2552"/>
      <c r="L811" s="2552"/>
      <c r="M811" s="2552"/>
      <c r="N811" s="2552"/>
      <c r="O811" s="2552"/>
      <c r="P811" s="2552"/>
      <c r="Q811" s="2552"/>
      <c r="R811" s="2552"/>
      <c r="S811" s="2553"/>
      <c r="T811" s="2578">
        <f>AK191</f>
        <v>0</v>
      </c>
      <c r="U811" s="2578"/>
      <c r="V811" s="2578"/>
      <c r="W811" s="2578"/>
      <c r="X811" s="2578"/>
      <c r="Y811" s="2578"/>
      <c r="Z811" s="2538">
        <v>10</v>
      </c>
      <c r="AA811" s="2538"/>
      <c r="AB811" s="2538"/>
      <c r="AC811" s="2538"/>
      <c r="AD811" s="2538"/>
      <c r="AE811" s="2538"/>
      <c r="AF811" s="2538">
        <f>IF(T811&gt;Z811,Z811,T811)</f>
        <v>0</v>
      </c>
      <c r="AG811" s="2538"/>
      <c r="AH811" s="2538"/>
      <c r="AI811" s="2538"/>
      <c r="AJ811" s="2538"/>
      <c r="AK811" s="2538"/>
      <c r="AL811" s="818"/>
      <c r="AM811" s="596"/>
    </row>
    <row r="812" spans="1:81">
      <c r="A812" s="819" t="s">
        <v>1370</v>
      </c>
      <c r="B812" s="2552" t="s">
        <v>1371</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8"/>
      <c r="AM812" s="596"/>
    </row>
    <row r="813" spans="1:81" s="534" customFormat="1" hidden="1">
      <c r="A813" s="820" t="s">
        <v>589</v>
      </c>
      <c r="B813" s="2552" t="s">
        <v>1578</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2" t="s">
        <v>1579</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2" t="s">
        <v>1381</v>
      </c>
      <c r="C815" s="2552"/>
      <c r="D815" s="2552"/>
      <c r="E815" s="2552"/>
      <c r="F815" s="2552"/>
      <c r="G815" s="2552"/>
      <c r="H815" s="2552"/>
      <c r="I815" s="2552"/>
      <c r="J815" s="2552"/>
      <c r="K815" s="2552"/>
      <c r="L815" s="2552"/>
      <c r="M815" s="2552"/>
      <c r="N815" s="2552"/>
      <c r="O815" s="2552"/>
      <c r="P815" s="2552"/>
      <c r="Q815" s="2552"/>
      <c r="R815" s="2552"/>
      <c r="S815" s="2553"/>
      <c r="T815" s="2578">
        <f>AK338</f>
        <v>0</v>
      </c>
      <c r="U815" s="2578"/>
      <c r="V815" s="2578"/>
      <c r="W815" s="2578"/>
      <c r="X815" s="2578"/>
      <c r="Y815" s="2578"/>
      <c r="Z815" s="2584">
        <v>10</v>
      </c>
      <c r="AA815" s="2585"/>
      <c r="AB815" s="2585"/>
      <c r="AC815" s="2585"/>
      <c r="AD815" s="2585"/>
      <c r="AE815" s="2586"/>
      <c r="AF815" s="2584">
        <f>IF(T815&gt;Z815,Z815,T815)</f>
        <v>0</v>
      </c>
      <c r="AG815" s="2585"/>
      <c r="AH815" s="2585"/>
      <c r="AI815" s="2585"/>
      <c r="AJ815" s="2585"/>
      <c r="AK815" s="25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1">
        <f>AK338</f>
        <v>0</v>
      </c>
      <c r="U816" s="2471"/>
      <c r="V816" s="2471"/>
      <c r="W816" s="2471"/>
      <c r="X816" s="2471"/>
      <c r="Y816" s="2471"/>
      <c r="Z816" s="2476">
        <v>20</v>
      </c>
      <c r="AA816" s="2477"/>
      <c r="AB816" s="2477"/>
      <c r="AC816" s="2477"/>
      <c r="AD816" s="2477"/>
      <c r="AE816" s="2478"/>
      <c r="AF816" s="2581"/>
      <c r="AG816" s="2581"/>
      <c r="AH816" s="2581"/>
      <c r="AI816" s="2581"/>
      <c r="AJ816" s="2581"/>
      <c r="AK816" s="25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2" t="s">
        <v>845</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2" t="s">
        <v>1559</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2" t="s">
        <v>1581</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2" t="s">
        <v>1582</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1583</v>
      </c>
      <c r="AA820" s="2472"/>
      <c r="AB820" s="2472"/>
      <c r="AC820" s="2472"/>
      <c r="AD820" s="2472"/>
      <c r="AE820" s="2472"/>
      <c r="AF820" s="2584">
        <f>IF(T820&gt;0,T820,0)</f>
        <v>0</v>
      </c>
      <c r="AG820" s="2585"/>
      <c r="AH820" s="2585"/>
      <c r="AI820" s="2585"/>
      <c r="AJ820" s="2585"/>
      <c r="AK820" s="25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7" t="s">
        <v>1584</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 ca="1">SUM(AF804:AK819)-AF820</f>
        <v>110</v>
      </c>
      <c r="AG821" s="2594"/>
      <c r="AH821" s="2594"/>
      <c r="AI821" s="2594"/>
      <c r="AJ821" s="2594"/>
      <c r="AK821" s="25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Jessica Chuidian-Ingersoll</cp:lastModifiedBy>
  <cp:lastPrinted>2024-12-09T20:28:29Z</cp:lastPrinted>
  <dcterms:created xsi:type="dcterms:W3CDTF">2007-12-27T18:26:28Z</dcterms:created>
  <dcterms:modified xsi:type="dcterms:W3CDTF">2025-09-09T20:00:38Z</dcterms:modified>
</cp:coreProperties>
</file>